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FA023768-15FC-4C53-AAA1-7E25516B8116}" xr6:coauthVersionLast="47" xr6:coauthVersionMax="47" xr10:uidLastSave="{00000000-0000-0000-0000-000000000000}"/>
  <bookViews>
    <workbookView xWindow="-28898" yWindow="-3555" windowWidth="28996" windowHeight="15795" tabRatio="816" firstSheet="11" activeTab="18" xr2:uid="{00000000-000D-0000-FFFF-FFFF00000000}"/>
  </bookViews>
  <sheets>
    <sheet name="Cover Page" sheetId="67" r:id="rId1"/>
    <sheet name="ToC" sheetId="100" r:id="rId2"/>
    <sheet name="Formatting and References" sheetId="101" r:id="rId3"/>
    <sheet name="1-DRR" sheetId="1" r:id="rId4"/>
    <sheet name="2-True-upDRR" sheetId="47" r:id="rId5"/>
    <sheet name="3-ATA" sheetId="108" r:id="rId6"/>
    <sheet name="4-WholesaleRates" sheetId="106" r:id="rId7"/>
    <sheet name="5-CostofCap-3" sheetId="70" r:id="rId8"/>
    <sheet name="5-CostofCap-4" sheetId="71" r:id="rId9"/>
    <sheet name="6-PlantJurisdiction" sheetId="135" r:id="rId10"/>
    <sheet name="7-PlantInService" sheetId="136" r:id="rId11"/>
    <sheet name="8-DemandForAllocation" sheetId="105" r:id="rId12"/>
    <sheet name="9-WholesaleRevenues" sheetId="104" r:id="rId13"/>
    <sheet name="10-AccDep" sheetId="137" r:id="rId14"/>
    <sheet name="11-Depreciation" sheetId="138" r:id="rId15"/>
    <sheet name="12-DepRates" sheetId="78" r:id="rId16"/>
    <sheet name="13-WorkCap" sheetId="79" r:id="rId17"/>
    <sheet name="14-ADIT" sheetId="80" r:id="rId18"/>
    <sheet name="15-LossFactors" sheetId="109" r:id="rId19"/>
    <sheet name="16-UnfundedReserves" sheetId="141" r:id="rId20"/>
    <sheet name="17-RegAssets-1" sheetId="83" r:id="rId21"/>
    <sheet name="17-RegAssets-2" sheetId="139" r:id="rId22"/>
    <sheet name="17-RegAssets-3" sheetId="140" r:id="rId23"/>
    <sheet name="18-OandM" sheetId="84" r:id="rId24"/>
    <sheet name="19-AandG" sheetId="85" r:id="rId25"/>
    <sheet name="20-RevenueCredits" sheetId="86" r:id="rId26"/>
    <sheet name="21-CoO" sheetId="125" r:id="rId27"/>
    <sheet name="22-TaxRates" sheetId="88" r:id="rId28"/>
    <sheet name="23-CustServCharge" sheetId="126" r:id="rId29"/>
    <sheet name="24-Allocators" sheetId="90" r:id="rId30"/>
    <sheet name="25-RevenueFeeFactors" sheetId="91"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19">#REF!</definedName>
    <definedName name="\a" localSheetId="21">#REF!</definedName>
    <definedName name="\a" localSheetId="22">#REF!</definedName>
    <definedName name="\a" localSheetId="9">#REF!</definedName>
    <definedName name="\a">#REF!</definedName>
    <definedName name="\b" localSheetId="19">#REF!</definedName>
    <definedName name="\b" localSheetId="9">#REF!</definedName>
    <definedName name="\b">#REF!</definedName>
    <definedName name="\x" localSheetId="19">#REF!</definedName>
    <definedName name="\x" localSheetId="9">#REF!</definedName>
    <definedName name="\x">#REF!</definedName>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huh2" localSheetId="19" hidden="1">{#N/A,#N/A,FALSE,"Dist Rev at PR ";#N/A,#N/A,FALSE,"Spec";#N/A,#N/A,FALSE,"Res";#N/A,#N/A,FALSE,"Small L&amp;P";#N/A,#N/A,FALSE,"Medium L&amp;P";#N/A,#N/A,FALSE,"E-19";#N/A,#N/A,FALSE,"E-20";#N/A,#N/A,FALSE,"Strtlts &amp; Standby";#N/A,#N/A,FALSE,"A-RTP";#N/A,#N/A,FALSE,"2003mixeduse"}</definedName>
    <definedName name="___huh2" localSheetId="21" hidden="1">{#N/A,#N/A,FALSE,"Dist Rev at PR ";#N/A,#N/A,FALSE,"Spec";#N/A,#N/A,FALSE,"Res";#N/A,#N/A,FALSE,"Small L&amp;P";#N/A,#N/A,FALSE,"Medium L&amp;P";#N/A,#N/A,FALSE,"E-19";#N/A,#N/A,FALSE,"E-20";#N/A,#N/A,FALSE,"Strtlts &amp; Standby";#N/A,#N/A,FALSE,"A-RTP";#N/A,#N/A,FALSE,"2003mixeduse"}</definedName>
    <definedName name="___huh2" localSheetId="22" hidden="1">{#N/A,#N/A,FALSE,"Dist Rev at PR ";#N/A,#N/A,FALSE,"Spec";#N/A,#N/A,FALSE,"Res";#N/A,#N/A,FALSE,"Small L&amp;P";#N/A,#N/A,FALSE,"Medium L&amp;P";#N/A,#N/A,FALSE,"E-19";#N/A,#N/A,FALSE,"E-20";#N/A,#N/A,FALSE,"Strtlts &amp; Standby";#N/A,#N/A,FALSE,"A-RTP";#N/A,#N/A,FALSE,"2003mixeduse"}</definedName>
    <definedName name="___huh2" localSheetId="9" hidden="1">{#N/A,#N/A,FALSE,"Dist Rev at PR ";#N/A,#N/A,FALSE,"Spec";#N/A,#N/A,FALSE,"Res";#N/A,#N/A,FALSE,"Small L&amp;P";#N/A,#N/A,FALSE,"Medium L&amp;P";#N/A,#N/A,FALSE,"E-19";#N/A,#N/A,FALSE,"E-20";#N/A,#N/A,FALSE,"Strtlts &amp; Standby";#N/A,#N/A,FALSE,"A-RTP";#N/A,#N/A,FALSE,"2003mixeduse"}</definedName>
    <definedName name="___huh2" hidden="1">{#N/A,#N/A,FALSE,"Dist Rev at PR ";#N/A,#N/A,FALSE,"Spec";#N/A,#N/A,FALSE,"Res";#N/A,#N/A,FALSE,"Small L&amp;P";#N/A,#N/A,FALSE,"Medium L&amp;P";#N/A,#N/A,FALSE,"E-19";#N/A,#N/A,FALSE,"E-20";#N/A,#N/A,FALSE,"Strtlts &amp; Standby";#N/A,#N/A,FALSE,"A-RTP";#N/A,#N/A,FALSE,"2003mixeduse"}</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7" hidden="1">#REF!</definedName>
    <definedName name="__123Graph_A" hidden="1">[4]Sheet3!#REF!</definedName>
    <definedName name="__123Graph_A1991" hidden="1">[4]Sheet3!#REF!</definedName>
    <definedName name="__123Graph_A1992" hidden="1">[4]Sheet3!#REF!</definedName>
    <definedName name="__123Graph_A1993" hidden="1">[4]Sheet3!#REF!</definedName>
    <definedName name="__123Graph_A1994" hidden="1">[4]Sheet3!#REF!</definedName>
    <definedName name="__123Graph_A1995" hidden="1">[4]Sheet3!#REF!</definedName>
    <definedName name="__123Graph_A1996" hidden="1">[4]Sheet3!#REF!</definedName>
    <definedName name="__123Graph_ABAR" hidden="1">[4]Sheet3!#REF!</definedName>
    <definedName name="__123Graph_AGRAPH" localSheetId="7" hidden="1">#REF!</definedName>
    <definedName name="__123Graph_AGRS" localSheetId="7" hidden="1">#REF!</definedName>
    <definedName name="__123Graph_B" localSheetId="7" hidden="1">#REF!</definedName>
    <definedName name="__123Graph_B" hidden="1">[4]Sheet3!#REF!</definedName>
    <definedName name="__123Graph_B1991" hidden="1">[4]Sheet3!#REF!</definedName>
    <definedName name="__123Graph_B1992" hidden="1">[4]Sheet3!#REF!</definedName>
    <definedName name="__123Graph_B1993" hidden="1">[4]Sheet3!#REF!</definedName>
    <definedName name="__123Graph_B1994" hidden="1">[4]Sheet3!#REF!</definedName>
    <definedName name="__123Graph_B1995" hidden="1">[4]Sheet3!#REF!</definedName>
    <definedName name="__123Graph_B1996" hidden="1">[4]Sheet3!#REF!</definedName>
    <definedName name="__123Graph_BBAR" hidden="1">[4]Sheet3!#REF!</definedName>
    <definedName name="__123Graph_BGRAPH" localSheetId="7" hidden="1">#REF!</definedName>
    <definedName name="__123Graph_BGRS" localSheetId="7" hidden="1">#REF!</definedName>
    <definedName name="__123Graph_C" localSheetId="7" hidden="1">#REF!</definedName>
    <definedName name="__123Graph_C" hidden="1">'[5]AL2 151'!#REF!</definedName>
    <definedName name="__123Graph_CBAR" hidden="1">[4]Sheet3!#REF!</definedName>
    <definedName name="__123Graph_CGRAPH" localSheetId="7" hidden="1">#REF!</definedName>
    <definedName name="__123Graph_CGRS" localSheetId="7" hidden="1">#REF!</definedName>
    <definedName name="__123Graph_D" hidden="1">'[5]AL2 151'!#REF!</definedName>
    <definedName name="__123Graph_DBAR" hidden="1">[4]Sheet3!#REF!</definedName>
    <definedName name="__123Graph_DGRAPH" localSheetId="7" hidden="1">#REF!</definedName>
    <definedName name="__123Graph_DGRS" localSheetId="7" hidden="1">#REF!</definedName>
    <definedName name="__123Graph_E" hidden="1">'[5]AL2 151'!#REF!</definedName>
    <definedName name="__123Graph_EBAR" hidden="1">[4]Sheet3!#REF!</definedName>
    <definedName name="__123Graph_F" hidden="1">'[5]AL2 151'!#REF!</definedName>
    <definedName name="__123Graph_FBAR" hidden="1">[4]Sheet3!#REF!</definedName>
    <definedName name="__123Graph_LBL_A" localSheetId="7" hidden="1">#REF!</definedName>
    <definedName name="__123Graph_LBL_EGRAPH" localSheetId="7" hidden="1">#REF!</definedName>
    <definedName name="__123Graph_LBL_EGRS" localSheetId="7" hidden="1">#REF!</definedName>
    <definedName name="__123Graph_X" localSheetId="7" hidden="1">#REF!</definedName>
    <definedName name="__123Graph_X" hidden="1">[4]Sheet3!#REF!</definedName>
    <definedName name="__123Graph_X1991" hidden="1">[4]Sheet3!#REF!</definedName>
    <definedName name="__123Graph_X1992" hidden="1">[4]Sheet3!#REF!</definedName>
    <definedName name="__123Graph_X1993" hidden="1">[4]Sheet3!#REF!</definedName>
    <definedName name="__123Graph_X1994" hidden="1">[4]Sheet3!#REF!</definedName>
    <definedName name="__123Graph_X1995" hidden="1">[4]Sheet3!#REF!</definedName>
    <definedName name="__123Graph_X1996" hidden="1">[4]Sheet3!#REF!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foo1"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2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2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localSheetId="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_foo2"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2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2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19" hidden="1">{#N/A,#N/A,FALSE,"Res - Unadj";#N/A,#N/A,FALSE,"Small L&amp;P";#N/A,#N/A,FALSE,"Medium L&amp;P";#N/A,#N/A,FALSE,"E-19";#N/A,#N/A,FALSE,"E-20";#N/A,#N/A,FALSE,"A-RTP";#N/A,#N/A,FALSE,"Strtlts &amp; Standby";#N/A,#N/A,FALSE,"AG";#N/A,#N/A,FALSE,"2001mixeduse"}</definedName>
    <definedName name="__foo3" localSheetId="21" hidden="1">{#N/A,#N/A,FALSE,"Res - Unadj";#N/A,#N/A,FALSE,"Small L&amp;P";#N/A,#N/A,FALSE,"Medium L&amp;P";#N/A,#N/A,FALSE,"E-19";#N/A,#N/A,FALSE,"E-20";#N/A,#N/A,FALSE,"A-RTP";#N/A,#N/A,FALSE,"Strtlts &amp; Standby";#N/A,#N/A,FALSE,"AG";#N/A,#N/A,FALSE,"2001mixeduse"}</definedName>
    <definedName name="__foo3" localSheetId="22" hidden="1">{#N/A,#N/A,FALSE,"Res - Unadj";#N/A,#N/A,FALSE,"Small L&amp;P";#N/A,#N/A,FALSE,"Medium L&amp;P";#N/A,#N/A,FALSE,"E-19";#N/A,#N/A,FALSE,"E-20";#N/A,#N/A,FALSE,"A-RTP";#N/A,#N/A,FALSE,"Strtlts &amp; Standby";#N/A,#N/A,FALSE,"AG";#N/A,#N/A,FALSE,"2001mixeduse"}</definedName>
    <definedName name="__foo3" localSheetId="9" hidden="1">{#N/A,#N/A,FALSE,"Res - Unadj";#N/A,#N/A,FALSE,"Small L&amp;P";#N/A,#N/A,FALSE,"Medium L&amp;P";#N/A,#N/A,FALSE,"E-19";#N/A,#N/A,FALSE,"E-20";#N/A,#N/A,FALSE,"A-RTP";#N/A,#N/A,FALSE,"Strtlts &amp; Standby";#N/A,#N/A,FALSE,"AG";#N/A,#N/A,FALSE,"2001mixeduse"}</definedName>
    <definedName name="__foo3" hidden="1">{#N/A,#N/A,FALSE,"Res - Unadj";#N/A,#N/A,FALSE,"Small L&amp;P";#N/A,#N/A,FALSE,"Medium L&amp;P";#N/A,#N/A,FALSE,"E-19";#N/A,#N/A,FALSE,"E-20";#N/A,#N/A,FALSE,"A-RTP";#N/A,#N/A,FALSE,"Strtlts &amp; Standby";#N/A,#N/A,FALSE,"AG";#N/A,#N/A,FALSE,"2001mixeduse"}</definedName>
    <definedName name="__foo4" localSheetId="19" hidden="1">{"Summary","1",FALSE,"Summary"}</definedName>
    <definedName name="__foo4" localSheetId="21" hidden="1">{"Summary","1",FALSE,"Summary"}</definedName>
    <definedName name="__foo4" localSheetId="22" hidden="1">{"Summary","1",FALSE,"Summary"}</definedName>
    <definedName name="__foo4" localSheetId="9" hidden="1">{"Summary","1",FALSE,"Summary"}</definedName>
    <definedName name="__foo4" hidden="1">{"Summary","1",FALSE,"Summary"}</definedName>
    <definedName name="__FPMExcelClient_CellBasedFunctionStatus" localSheetId="24">"2_1_2_2_2_2"</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'[6]QRE Charts'!$D$223:$R$223</definedName>
    <definedName name="_10__123Graph_BQRE_S_BY_TYPE" hidden="1">'[2]QRE''s'!$D$100:$R$100</definedName>
    <definedName name="_11__123Graph_BCONTRACT_BY_B_U" hidden="1">'[6]QRE Charts'!$D$276:$Q$276</definedName>
    <definedName name="_11__123Graph_BSENS_COMPARISON" hidden="1">'[2]QRE Charts'!$E$366:$O$366</definedName>
    <definedName name="_12__123Graph_BQRE_S_BY_CO." hidden="1">'[6]QRE Charts'!$D$302:$R$302</definedName>
    <definedName name="_12__123Graph_BSUPPLIES_BY_B_U" hidden="1">'[2]QRE Charts'!$D$250:$Q$250</definedName>
    <definedName name="_123Graph_B.1" hidden="1">#REF!</definedName>
    <definedName name="_13__123Graph_BQRE_S_BY_TYPE" hidden="1">'[6]QRE''s'!$D$100:$R$100</definedName>
    <definedName name="_13__123Graph_BTAX_CREDIT" hidden="1">'[2]QRE Charts'!$E$332:$E$342</definedName>
    <definedName name="_14__123Graph_BSENS_COMPARISON" hidden="1">'[6]QRE Charts'!$E$366:$O$366</definedName>
    <definedName name="_14__123Graph_BWAGES_BY_B_U" hidden="1">'[2]QRE Charts'!$D$224:$R$224</definedName>
    <definedName name="_15__123Graph_BSUPPLIES_BY_B_U" hidden="1">'[6]QRE Charts'!$D$250:$Q$250</definedName>
    <definedName name="_15__123Graph_CCONTRACT_BY_B_U" hidden="1">'[2]QRE Charts'!$D$277:$Q$277</definedName>
    <definedName name="_16__123Graph_BTAX_CREDIT" hidden="1">'[6]QRE Charts'!$E$332:$E$342</definedName>
    <definedName name="_16__123Graph_CQRE_S_BY_CO." hidden="1">'[2]QRE Charts'!$D$303:$R$303</definedName>
    <definedName name="_17__123Graph_BWAGES_BY_B_U" hidden="1">'[6]QRE Charts'!$D$224:$R$224</definedName>
    <definedName name="_17__123Graph_CQRE_S_BY_TYPE" hidden="1">'[2]QRE''s'!$D$101:$R$101</definedName>
    <definedName name="_18__123Graph_CCONTRACT_BY_B_U" hidden="1">'[6]QRE Charts'!$D$277:$Q$277</definedName>
    <definedName name="_18__123Graph_CSENS_COMPARISON" hidden="1">'[2]QRE Charts'!$E$367:$O$367</definedName>
    <definedName name="_19__123Graph_CQRE_S_BY_CO." hidden="1">'[6]QRE Charts'!$D$303:$R$303</definedName>
    <definedName name="_19__123Graph_CSUPPLIES_BY_B_U" hidden="1">'[2]QRE Charts'!$D$251:$Q$251</definedName>
    <definedName name="_1E_1">#N/A</definedName>
    <definedName name="_1K" hidden="1">[7]Masterdata!#REF!</definedName>
    <definedName name="_2__123Graph_AQRE_S_BY_CO." hidden="1">'[2]QRE Charts'!$D$301:$R$301</definedName>
    <definedName name="_20__123Graph_CQRE_S_BY_TYPE" hidden="1">'[6]QRE''s'!$D$101:$R$101</definedName>
    <definedName name="_20__123Graph_CWAGES_BY_B_U" hidden="1">'[2]QRE Charts'!$D$225:$R$225</definedName>
    <definedName name="_21__123Graph_CSENS_COMPARISON" hidden="1">'[6]QRE Charts'!$E$367:$O$367</definedName>
    <definedName name="_21__123Graph_DCONTRACT_BY_B_U" hidden="1">'[2]QRE Charts'!$D$278:$Q$278</definedName>
    <definedName name="_22__123Graph_CSUPPLIES_BY_B_U" hidden="1">'[6]QRE Charts'!$D$251:$Q$251</definedName>
    <definedName name="_22__123Graph_DQRE_S_BY_CO." hidden="1">'[2]QRE Charts'!$D$304:$R$304</definedName>
    <definedName name="_23__123Graph_CWAGES_BY_B_U" hidden="1">'[6]QRE Charts'!$D$225:$R$225</definedName>
    <definedName name="_23__123Graph_DSUPPLIES_BY_B_U" hidden="1">'[2]QRE Charts'!$D$252:$Q$252</definedName>
    <definedName name="_24__123Graph_DCONTRACT_BY_B_U" hidden="1">'[6]QRE Charts'!$D$278:$Q$278</definedName>
    <definedName name="_24__123Graph_DWAGES_BY_B_U" hidden="1">'[2]QRE Charts'!$D$226:$R$226</definedName>
    <definedName name="_25__123Graph_DQRE_S_BY_CO." hidden="1">'[6]QRE Charts'!$D$304:$R$304</definedName>
    <definedName name="_25__123Graph_ECONTRACT_BY_B_U" hidden="1">'[2]QRE Charts'!$D$279:$Q$279</definedName>
    <definedName name="_26__123Graph_DSUPPLIES_BY_B_U" hidden="1">'[6]QRE Charts'!$D$252:$Q$252</definedName>
    <definedName name="_26__123Graph_EQRE_S_BY_CO." hidden="1">'[2]QRE Charts'!$D$305:$R$305</definedName>
    <definedName name="_27__123Graph_DWAGES_BY_B_U" hidden="1">'[6]QRE Charts'!$D$226:$R$226</definedName>
    <definedName name="_27__123Graph_ESUPPLIES_BY_B_U" hidden="1">'[2]QRE Charts'!$D$253:$Q$253</definedName>
    <definedName name="_28__123Graph_ECONTRACT_BY_B_U" hidden="1">'[6]QRE Charts'!$D$279:$Q$279</definedName>
    <definedName name="_28__123Graph_EWAGES_BY_B_U" hidden="1">'[2]QRE Charts'!$D$227:$R$227</definedName>
    <definedName name="_29__123Graph_EQRE_S_BY_CO." hidden="1">'[6]QRE Charts'!$D$305:$R$305</definedName>
    <definedName name="_29__123Graph_FCONTRACT_BY_B_U" hidden="1">'[2]QRE Charts'!$D$280:$Q$280</definedName>
    <definedName name="_2K" hidden="1">[7]Masterdata!#REF!</definedName>
    <definedName name="_2S" hidden="1">[7]Masterdata!#REF!</definedName>
    <definedName name="_3__123Graph_AQRE_S_BY_TYPE" hidden="1">'[2]QRE''s'!$D$99:$R$99</definedName>
    <definedName name="_30__123Graph_ESUPPLIES_BY_B_U" hidden="1">'[6]QRE Charts'!$D$253:$Q$253</definedName>
    <definedName name="_30__123Graph_FQRE_S_BY_CO." hidden="1">'[2]QRE Charts'!$D$306:$R$306</definedName>
    <definedName name="_31__123Graph_EWAGES_BY_B_U" hidden="1">'[6]QRE Charts'!$D$227:$R$227</definedName>
    <definedName name="_31__123Graph_FSUPPLIES_BY_B_U" hidden="1">'[2]QRE Charts'!$D$254:$Q$254</definedName>
    <definedName name="_31_Dec_00">#REF!</definedName>
    <definedName name="_31_Jan_01">#REF!</definedName>
    <definedName name="_32__123Graph_FCONTRACT_BY_B_U" hidden="1">'[6]QRE Charts'!$D$280:$Q$280</definedName>
    <definedName name="_32__123Graph_FWAGES_BY_B_U" hidden="1">'[2]QRE Charts'!$D$228:$R$228</definedName>
    <definedName name="_33__123Graph_FQRE_S_BY_CO." hidden="1">'[6]QRE Charts'!$D$306:$R$306</definedName>
    <definedName name="_33__123Graph_XCONTRACT_BY_B_U" hidden="1">'[2]QRE Charts'!$D$222:$R$222</definedName>
    <definedName name="_34__123Graph_FSUPPLIES_BY_B_U" hidden="1">'[6]QRE Charts'!$D$254:$Q$254</definedName>
    <definedName name="_34__123Graph_XQRE_S_BY_CO." hidden="1">'[2]QRE Charts'!$D$222:$R$222</definedName>
    <definedName name="_35__123Graph_FWAGES_BY_B_U" hidden="1">'[6]QRE Charts'!$D$228:$R$228</definedName>
    <definedName name="_35__123Graph_XQRE_S_BY_TYPE" hidden="1">'[2]QRE Charts'!$D$222:$R$222</definedName>
    <definedName name="_36__123Graph_XCONTRACT_BY_B_U" hidden="1">'[6]QRE Charts'!$D$222:$R$222</definedName>
    <definedName name="_36__123Graph_XSUPPLIES_BY_B_U" hidden="1">'[2]QRE Charts'!$D$222:$R$222</definedName>
    <definedName name="_37__123Graph_XQRE_S_BY_CO." hidden="1">'[6]QRE Charts'!$D$222:$R$222</definedName>
    <definedName name="_37__123Graph_XTAX_CREDIT" hidden="1">'[2]QRE Charts'!$C$332:$C$342</definedName>
    <definedName name="_38__123Graph_XQRE_S_BY_TYPE" hidden="1">'[6]QRE Charts'!$D$222:$R$222</definedName>
    <definedName name="_39__123Graph_XSUPPLIES_BY_B_U" hidden="1">'[6]QRE Charts'!$D$222:$R$222</definedName>
    <definedName name="_4__123Graph_ACONTRACT_BY_B_U" hidden="1">'[6]QRE Charts'!$D$275:$Q$275</definedName>
    <definedName name="_4__123Graph_ASENS_COMPARISON" hidden="1">'[2]QRE Charts'!$E$365:$O$365</definedName>
    <definedName name="_40__123Graph_XTAX_CREDIT" hidden="1">'[6]QRE Charts'!$C$332:$C$342</definedName>
    <definedName name="_4S" hidden="1">[7]Masterdata!#REF!</definedName>
    <definedName name="_5__123Graph_AQRE_S_BY_CO." hidden="1">'[6]QRE Charts'!$D$301:$R$301</definedName>
    <definedName name="_5__123Graph_ASUPPLIES_BY_B_U" hidden="1">'[2]QRE Charts'!$D$249:$Q$249</definedName>
    <definedName name="_6__123Graph_AQRE_S_BY_TYPE" hidden="1">'[6]QRE''s'!$D$99:$R$99</definedName>
    <definedName name="_6__123Graph_ATAX_CREDIT" hidden="1">'[2]QRE Charts'!$D$332:$D$342</definedName>
    <definedName name="_7__123Graph_ASENS_COMPARISON" hidden="1">'[6]QRE Charts'!$E$365:$O$365</definedName>
    <definedName name="_7__123Graph_AWAGES_BY_B_U" hidden="1">'[2]QRE Charts'!$D$223:$R$223</definedName>
    <definedName name="_8__123Graph_ASUPPLIES_BY_B_U" hidden="1">'[6]QRE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'[6]QRE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bdm.DA90C587C9374C5A8F37C549C9BCDD3D.edm" localSheetId="13" hidden="1">#REF!</definedName>
    <definedName name="_bdm.DA90C587C9374C5A8F37C549C9BCDD3D.edm" localSheetId="14" hidden="1">#REF!</definedName>
    <definedName name="_bdm.DA90C587C9374C5A8F37C549C9BCDD3D.edm" localSheetId="15" hidden="1">#REF!</definedName>
    <definedName name="_bdm.DA90C587C9374C5A8F37C549C9BCDD3D.edm" localSheetId="16" hidden="1">#REF!</definedName>
    <definedName name="_bdm.DA90C587C9374C5A8F37C549C9BCDD3D.edm" localSheetId="17" hidden="1">#REF!</definedName>
    <definedName name="_bdm.DA90C587C9374C5A8F37C549C9BCDD3D.edm" localSheetId="19" hidden="1">#REF!</definedName>
    <definedName name="_bdm.DA90C587C9374C5A8F37C549C9BCDD3D.edm" localSheetId="20" hidden="1">#REF!</definedName>
    <definedName name="_bdm.DA90C587C9374C5A8F37C549C9BCDD3D.edm" localSheetId="23" hidden="1">#REF!</definedName>
    <definedName name="_bdm.DA90C587C9374C5A8F37C549C9BCDD3D.edm" localSheetId="25" hidden="1">#REF!</definedName>
    <definedName name="_bdm.DA90C587C9374C5A8F37C549C9BCDD3D.edm" localSheetId="27" hidden="1">#REF!</definedName>
    <definedName name="_bdm.DA90C587C9374C5A8F37C549C9BCDD3D.edm" localSheetId="29" hidden="1">#REF!</definedName>
    <definedName name="_bdm.DA90C587C9374C5A8F37C549C9BCDD3D.edm" localSheetId="30" hidden="1">#REF!</definedName>
    <definedName name="_bdm.DA90C587C9374C5A8F37C549C9BCDD3D.edm" localSheetId="4" hidden="1">#REF!</definedName>
    <definedName name="_bdm.DA90C587C9374C5A8F37C549C9BCDD3D.edm" localSheetId="7" hidden="1">#REF!</definedName>
    <definedName name="_bdm.DA90C587C9374C5A8F37C549C9BCDD3D.edm" localSheetId="9" hidden="1">#REF!</definedName>
    <definedName name="_bdm.DA90C587C9374C5A8F37C549C9BCDD3D.edm" localSheetId="10" hidden="1">#REF!</definedName>
    <definedName name="_bdm.DA90C587C9374C5A8F37C549C9BCDD3D.edm" hidden="1">#REF!</definedName>
    <definedName name="_dat1111">[1]Sheet1!$G$2:$G$29</definedName>
    <definedName name="_Dist_Bin" hidden="1">#REF!</definedName>
    <definedName name="_Dist_Values" hidden="1">#REF!</definedName>
    <definedName name="_FEB01" hidden="1">{#N/A,#N/A,FALSE,"EMPPAY"}</definedName>
    <definedName name="_Fill" localSheetId="19" hidden="1">#REF!</definedName>
    <definedName name="_Fill" hidden="1">#REF!</definedName>
    <definedName name="_Fill.1" hidden="1">#REF!</definedName>
    <definedName name="_foo1"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2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2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2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2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19" hidden="1">{#N/A,#N/A,FALSE,"Res - Unadj";#N/A,#N/A,FALSE,"Small L&amp;P";#N/A,#N/A,FALSE,"Medium L&amp;P";#N/A,#N/A,FALSE,"E-19";#N/A,#N/A,FALSE,"E-20";#N/A,#N/A,FALSE,"A-RTP";#N/A,#N/A,FALSE,"Strtlts &amp; Standby";#N/A,#N/A,FALSE,"AG";#N/A,#N/A,FALSE,"2001mixeduse"}</definedName>
    <definedName name="_foo3" localSheetId="21" hidden="1">{#N/A,#N/A,FALSE,"Res - Unadj";#N/A,#N/A,FALSE,"Small L&amp;P";#N/A,#N/A,FALSE,"Medium L&amp;P";#N/A,#N/A,FALSE,"E-19";#N/A,#N/A,FALSE,"E-20";#N/A,#N/A,FALSE,"A-RTP";#N/A,#N/A,FALSE,"Strtlts &amp; Standby";#N/A,#N/A,FALSE,"AG";#N/A,#N/A,FALSE,"2001mixeduse"}</definedName>
    <definedName name="_foo3" localSheetId="22" hidden="1">{#N/A,#N/A,FALSE,"Res - Unadj";#N/A,#N/A,FALSE,"Small L&amp;P";#N/A,#N/A,FALSE,"Medium L&amp;P";#N/A,#N/A,FALSE,"E-19";#N/A,#N/A,FALSE,"E-20";#N/A,#N/A,FALSE,"A-RTP";#N/A,#N/A,FALSE,"Strtlts &amp; Standby";#N/A,#N/A,FALSE,"AG";#N/A,#N/A,FALSE,"2001mixeduse"}</definedName>
    <definedName name="_foo3" localSheetId="9" hidden="1">{#N/A,#N/A,FALSE,"Res - Unadj";#N/A,#N/A,FALSE,"Small L&amp;P";#N/A,#N/A,FALSE,"Medium L&amp;P";#N/A,#N/A,FALSE,"E-19";#N/A,#N/A,FALSE,"E-20";#N/A,#N/A,FALSE,"A-RTP";#N/A,#N/A,FALSE,"Strtlts &amp; Standby";#N/A,#N/A,FALSE,"AG";#N/A,#N/A,FALSE,"2001mixeduse"}</definedName>
    <definedName name="_foo3" hidden="1">{#N/A,#N/A,FALSE,"Res - Unadj";#N/A,#N/A,FALSE,"Small L&amp;P";#N/A,#N/A,FALSE,"Medium L&amp;P";#N/A,#N/A,FALSE,"E-19";#N/A,#N/A,FALSE,"E-20";#N/A,#N/A,FALSE,"A-RTP";#N/A,#N/A,FALSE,"Strtlts &amp; Standby";#N/A,#N/A,FALSE,"AG";#N/A,#N/A,FALSE,"2001mixeduse"}</definedName>
    <definedName name="_foo4" localSheetId="19" hidden="1">{"Summary","1",FALSE,"Summary"}</definedName>
    <definedName name="_foo4" localSheetId="21" hidden="1">{"Summary","1",FALSE,"Summary"}</definedName>
    <definedName name="_foo4" localSheetId="22" hidden="1">{"Summary","1",FALSE,"Summary"}</definedName>
    <definedName name="_foo4" localSheetId="9" hidden="1">{"Summary","1",FALSE,"Summary"}</definedName>
    <definedName name="_foo4" hidden="1">{"Summary","1",FALSE,"Summary"}</definedName>
    <definedName name="_H1">{"'Metretek HTML'!$A$7:$W$42"}</definedName>
    <definedName name="_huh2" localSheetId="19" hidden="1">{#N/A,#N/A,FALSE,"Dist Rev at PR ";#N/A,#N/A,FALSE,"Spec";#N/A,#N/A,FALSE,"Res";#N/A,#N/A,FALSE,"Small L&amp;P";#N/A,#N/A,FALSE,"Medium L&amp;P";#N/A,#N/A,FALSE,"E-19";#N/A,#N/A,FALSE,"E-20";#N/A,#N/A,FALSE,"Strtlts &amp; Standby";#N/A,#N/A,FALSE,"A-RTP";#N/A,#N/A,FALSE,"2003mixeduse"}</definedName>
    <definedName name="_huh2" localSheetId="21" hidden="1">{#N/A,#N/A,FALSE,"Dist Rev at PR ";#N/A,#N/A,FALSE,"Spec";#N/A,#N/A,FALSE,"Res";#N/A,#N/A,FALSE,"Small L&amp;P";#N/A,#N/A,FALSE,"Medium L&amp;P";#N/A,#N/A,FALSE,"E-19";#N/A,#N/A,FALSE,"E-20";#N/A,#N/A,FALSE,"Strtlts &amp; Standby";#N/A,#N/A,FALSE,"A-RTP";#N/A,#N/A,FALSE,"2003mixeduse"}</definedName>
    <definedName name="_huh2" localSheetId="22" hidden="1">{#N/A,#N/A,FALSE,"Dist Rev at PR ";#N/A,#N/A,FALSE,"Spec";#N/A,#N/A,FALSE,"Res";#N/A,#N/A,FALSE,"Small L&amp;P";#N/A,#N/A,FALSE,"Medium L&amp;P";#N/A,#N/A,FALSE,"E-19";#N/A,#N/A,FALSE,"E-20";#N/A,#N/A,FALSE,"Strtlts &amp; Standby";#N/A,#N/A,FALSE,"A-RTP";#N/A,#N/A,FALSE,"2003mixeduse"}</definedName>
    <definedName name="_huh2" localSheetId="9" hidden="1">{#N/A,#N/A,FALSE,"Dist Rev at PR ";#N/A,#N/A,FALSE,"Spec";#N/A,#N/A,FALSE,"Res";#N/A,#N/A,FALSE,"Small L&amp;P";#N/A,#N/A,FALSE,"Medium L&amp;P";#N/A,#N/A,FALSE,"E-19";#N/A,#N/A,FALSE,"E-20";#N/A,#N/A,FALSE,"Strtlts &amp; Standby";#N/A,#N/A,FALSE,"A-RTP";#N/A,#N/A,FALSE,"2003mixeduse"}</definedName>
    <definedName name="_huh2" hidden="1">{#N/A,#N/A,FALSE,"Dist Rev at PR ";#N/A,#N/A,FALSE,"Spec";#N/A,#N/A,FALSE,"Res";#N/A,#N/A,FALSE,"Small L&amp;P";#N/A,#N/A,FALSE,"Medium L&amp;P";#N/A,#N/A,FALSE,"E-19";#N/A,#N/A,FALSE,"E-20";#N/A,#N/A,FALSE,"Strtlts &amp; Standby";#N/A,#N/A,FALSE,"A-RTP";#N/A,#N/A,FALSE,"2003mixeduse"}</definedName>
    <definedName name="_JAN01" hidden="1">{#N/A,#N/A,FALSE,"EMPPAY"}</definedName>
    <definedName name="_JAN2001" hidden="1">{#N/A,#N/A,FALSE,"EMPPAY"}</definedName>
    <definedName name="_Key.1"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21" hidden="1">#REF!</definedName>
    <definedName name="_Key1" localSheetId="23" hidden="1">#REF!</definedName>
    <definedName name="_Key1" localSheetId="25" hidden="1">#REF!</definedName>
    <definedName name="_Key1" localSheetId="27" hidden="1">#REF!</definedName>
    <definedName name="_Key1" localSheetId="29" hidden="1">#REF!</definedName>
    <definedName name="_Key1" localSheetId="30" hidden="1">#REF!</definedName>
    <definedName name="_Key1" localSheetId="4" hidden="1">#REF!</definedName>
    <definedName name="_Key1" localSheetId="7" hidden="1">#REF!</definedName>
    <definedName name="_Key1" localSheetId="9" hidden="1">#REF!</definedName>
    <definedName name="_Key1" localSheetId="10" hidden="1">#REF!</definedName>
    <definedName name="_Key1"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9" hidden="1">#REF!</definedName>
    <definedName name="_Key2" localSheetId="20" hidden="1">#REF!</definedName>
    <definedName name="_Key2" localSheetId="21" hidden="1">#REF!</definedName>
    <definedName name="_Key2" localSheetId="23" hidden="1">#REF!</definedName>
    <definedName name="_Key2" localSheetId="25" hidden="1">#REF!</definedName>
    <definedName name="_Key2" localSheetId="27" hidden="1">#REF!</definedName>
    <definedName name="_Key2" localSheetId="29" hidden="1">#REF!</definedName>
    <definedName name="_Key2" localSheetId="30" hidden="1">#REF!</definedName>
    <definedName name="_Key2" localSheetId="4" hidden="1">#REF!</definedName>
    <definedName name="_Key2" localSheetId="7" hidden="1">#REF!</definedName>
    <definedName name="_Key2" localSheetId="9" hidden="1">#REF!</definedName>
    <definedName name="_Key2" localSheetId="10" hidden="1">#REF!</definedName>
    <definedName name="_Key2" hidden="1">#REF!</definedName>
    <definedName name="_L2" localSheetId="19" hidden="1">{"PI_Data",#N/A,TRUE,"P&amp;I Data"}</definedName>
    <definedName name="_L2" localSheetId="21" hidden="1">{"PI_Data",#N/A,TRUE,"P&amp;I Data"}</definedName>
    <definedName name="_L2" localSheetId="22" hidden="1">{"PI_Data",#N/A,TRUE,"P&amp;I Data"}</definedName>
    <definedName name="_L2" localSheetId="9" hidden="1">{"PI_Data",#N/A,TRUE,"P&amp;I Data"}</definedName>
    <definedName name="_L2" hidden="1">{"PI_Data",#N/A,TRUE,"P&amp;I Data"}</definedName>
    <definedName name="_m2" localSheetId="19" hidden="1">{"PI_Data",#N/A,TRUE,"P&amp;I Data"}</definedName>
    <definedName name="_m2" localSheetId="21" hidden="1">{"PI_Data",#N/A,TRUE,"P&amp;I Data"}</definedName>
    <definedName name="_m2" localSheetId="22" hidden="1">{"PI_Data",#N/A,TRUE,"P&amp;I Data"}</definedName>
    <definedName name="_m2" localSheetId="9" hidden="1">{"PI_Data",#N/A,TRUE,"P&amp;I Data"}</definedName>
    <definedName name="_m2" hidden="1">{"PI_Data",#N/A,TRUE,"P&amp;I Data"}</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255</definedName>
    <definedName name="_Order2">255</definedName>
    <definedName name="_p2" localSheetId="19" hidden="1">{"PI_Data",#N/A,TRUE,"P&amp;I Data"}</definedName>
    <definedName name="_p2" localSheetId="21" hidden="1">{"PI_Data",#N/A,TRUE,"P&amp;I Data"}</definedName>
    <definedName name="_p2" localSheetId="22" hidden="1">{"PI_Data",#N/A,TRUE,"P&amp;I Data"}</definedName>
    <definedName name="_p2" localSheetId="9" hidden="1">{"PI_Data",#N/A,TRUE,"P&amp;I Data"}</definedName>
    <definedName name="_p2" hidden="1">{"PI_Data",#N/A,TRUE,"P&amp;I Data"}</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21" hidden="1">#REF!</definedName>
    <definedName name="_Sort" localSheetId="23" hidden="1">#REF!</definedName>
    <definedName name="_Sort" localSheetId="25" hidden="1">#REF!</definedName>
    <definedName name="_Sort" localSheetId="27" hidden="1">#REF!</definedName>
    <definedName name="_Sort" localSheetId="29" hidden="1">#REF!</definedName>
    <definedName name="_Sort" localSheetId="30" hidden="1">#REF!</definedName>
    <definedName name="_Sort" localSheetId="4" hidden="1">#REF!</definedName>
    <definedName name="_Sort" localSheetId="7" hidden="1">#REF!</definedName>
    <definedName name="_Sort" localSheetId="9" hidden="1">#REF!</definedName>
    <definedName name="_Sort" localSheetId="10" hidden="1">#REF!</definedName>
    <definedName name="_Sort" hidden="1">#REF!</definedName>
    <definedName name="_Sort.1" hidden="1">#REF!</definedName>
    <definedName name="_sort2" hidden="1">#REF!</definedName>
    <definedName name="_t2" localSheetId="19" hidden="1">{"PI_Data",#N/A,TRUE,"P&amp;I Data"}</definedName>
    <definedName name="_t2" localSheetId="21" hidden="1">{"PI_Data",#N/A,TRUE,"P&amp;I Data"}</definedName>
    <definedName name="_t2" localSheetId="22" hidden="1">{"PI_Data",#N/A,TRUE,"P&amp;I Data"}</definedName>
    <definedName name="_t2" localSheetId="9" hidden="1">{"PI_Data",#N/A,TRUE,"P&amp;I Data"}</definedName>
    <definedName name="_t2" hidden="1">{"PI_Data",#N/A,TRUE,"P&amp;I Data"}</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 localSheetId="19" hidden="1">{#N/A,#N/A,FALSE,"CTC Summary - EOY";#N/A,#N/A,FALSE,"CTC Summary - Wtavg"}</definedName>
    <definedName name="a" localSheetId="21" hidden="1">{#N/A,#N/A,FALSE,"CTC Summary - EOY";#N/A,#N/A,FALSE,"CTC Summary - Wtavg"}</definedName>
    <definedName name="a" localSheetId="22" hidden="1">{#N/A,#N/A,FALSE,"CTC Summary - EOY";#N/A,#N/A,FALSE,"CTC Summary - Wtavg"}</definedName>
    <definedName name="a" localSheetId="9" hidden="1">{#N/A,#N/A,FALSE,"CTC Summary - EOY";#N/A,#N/A,FALSE,"CTC Summary - Wtavg"}</definedName>
    <definedName name="a" hidden="1">{#N/A,#N/A,FALSE,"CTC Summary - EOY";#N/A,#N/A,FALSE,"CTC Summary - Wtavg"}</definedName>
    <definedName name="a.1" hidden="1">{"LBO Summary",#N/A,FALSE,"Summary"}</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"AAB_Description for addin 5,Description for addin 5,Description for addin 5,Description for addin 5,Description for addin 5,Description for addin 5"</definedName>
    <definedName name="ab">{"'Metretek HTML'!$A$7:$W$42"}</definedName>
    <definedName name="above">OFFSET(!A1,-1,0)</definedName>
    <definedName name="AC_255">'[8]AC 255'!$A$1:$M$32</definedName>
    <definedName name="acc">#REF!</definedName>
    <definedName name="ACCELERATED2" localSheetId="19" hidden="1">{#N/A,#N/A,FALSE,"CTC Summary - EOY";#N/A,#N/A,FALSE,"CTC Summary - Wtavg"}</definedName>
    <definedName name="ACCELERATED2" localSheetId="21" hidden="1">{#N/A,#N/A,FALSE,"CTC Summary - EOY";#N/A,#N/A,FALSE,"CTC Summary - Wtavg"}</definedName>
    <definedName name="ACCELERATED2" localSheetId="22" hidden="1">{#N/A,#N/A,FALSE,"CTC Summary - EOY";#N/A,#N/A,FALSE,"CTC Summary - Wtavg"}</definedName>
    <definedName name="ACCELERATED2" localSheetId="9" hidden="1">{#N/A,#N/A,FALSE,"CTC Summary - EOY";#N/A,#N/A,FALSE,"CTC Summary - Wtavg"}</definedName>
    <definedName name="ACCELERATED2" hidden="1">{#N/A,#N/A,FALSE,"CTC Summary - EOY";#N/A,#N/A,FALSE,"CTC Summary - Wtavg"}</definedName>
    <definedName name="ACCELLERATED1X" localSheetId="19" hidden="1">{#N/A,#N/A,FALSE,"CTC Summary - EOY";#N/A,#N/A,FALSE,"CTC Summary - Wtavg"}</definedName>
    <definedName name="ACCELLERATED1X" localSheetId="21" hidden="1">{#N/A,#N/A,FALSE,"CTC Summary - EOY";#N/A,#N/A,FALSE,"CTC Summary - Wtavg"}</definedName>
    <definedName name="ACCELLERATED1X" localSheetId="22" hidden="1">{#N/A,#N/A,FALSE,"CTC Summary - EOY";#N/A,#N/A,FALSE,"CTC Summary - Wtavg"}</definedName>
    <definedName name="ACCELLERATED1X" localSheetId="9" hidden="1">{#N/A,#N/A,FALSE,"CTC Summary - EOY";#N/A,#N/A,FALSE,"CTC Summary - Wtavg"}</definedName>
    <definedName name="ACCELLERATED1X" hidden="1">{#N/A,#N/A,FALSE,"CTC Summary - EOY";#N/A,#N/A,FALSE,"CTC Summary - Wtavg"}</definedName>
    <definedName name="Acct_AZ_UNSG_By_Plant">#REF!</definedName>
    <definedName name="ACTDEM">#REF!</definedName>
    <definedName name="ActivityType">'[9]Activity Type'!$1:$1048576</definedName>
    <definedName name="Actual">[10]Assumptions!$E$52</definedName>
    <definedName name="ACTUAL_DEMAND__KW">#REF!</definedName>
    <definedName name="Actual_Net_Rev_Req">#REF!</definedName>
    <definedName name="adfsadfds" hidden="1">{#N/A,#N/A,FALSE,"Monthly SAIFI";#N/A,#N/A,FALSE,"Yearly SAIFI";#N/A,#N/A,FALSE,"Monthly CAIDI";#N/A,#N/A,FALSE,"Yearly CAIDI";#N/A,#N/A,FALSE,"Monthly SAIDI";#N/A,#N/A,FALSE,"Yearly SAIDI";#N/A,#N/A,FALSE,"Monthly MAIFI";#N/A,#N/A,FALSE,"Yearly MAIFI";#N/A,#N/A,FALSE,"Monthly Cust &gt;=4 Int"}</definedName>
    <definedName name="ADIT">#REF!</definedName>
    <definedName name="ADIT_TST">'[11]A.2 PTP'!$P$55</definedName>
    <definedName name="Adjusted_KW">[12]CALCULATIONS!$C$29</definedName>
    <definedName name="ADTL">'[11]C. Input'!$F$144</definedName>
    <definedName name="AEAlloc">#REF!</definedName>
    <definedName name="AFMYear">#REF!</definedName>
    <definedName name="ag_1">'[13]Input Page'!$G$7</definedName>
    <definedName name="ag_cap_indirect">'[14]Input Page'!$G$7</definedName>
    <definedName name="ag_mix_cap">'[14]Input Page'!$G$8</definedName>
    <definedName name="ag_mix_total">'[14]Input Page'!$G$9</definedName>
    <definedName name="AG_TST">'[11]A.2 PTP'!$P$111</definedName>
    <definedName name="again" localSheetId="19" hidden="1">{#N/A,#N/A,FALSE,"ND Rev at Pres Rates";#N/A,#N/A,FALSE,"Res - Unadj sales";#N/A,#N/A,FALSE,"Small L&amp;P";#N/A,#N/A,FALSE,"Medium L&amp;P";#N/A,#N/A,FALSE,"E-19";#N/A,#N/A,FALSE,"E-20";#N/A,#N/A,FALSE,"Strtlts &amp; Standby";#N/A,#N/A,FALSE,"AG";#N/A,#N/A,FALSE,"A-RTP";#N/A,#N/A,FALSE,"Spec"}</definedName>
    <definedName name="again" localSheetId="21" hidden="1">{#N/A,#N/A,FALSE,"ND Rev at Pres Rates";#N/A,#N/A,FALSE,"Res - Unadj sales";#N/A,#N/A,FALSE,"Small L&amp;P";#N/A,#N/A,FALSE,"Medium L&amp;P";#N/A,#N/A,FALSE,"E-19";#N/A,#N/A,FALSE,"E-20";#N/A,#N/A,FALSE,"Strtlts &amp; Standby";#N/A,#N/A,FALSE,"AG";#N/A,#N/A,FALSE,"A-RTP";#N/A,#N/A,FALSE,"Spec"}</definedName>
    <definedName name="again" localSheetId="22" hidden="1">{#N/A,#N/A,FALSE,"ND Rev at Pres Rates";#N/A,#N/A,FALSE,"Res - Unadj sales";#N/A,#N/A,FALSE,"Small L&amp;P";#N/A,#N/A,FALSE,"Medium L&amp;P";#N/A,#N/A,FALSE,"E-19";#N/A,#N/A,FALSE,"E-20";#N/A,#N/A,FALSE,"Strtlts &amp; Standby";#N/A,#N/A,FALSE,"AG";#N/A,#N/A,FALSE,"A-RTP";#N/A,#N/A,FALSE,"Spec"}</definedName>
    <definedName name="again" localSheetId="9" hidden="1">{#N/A,#N/A,FALSE,"ND Rev at Pres Rates";#N/A,#N/A,FALSE,"Res - Unadj sales";#N/A,#N/A,FALSE,"Small L&amp;P";#N/A,#N/A,FALSE,"Medium L&amp;P";#N/A,#N/A,FALSE,"E-19";#N/A,#N/A,FALSE,"E-20";#N/A,#N/A,FALSE,"Strtlts &amp; Standby";#N/A,#N/A,FALSE,"AG";#N/A,#N/A,FALSE,"A-RTP";#N/A,#N/A,FALSE,"Spec"}</definedName>
    <definedName name="again" hidden="1">{#N/A,#N/A,FALSE,"ND Rev at Pres Rates";#N/A,#N/A,FALSE,"Res - Unadj sales";#N/A,#N/A,FALSE,"Small L&amp;P";#N/A,#N/A,FALSE,"Medium L&amp;P";#N/A,#N/A,FALSE,"E-19";#N/A,#N/A,FALSE,"E-20";#N/A,#N/A,FALSE,"Strtlts &amp; Standby";#N/A,#N/A,FALSE,"AG";#N/A,#N/A,FALSE,"A-RTP";#N/A,#N/A,FALSE,"Spec"}</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[15]ALL!$B$25</definedName>
    <definedName name="ALLCGI">[15]ALL!$D$25</definedName>
    <definedName name="AllocationDate">#REF!</definedName>
    <definedName name="Allocator.gross.plant">'[16]Appendix A'!$H$29</definedName>
    <definedName name="Allocator.net.plant">'[16]Appendix A'!$H$32</definedName>
    <definedName name="Allocator.wages.salary">'[16]Appendix A'!$H$17</definedName>
    <definedName name="Allocators">#REF!</definedName>
    <definedName name="ALLRD">[15]ALL!$C$25</definedName>
    <definedName name="ALLSKP">[15]ALL!$E$25</definedName>
    <definedName name="alsdfa" hidden="1">{#N/A,#N/A,FALSE,"Monthly SAIFI";#N/A,#N/A,FALSE,"Yearly SAIFI";#N/A,#N/A,FALSE,"Monthly CAIDI";#N/A,#N/A,FALSE,"Yearly CAIDI";#N/A,#N/A,FALSE,"Monthly SAIDI";#N/A,#N/A,FALSE,"Yearly SAIDI";#N/A,#N/A,FALSE,"Monthly MAIFI";#N/A,#N/A,FALSE,"Yearly MAIFI";#N/A,#N/A,FALSE,"Monthly Cust &gt;=4 Int"}</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PCFAC">#REF!</definedName>
    <definedName name="APCLF">#REF!</definedName>
    <definedName name="APCMW">#REF!</definedName>
    <definedName name="APCMWH">#REF!</definedName>
    <definedName name="APN">'[17]Gas Ferc 2 2003'!$V$2</definedName>
    <definedName name="April" localSheetId="19" hidden="1">{#N/A,#N/A,FALSE,"CTC Summary - EOY";#N/A,#N/A,FALSE,"CTC Summary - Wtavg"}</definedName>
    <definedName name="April" localSheetId="21" hidden="1">{#N/A,#N/A,FALSE,"CTC Summary - EOY";#N/A,#N/A,FALSE,"CTC Summary - Wtavg"}</definedName>
    <definedName name="April" localSheetId="22" hidden="1">{#N/A,#N/A,FALSE,"CTC Summary - EOY";#N/A,#N/A,FALSE,"CTC Summary - Wtavg"}</definedName>
    <definedName name="April" localSheetId="9" hidden="1">{#N/A,#N/A,FALSE,"CTC Summary - EOY";#N/A,#N/A,FALSE,"CTC Summary - Wtavg"}</definedName>
    <definedName name="April" hidden="1">{#N/A,#N/A,FALSE,"CTC Summary - EOY";#N/A,#N/A,FALSE,"CTC Summary - Wtavg"}</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[18]Input!$B$6</definedName>
    <definedName name="assd" hidden="1">{#N/A,#N/A,FALSE,"Monthly SAIFI";#N/A,#N/A,FALSE,"Yearly SAIFI";#N/A,#N/A,FALSE,"Monthly CAIDI";#N/A,#N/A,FALSE,"Yearly CAIDI";#N/A,#N/A,FALSE,"Monthly SAIDI";#N/A,#N/A,FALSE,"Yearly SAIDI";#N/A,#N/A,FALSE,"Monthly MAIFI";#N/A,#N/A,FALSE,"Yearly MAIFI";#N/A,#N/A,FALSE,"Monthly Cust &gt;=4 Int"}</definedName>
    <definedName name="August" localSheetId="19" hidden="1">{#N/A,#N/A,FALSE,"CTC Summary - EOY";#N/A,#N/A,FALSE,"CTC Summary - Wtavg"}</definedName>
    <definedName name="August" localSheetId="21" hidden="1">{#N/A,#N/A,FALSE,"CTC Summary - EOY";#N/A,#N/A,FALSE,"CTC Summary - Wtavg"}</definedName>
    <definedName name="August" localSheetId="22" hidden="1">{#N/A,#N/A,FALSE,"CTC Summary - EOY";#N/A,#N/A,FALSE,"CTC Summary - Wtavg"}</definedName>
    <definedName name="August" localSheetId="9" hidden="1">{#N/A,#N/A,FALSE,"CTC Summary - EOY";#N/A,#N/A,FALSE,"CTC Summary - Wtavg"}</definedName>
    <definedName name="August" hidden="1">{#N/A,#N/A,FALSE,"CTC Summary - EOY";#N/A,#N/A,FALSE,"CTC Summary - Wtavg"}</definedName>
    <definedName name="avoidint">"V2001-12-31"</definedName>
    <definedName name="az">{"'Metretek HTML'!$A$7:$W$42"}</definedName>
    <definedName name="b" localSheetId="19" hidden="1">{#N/A,#N/A,FALSE,"CTC Summary - EOY";#N/A,#N/A,FALSE,"CTC Summary - Wtavg"}</definedName>
    <definedName name="b" localSheetId="21" hidden="1">{#N/A,#N/A,FALSE,"CTC Summary - EOY";#N/A,#N/A,FALSE,"CTC Summary - Wtavg"}</definedName>
    <definedName name="b" localSheetId="22" hidden="1">{#N/A,#N/A,FALSE,"CTC Summary - EOY";#N/A,#N/A,FALSE,"CTC Summary - Wtavg"}</definedName>
    <definedName name="b" localSheetId="9" hidden="1">{#N/A,#N/A,FALSE,"CTC Summary - EOY";#N/A,#N/A,FALSE,"CTC Summary - Wtavg"}</definedName>
    <definedName name="b" hidden="1">{#N/A,#N/A,FALSE,"CTC Summary - EOY";#N/A,#N/A,FALSE,"CTC Summary - Wtavg"}</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1P1">#REF!</definedName>
    <definedName name="BALANCE">'[19]MTHLY BAL.'!$A$6:$O$89</definedName>
    <definedName name="Balances">#REF!</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eYear">#REF!</definedName>
    <definedName name="Basis_Points">[10]Assumptions!$H$15</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BFAC">#REF!</definedName>
    <definedName name="BBLF">#REF!</definedName>
    <definedName name="BBMW">#REF!</definedName>
    <definedName name="BBMWH">#REF!</definedName>
    <definedName name="beg_CWIP">'[20]Input Page'!$E$19</definedName>
    <definedName name="below">OFFSET(!A1,1,0)</definedName>
    <definedName name="bench">#REF!</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'[21]10.08.5 - 2008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'[21]10.08.3 - 2008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'[21]10.08.5 - 2008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'[21]10.08.5 - 2008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'[21]10.08.2 - 2008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'[21]10.08.3 - 2008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'[21]10.08.4 -2008 Capital'!#REF!</definedName>
    <definedName name="BEx1U15M7LVVFZENH830B2BGWC04" hidden="1">#REF!</definedName>
    <definedName name="BEx1U5NGVTXGL4CIPVT5O034KGGR" hidden="1">'[21]10.08.3 - 2008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'[21]10.08.5 - 2008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'[21]10.08.5 - 2008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[22]Table!#REF!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'[21]10.08.5 - 2008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'[21]10.08.5 - 2008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'[21]10.08.3 - 2008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[22]Table!#REF!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'[21]10.08.5 - 2008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'[21]10.08.4 -2008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'[21]10.08.5 - 2008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'[21]10.08.5 - 2008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'[21]10.08.4 -2008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'[21]10.08.5 - 2008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'[21]10.08.3 - 2008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'[21]10.08.2 - 2008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'[21]10.08.3 - 2008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'[21]10.08.5 - 2008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'[21]10.08.5 - 2008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'[21]10.08.5 - 2008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'[21]10.08.2 - 2008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'[21]10.08.5 - 2008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'[21]10.08.2 - 2008 Expense'!#REF!</definedName>
    <definedName name="BExCUW1QXVMEP3B9SFPNEEWCG9I0" hidden="1">'[21]10.08.5 - 2008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'[21]10.08.4 -2008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'[21]10.08.2 - 2008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'[21]10.08.3 - 2008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[22]Table!#REF!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'[21]10.08.4 -2008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'[21]10.08.4 -2008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'[21]10.08.2 - 2008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'[21]10.08.5 - 2008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'[21]10.08.4 -2008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'[21]10.08.5 - 2008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'[21]10.08.4 -2008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'[21]10.08.4 -2008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'[21]10.08.2 - 2008 Expense'!#REF!</definedName>
    <definedName name="BExIM2RXHXBO63HBPUTHF775IIRY" hidden="1">#REF!</definedName>
    <definedName name="BExIM2RXYS5BGYBDMFLU1RE8039Z" hidden="1">#REF!</definedName>
    <definedName name="BExIM2X90EG7J3TG4STQ3J1OK4O0" hidden="1">'[21]10.08.5 - 2008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'[21]10.08.5 - 2008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'[21]10.08.5 - 2008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'[21]10.08.2 - 2008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'[21]10.08.4 -2008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'[21]10.08.4 -2008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'[21]10.08.5 - 2008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[22]Table!#REF!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'[21]10.08.5 - 2008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'[21]10.08.5 - 2008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'[21]10.08.5 - 2008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'[21]10.08.3 - 2008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'[21]10.08.2 - 2008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'[21]10.08.5 - 2008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[22]Table!#REF!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'[21]10.08.2 - 2008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'[21]10.08.5 - 2008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'[21]10.08.3 - 2008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'[21]10.08.2 - 2008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'[21]10.08.2 - 2008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[22]Table!#REF!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'[21]10.08.4 -2008 Capital'!#REF!</definedName>
    <definedName name="BExTYLUCLWGGQOEPH6W91DIYL3RQ" hidden="1">#REF!</definedName>
    <definedName name="BExTYOZQGNRDMMFZOG8515WQDGU3" hidden="1">'[21]10.08.5 - 2008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'[21]10.08.2 - 2008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'[21]10.08.5 - 2008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'[21]10.08.5 - 2008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'[21]10.08.5 - 2008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'[21]10.08.3 - 2008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'[21]10.08.2 - 2008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'[21]10.08.5 - 2008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'[21]10.08.3 - 2008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'[21]10.08.5 - 2008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'[21]10.08.2 - 2008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'[21]10.08.3 - 2008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'[21]10.08.5 - 2008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'[21]10.08.5 - 2008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'[21]10.08.5 - 2008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S_Cost_Scenario">[10]Assumptions!$E$33</definedName>
    <definedName name="BGS_RFP">[10]Assumptions!$E$36</definedName>
    <definedName name="BILLCO">'[3]DPLG-APRIL2001-TRANSCHECKOUT'!$M$1:$P$65536</definedName>
    <definedName name="BILLED_HOURS">#REF!</definedName>
    <definedName name="BILLING_DEMAND__KW">#REF!</definedName>
    <definedName name="BLE_Close_Date">[23]Assumptions!$E$28</definedName>
    <definedName name="BPAAlloc">#REF!</definedName>
    <definedName name="BPACustAlloc">#REF!</definedName>
    <definedName name="BPAGenAlloc">#REF!</definedName>
    <definedName name="BPAGenHead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DMONTH">#REF!</definedName>
    <definedName name="BRDMONTH12">#REF!</definedName>
    <definedName name="BRDQTR">#REF!</definedName>
    <definedName name="BRDYTD">#REF!</definedName>
    <definedName name="BRMAT">#REF!</definedName>
    <definedName name="BS">'[24]Consol Adj.'!#REF!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AAlloc">#REF!</definedName>
    <definedName name="can" hidden="1">{#N/A,#N/A,FALSE,"O&amp;M by processes";#N/A,#N/A,FALSE,"Elec Act vs Bud";#N/A,#N/A,FALSE,"G&amp;A";#N/A,#N/A,FALSE,"BGS";#N/A,#N/A,FALSE,"Res Cost"}</definedName>
    <definedName name="CandAByCust">#REF!</definedName>
    <definedName name="CandAByFunc">#REF!</definedName>
    <definedName name="cap">#REF!</definedName>
    <definedName name="cap_interest">'[20]Input Page'!$E$16</definedName>
    <definedName name="CASE">#REF!</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'[25]Actual Gross Rev'!$N$213</definedName>
    <definedName name="CE_EAI">'[11]C. Input'!$I$37</definedName>
    <definedName name="CE_EGSI">'[11]C. Input'!$L$37</definedName>
    <definedName name="CE_ELI">'[11]C. Input'!$O$37</definedName>
    <definedName name="CE_EMI">'[11]C. Input'!$R$37</definedName>
    <definedName name="CE_ENOI">'[11]C. Input'!$X$37</definedName>
    <definedName name="CEA">'[26]ATRR Act'!$G$172</definedName>
    <definedName name="CECE" comment="Common Plant Allocator">[27]AttachmentH!$J$189</definedName>
    <definedName name="CEE">'[28]Actual Gross Rev Req'!#REF!</definedName>
    <definedName name="cell.above">!A1048576</definedName>
    <definedName name="cell.below">!A2</definedName>
    <definedName name="cell.left">!XFD1</definedName>
    <definedName name="cell.right">!B1</definedName>
    <definedName name="CENTS_KWH__GROSS">#REF!</definedName>
    <definedName name="CENTS_KWH__NET">#REF!</definedName>
    <definedName name="CEP_Amortization">'[23]JFJ-4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IQWBGuid" hidden="1">"5c45d50c-fbb0-4040-9a33-7ec34da71b69"</definedName>
    <definedName name="CITYM">#REF!</definedName>
    <definedName name="CITYS">#REF!</definedName>
    <definedName name="CITYST">#REF!</definedName>
    <definedName name="CITYT">#REF!</definedName>
    <definedName name="Class">#REF!</definedName>
    <definedName name="ClassCode">#REF!</definedName>
    <definedName name="ClassCustomer">#REF!</definedName>
    <definedName name="ClassDA">#REF!</definedName>
    <definedName name="ClassFunction">#REF!</definedName>
    <definedName name="ClassMethod">#REF!</definedName>
    <definedName name="cleanup" hidden="1">{#N/A,#N/A,TRUE,"TAXPROV";#N/A,#N/A,TRUE,"FLOWTHRU";#N/A,#N/A,TRUE,"SCHEDULE M'S";#N/A,#N/A,TRUE,"PLANT M'S";#N/A,#N/A,TRUE,"TAXJE"}</definedName>
    <definedName name="ClientMatter" hidden="1">"b1"</definedName>
    <definedName name="Code">'[29]Array Tables'!$B$4:$B$236</definedName>
    <definedName name="COGEN">'[30]October Tariff kwh'!$A$1:$H$83</definedName>
    <definedName name="ColumnAttributes1">#REF!</definedName>
    <definedName name="ColumnHeadings1">#REF!</definedName>
    <definedName name="Columns">#REF!</definedName>
    <definedName name="Company_Name">[2]Menu!$I$11</definedName>
    <definedName name="CompanyCount">'[2]QRE Charts'!$F$214</definedName>
    <definedName name="CompanyName">'[31]Title Page'!$A$22</definedName>
    <definedName name="COMPAR_PRT_RNG">[2]Comparison!$B$8:$BT$170</definedName>
    <definedName name="compInc">[32]Inputs!$B$4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'[33]2004 TAX PROV'!$U$11:$AR$764</definedName>
    <definedName name="copy" localSheetId="19" hidden="1">{#N/A,#N/A,FALSE,"Dist Rev at PR ";#N/A,#N/A,FALSE,"Spec";#N/A,#N/A,FALSE,"Res";#N/A,#N/A,FALSE,"Small L&amp;P";#N/A,#N/A,FALSE,"Medium L&amp;P";#N/A,#N/A,FALSE,"E-19";#N/A,#N/A,FALSE,"E-20";#N/A,#N/A,FALSE,"Strtlts &amp; Standby";#N/A,#N/A,FALSE,"A-RTP";#N/A,#N/A,FALSE,"2003mixeduse"}</definedName>
    <definedName name="copy" localSheetId="21" hidden="1">{#N/A,#N/A,FALSE,"Dist Rev at PR ";#N/A,#N/A,FALSE,"Spec";#N/A,#N/A,FALSE,"Res";#N/A,#N/A,FALSE,"Small L&amp;P";#N/A,#N/A,FALSE,"Medium L&amp;P";#N/A,#N/A,FALSE,"E-19";#N/A,#N/A,FALSE,"E-20";#N/A,#N/A,FALSE,"Strtlts &amp; Standby";#N/A,#N/A,FALSE,"A-RTP";#N/A,#N/A,FALSE,"2003mixeduse"}</definedName>
    <definedName name="copy" localSheetId="22" hidden="1">{#N/A,#N/A,FALSE,"Dist Rev at PR ";#N/A,#N/A,FALSE,"Spec";#N/A,#N/A,FALSE,"Res";#N/A,#N/A,FALSE,"Small L&amp;P";#N/A,#N/A,FALSE,"Medium L&amp;P";#N/A,#N/A,FALSE,"E-19";#N/A,#N/A,FALSE,"E-20";#N/A,#N/A,FALSE,"Strtlts &amp; Standby";#N/A,#N/A,FALSE,"A-RTP";#N/A,#N/A,FALSE,"2003mixeduse"}</definedName>
    <definedName name="copy" localSheetId="9" hidden="1">{#N/A,#N/A,FALSE,"Dist Rev at PR ";#N/A,#N/A,FALSE,"Spec";#N/A,#N/A,FALSE,"Res";#N/A,#N/A,FALSE,"Small L&amp;P";#N/A,#N/A,FALSE,"Medium L&amp;P";#N/A,#N/A,FALSE,"E-19";#N/A,#N/A,FALSE,"E-20";#N/A,#N/A,FALSE,"Strtlts &amp; Standby";#N/A,#N/A,FALSE,"A-RTP";#N/A,#N/A,FALSE,"2003mixeduse"}</definedName>
    <definedName name="copy" hidden="1">{#N/A,#N/A,FALSE,"Dist Rev at PR ";#N/A,#N/A,FALSE,"Spec";#N/A,#N/A,FALSE,"Res";#N/A,#N/A,FALSE,"Small L&amp;P";#N/A,#N/A,FALSE,"Medium L&amp;P";#N/A,#N/A,FALSE,"E-19";#N/A,#N/A,FALSE,"E-20";#N/A,#N/A,FALSE,"Strtlts &amp; Standby";#N/A,#N/A,FALSE,"A-RTP";#N/A,#N/A,FALSE,"2003mixeduse"}</definedName>
    <definedName name="copyprint" localSheetId="19" hidden="1">{#N/A,#N/A,FALSE,"Workpaper Tables 4-1 &amp; 4-2";#N/A,#N/A,FALSE,"Revenue Allocation Results";#N/A,#N/A,FALSE,"FERC Rev @ PR";#N/A,#N/A,FALSE,"Distribution Revenue Allocation";#N/A,#N/A,FALSE,"Nonallocated Revenues ";#N/A,#N/A,FALSE,"2000mixuse";#N/A,#N/A,FALSE,"MC Revenues- 00 sales, 96 MC's"}</definedName>
    <definedName name="copyprint" localSheetId="21" hidden="1">{#N/A,#N/A,FALSE,"Workpaper Tables 4-1 &amp; 4-2";#N/A,#N/A,FALSE,"Revenue Allocation Results";#N/A,#N/A,FALSE,"FERC Rev @ PR";#N/A,#N/A,FALSE,"Distribution Revenue Allocation";#N/A,#N/A,FALSE,"Nonallocated Revenues ";#N/A,#N/A,FALSE,"2000mixuse";#N/A,#N/A,FALSE,"MC Revenues- 00 sales, 96 MC's"}</definedName>
    <definedName name="copyprint" localSheetId="22" hidden="1">{#N/A,#N/A,FALSE,"Workpaper Tables 4-1 &amp; 4-2";#N/A,#N/A,FALSE,"Revenue Allocation Results";#N/A,#N/A,FALSE,"FERC Rev @ PR";#N/A,#N/A,FALSE,"Distribution Revenue Allocation";#N/A,#N/A,FALSE,"Nonallocated Revenues ";#N/A,#N/A,FALSE,"2000mixuse";#N/A,#N/A,FALSE,"MC Revenues- 00 sales, 96 MC's"}</definedName>
    <definedName name="copyprint" localSheetId="9" hidden="1">{#N/A,#N/A,FALSE,"Workpaper Tables 4-1 &amp; 4-2";#N/A,#N/A,FALSE,"Revenue Allocation Results";#N/A,#N/A,FALSE,"FERC Rev @ PR";#N/A,#N/A,FALSE,"Distribution Revenue Allocation";#N/A,#N/A,FALSE,"Nonallocated Revenues ";#N/A,#N/A,FALSE,"2000mixuse";#N/A,#N/A,FALSE,"MC Revenues- 00 sales, 96 MC's"}</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2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2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19" hidden="1">{#N/A,#N/A,FALSE,"RRQ inputs ";#N/A,#N/A,FALSE,"FERC Rev @ PR";#N/A,#N/A,FALSE,"Distribution Revenue Allocation";#N/A,#N/A,FALSE,"Nonallocated Revenues";#N/A,#N/A,FALSE,"MC Revenues-03 sales, 96 MC's";#N/A,#N/A,FALSE,"FTA"}</definedName>
    <definedName name="copyrevalloc" localSheetId="21" hidden="1">{#N/A,#N/A,FALSE,"RRQ inputs ";#N/A,#N/A,FALSE,"FERC Rev @ PR";#N/A,#N/A,FALSE,"Distribution Revenue Allocation";#N/A,#N/A,FALSE,"Nonallocated Revenues";#N/A,#N/A,FALSE,"MC Revenues-03 sales, 96 MC's";#N/A,#N/A,FALSE,"FTA"}</definedName>
    <definedName name="copyrevalloc" localSheetId="22" hidden="1">{#N/A,#N/A,FALSE,"RRQ inputs ";#N/A,#N/A,FALSE,"FERC Rev @ PR";#N/A,#N/A,FALSE,"Distribution Revenue Allocation";#N/A,#N/A,FALSE,"Nonallocated Revenues";#N/A,#N/A,FALSE,"MC Revenues-03 sales, 96 MC's";#N/A,#N/A,FALSE,"FTA"}</definedName>
    <definedName name="copyrevalloc" localSheetId="9" hidden="1">{#N/A,#N/A,FALSE,"RRQ inputs ";#N/A,#N/A,FALSE,"FERC Rev @ PR";#N/A,#N/A,FALSE,"Distribution Revenue Allocation";#N/A,#N/A,FALSE,"Nonallocated Revenues";#N/A,#N/A,FALSE,"MC Revenues-03 sales, 96 MC's";#N/A,#N/A,FALSE,"FTA"}</definedName>
    <definedName name="copyrevalloc" hidden="1">{#N/A,#N/A,FALSE,"RRQ inputs ";#N/A,#N/A,FALSE,"FERC Rev @ PR";#N/A,#N/A,FALSE,"Distribution Revenue Allocation";#N/A,#N/A,FALSE,"Nonallocated Revenues";#N/A,#N/A,FALSE,"MC Revenues-03 sales, 96 MC's";#N/A,#N/A,FALSE,"FTA"}</definedName>
    <definedName name="copyschudel" localSheetId="19" hidden="1">{#N/A,#N/A,FALSE,"ND Rev at Pres Rates";#N/A,#N/A,FALSE,"Res - Unadj";#N/A,#N/A,FALSE,"Small L&amp;P";#N/A,#N/A,FALSE,"Medium L&amp;P";#N/A,#N/A,FALSE,"E-19";#N/A,#N/A,FALSE,"E-20";#N/A,#N/A,FALSE,"A-RTP";#N/A,#N/A,FALSE,"Strtlts &amp; Standby";#N/A,#N/A,FALSE,"AG";#N/A,#N/A,FALSE,"2001mixeduse"}</definedName>
    <definedName name="copyschudel" localSheetId="21" hidden="1">{#N/A,#N/A,FALSE,"ND Rev at Pres Rates";#N/A,#N/A,FALSE,"Res - Unadj";#N/A,#N/A,FALSE,"Small L&amp;P";#N/A,#N/A,FALSE,"Medium L&amp;P";#N/A,#N/A,FALSE,"E-19";#N/A,#N/A,FALSE,"E-20";#N/A,#N/A,FALSE,"A-RTP";#N/A,#N/A,FALSE,"Strtlts &amp; Standby";#N/A,#N/A,FALSE,"AG";#N/A,#N/A,FALSE,"2001mixeduse"}</definedName>
    <definedName name="copyschudel" localSheetId="22" hidden="1">{#N/A,#N/A,FALSE,"ND Rev at Pres Rates";#N/A,#N/A,FALSE,"Res - Unadj";#N/A,#N/A,FALSE,"Small L&amp;P";#N/A,#N/A,FALSE,"Medium L&amp;P";#N/A,#N/A,FALSE,"E-19";#N/A,#N/A,FALSE,"E-20";#N/A,#N/A,FALSE,"A-RTP";#N/A,#N/A,FALSE,"Strtlts &amp; Standby";#N/A,#N/A,FALSE,"AG";#N/A,#N/A,FALSE,"2001mixeduse"}</definedName>
    <definedName name="copyschudel" localSheetId="9" hidden="1">{#N/A,#N/A,FALSE,"ND Rev at Pres Rates";#N/A,#N/A,FALSE,"Res - Unadj";#N/A,#N/A,FALSE,"Small L&amp;P";#N/A,#N/A,FALSE,"Medium L&amp;P";#N/A,#N/A,FALSE,"E-19";#N/A,#N/A,FALSE,"E-20";#N/A,#N/A,FALSE,"A-RTP";#N/A,#N/A,FALSE,"Strtlts &amp; Standby";#N/A,#N/A,FALSE,"AG";#N/A,#N/A,FALSE,"2001mixeduse"}</definedName>
    <definedName name="copyschudel" hidden="1">{#N/A,#N/A,FALSE,"ND Rev at Pres Rates";#N/A,#N/A,FALSE,"Res - Unadj";#N/A,#N/A,FALSE,"Small L&amp;P";#N/A,#N/A,FALSE,"Medium L&amp;P";#N/A,#N/A,FALSE,"E-19";#N/A,#N/A,FALSE,"E-20";#N/A,#N/A,FALSE,"A-RTP";#N/A,#N/A,FALSE,"Strtlts &amp; Standby";#N/A,#N/A,FALSE,"AG";#N/A,#N/A,FALSE,"2001mixeduse"}</definedName>
    <definedName name="Cost_Center">'[29]Array Tables'!$A$4:$A$236</definedName>
    <definedName name="cost_of_good_sold">'[20]Input Page'!$E$11</definedName>
    <definedName name="cost2001">[34]Input!$M$23</definedName>
    <definedName name="COUNTER">'[2]Macro Tables'!$C$21</definedName>
    <definedName name="Cover">#REF!</definedName>
    <definedName name="cp">#REF!</definedName>
    <definedName name="CPAlloc">#REF!</definedName>
    <definedName name="CPHeader">#REF!</definedName>
    <definedName name="CR">'[11]C. Input'!$F$27</definedName>
    <definedName name="credit_rate">[2]Print!$I$18</definedName>
    <definedName name="creditsummary">[2]Model!$A$180:$E$201</definedName>
    <definedName name="_xlnm.Criteria">#REF!</definedName>
    <definedName name="CTF">'[35]Attachment 15 - Income Taxes'!$E$12</definedName>
    <definedName name="CTIT" localSheetId="19" hidden="1">{"PI_Data",#N/A,TRUE,"P&amp;I Data"}</definedName>
    <definedName name="CTIT" localSheetId="21" hidden="1">{"PI_Data",#N/A,TRUE,"P&amp;I Data"}</definedName>
    <definedName name="CTIT" localSheetId="22" hidden="1">{"PI_Data",#N/A,TRUE,"P&amp;I Data"}</definedName>
    <definedName name="CTIT" localSheetId="9" hidden="1">{"PI_Data",#N/A,TRUE,"P&amp;I Data"}</definedName>
    <definedName name="CTIT" hidden="1">{"PI_Data",#N/A,TRUE,"P&amp;I Data"}</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rrent_sum">#REF!</definedName>
    <definedName name="Current_Year">'[36]Electric Fund Historical'!$D$1</definedName>
    <definedName name="custgrowth">#REF!</definedName>
    <definedName name="CUT">[37]AFUDC_CCRF!$A$1:$N$303</definedName>
    <definedName name="CUTINS">[37]AFUDC_CCRF!$A$73:$N$160</definedName>
    <definedName name="CYPRUSFAC">#REF!</definedName>
    <definedName name="CYPRUSLF">#REF!</definedName>
    <definedName name="CYPRUSMW">#REF!</definedName>
    <definedName name="CYPRUSMWH">#REF!</definedName>
    <definedName name="d" localSheetId="19" hidden="1">{#N/A,#N/A,FALSE,"CTC Summary - EOY";#N/A,#N/A,FALSE,"CTC Summary - Wtavg"}</definedName>
    <definedName name="d" localSheetId="21" hidden="1">{#N/A,#N/A,FALSE,"CTC Summary - EOY";#N/A,#N/A,FALSE,"CTC Summary - Wtavg"}</definedName>
    <definedName name="d" localSheetId="22" hidden="1">{#N/A,#N/A,FALSE,"CTC Summary - EOY";#N/A,#N/A,FALSE,"CTC Summary - Wtavg"}</definedName>
    <definedName name="d" localSheetId="9" hidden="1">{#N/A,#N/A,FALSE,"CTC Summary - EOY";#N/A,#N/A,FALSE,"CTC Summary - Wtavg"}</definedName>
    <definedName name="d" hidden="1">{#N/A,#N/A,FALSE,"CTC Summary - EOY";#N/A,#N/A,FALSE,"CTC Summary - Wtavg"}</definedName>
    <definedName name="D_EAI">'[11]C. Input'!$I$33</definedName>
    <definedName name="D_EGSI">'[11]C. Input'!$L$33</definedName>
    <definedName name="D_EMI">'[11]C. Input'!$R$33</definedName>
    <definedName name="D_ENOI">'[11]C. Input'!$X$33</definedName>
    <definedName name="DA">'[25]Actual Gross Rev'!$J$43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3">[38]Permanent!$A$9:$O$20</definedName>
    <definedName name="data_year">'[39]Appendix A'!$H$5</definedName>
    <definedName name="_xlnm.Database">#REF!</definedName>
    <definedName name="DATABASE1">#REF!</definedName>
    <definedName name="Database2">[40]REPORT!$A$16:$F$278</definedName>
    <definedName name="DATAFEEDER">[41]!DATAFEEDER</definedName>
    <definedName name="Date" hidden="1">"b1"</definedName>
    <definedName name="DAYs">[42]A!$Q$60</definedName>
    <definedName name="DD.">[43]Input!$F$33</definedName>
    <definedName name="ddd">[44]Sheet1!$J$130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#REF!</definedName>
    <definedName name="DEC00" hidden="1">{#N/A,#N/A,FALSE,"ARREC"}</definedName>
    <definedName name="DefaultCopy">#REF!</definedName>
    <definedName name="DefaultPaste">#REF!</definedName>
    <definedName name="Deferral_Interest_Rate">[10]Assumptions!$H$14</definedName>
    <definedName name="Deferral_Recovery">'[23]JFJ-1 Deferral Recovery Rate'!$A$14:$F$64</definedName>
    <definedName name="DefTax">[45]Lists!$A$2:$A$4</definedName>
    <definedName name="delete" hidden="1">{#N/A,#N/A,FALSE,"CURRENT"}</definedName>
    <definedName name="DeleteMe" localSheetId="19" hidden="1">{#N/A,#N/A,FALSE,"Dist Rev at PR ";#N/A,#N/A,FALSE,"Spec";#N/A,#N/A,FALSE,"Res";#N/A,#N/A,FALSE,"Small L&amp;P";#N/A,#N/A,FALSE,"Medium L&amp;P";#N/A,#N/A,FALSE,"E-19";#N/A,#N/A,FALSE,"E-20";#N/A,#N/A,FALSE,"Strtlts &amp; Standby";#N/A,#N/A,FALSE,"A-RTP";#N/A,#N/A,FALSE,"2003mixeduse"}</definedName>
    <definedName name="DeleteMe" localSheetId="21" hidden="1">{#N/A,#N/A,FALSE,"Dist Rev at PR ";#N/A,#N/A,FALSE,"Spec";#N/A,#N/A,FALSE,"Res";#N/A,#N/A,FALSE,"Small L&amp;P";#N/A,#N/A,FALSE,"Medium L&amp;P";#N/A,#N/A,FALSE,"E-19";#N/A,#N/A,FALSE,"E-20";#N/A,#N/A,FALSE,"Strtlts &amp; Standby";#N/A,#N/A,FALSE,"A-RTP";#N/A,#N/A,FALSE,"2003mixeduse"}</definedName>
    <definedName name="DeleteMe" localSheetId="22" hidden="1">{#N/A,#N/A,FALSE,"Dist Rev at PR ";#N/A,#N/A,FALSE,"Spec";#N/A,#N/A,FALSE,"Res";#N/A,#N/A,FALSE,"Small L&amp;P";#N/A,#N/A,FALSE,"Medium L&amp;P";#N/A,#N/A,FALSE,"E-19";#N/A,#N/A,FALSE,"E-20";#N/A,#N/A,FALSE,"Strtlts &amp; Standby";#N/A,#N/A,FALSE,"A-RTP";#N/A,#N/A,FALSE,"2003mixeduse"}</definedName>
    <definedName name="DeleteMe" localSheetId="9" hidden="1">{#N/A,#N/A,FALSE,"Dist Rev at PR ";#N/A,#N/A,FALSE,"Spec";#N/A,#N/A,FALSE,"Res";#N/A,#N/A,FALSE,"Small L&amp;P";#N/A,#N/A,FALSE,"Medium L&amp;P";#N/A,#N/A,FALSE,"E-19";#N/A,#N/A,FALSE,"E-20";#N/A,#N/A,FALSE,"Strtlts &amp; Standby";#N/A,#N/A,FALSE,"A-RTP";#N/A,#N/A,FALSE,"2003mixeduse"}</definedName>
    <definedName name="DeleteMe" hidden="1">{#N/A,#N/A,FALSE,"Dist Rev at PR ";#N/A,#N/A,FALSE,"Spec";#N/A,#N/A,FALSE,"Res";#N/A,#N/A,FALSE,"Small L&amp;P";#N/A,#N/A,FALSE,"Medium L&amp;P";#N/A,#N/A,FALSE,"E-19";#N/A,#N/A,FALSE,"E-20";#N/A,#N/A,FALSE,"Strtlts &amp; Standby";#N/A,#N/A,FALSE,"A-RTP";#N/A,#N/A,FALSE,"2003mixeduse"}</definedName>
    <definedName name="demand">#REF!</definedName>
    <definedName name="Depr_Life">'[46]T&amp;D Split Substation Summary'!$B$39</definedName>
    <definedName name="detail">#REF!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MFAC">#REF!</definedName>
    <definedName name="DMLF">#REF!</definedName>
    <definedName name="DMMW">#REF!</definedName>
    <definedName name="DMMWH">#REF!</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PROD">#REF!</definedName>
    <definedName name="DR">('[28]Actual Gross Rev Req'!$M$25-'[28]Actual Gross Rev Req'!$M$26)/'[28]Actual Gross Rev Req'!$M$25</definedName>
    <definedName name="draft">#REF!</definedName>
    <definedName name="dskdlss" hidden="1">{#N/A,#N/A,FALSE,"Monthly SAIFI";#N/A,#N/A,FALSE,"Yearly SAIFI";#N/A,#N/A,FALSE,"Monthly CAIDI";#N/A,#N/A,FALSE,"Yearly CAIDI";#N/A,#N/A,FALSE,"Monthly SAIDI";#N/A,#N/A,FALSE,"Yearly SAIDI";#N/A,#N/A,FALSE,"Monthly MAIFI";#N/A,#N/A,FALSE,"Yearly MAIFI";#N/A,#N/A,FALSE,"Monthly Cust &gt;=4 Int"}</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 localSheetId="19" hidden="1">{#N/A,#N/A,FALSE,"CTC Summary - EOY";#N/A,#N/A,FALSE,"CTC Summary - Wtavg"}</definedName>
    <definedName name="e" localSheetId="21" hidden="1">{#N/A,#N/A,FALSE,"CTC Summary - EOY";#N/A,#N/A,FALSE,"CTC Summary - Wtavg"}</definedName>
    <definedName name="e" localSheetId="22" hidden="1">{#N/A,#N/A,FALSE,"CTC Summary - EOY";#N/A,#N/A,FALSE,"CTC Summary - Wtavg"}</definedName>
    <definedName name="e" localSheetId="9" hidden="1">{#N/A,#N/A,FALSE,"CTC Summary - EOY";#N/A,#N/A,FALSE,"CTC Summary - Wtavg"}</definedName>
    <definedName name="e" hidden="1">{#N/A,#N/A,FALSE,"CTC Summary - EOY";#N/A,#N/A,FALSE,"CTC Summary - Wtavg"}</definedName>
    <definedName name="e1p1">#REF!</definedName>
    <definedName name="e1p2">#REF!</definedName>
    <definedName name="e2p1">#REF!</definedName>
    <definedName name="e3p1">#REF!</definedName>
    <definedName name="e3p2">#REF!</definedName>
    <definedName name="e4p1">#REF!</definedName>
    <definedName name="e5p1">#REF!</definedName>
    <definedName name="e5p2">#REF!</definedName>
    <definedName name="e5p3">#REF!</definedName>
    <definedName name="e5p4">#REF!</definedName>
    <definedName name="e7p1">#REF!</definedName>
    <definedName name="e8p1">#REF!</definedName>
    <definedName name="ED">"3W3Y8WU9D4KB8I8XZYLB5WWMT"</definedName>
    <definedName name="ED_NON_REGULATED">'[47]#REF'!$AS$5:$AS$85</definedName>
    <definedName name="edred" hidden="1">{#N/A,#N/A,FALSE,"Monthly SAIFI";#N/A,#N/A,FALSE,"Yearly SAIFI";#N/A,#N/A,FALSE,"Monthly CAIDI";#N/A,#N/A,FALSE,"Yearly CAIDI";#N/A,#N/A,FALSE,"Monthly SAIDI";#N/A,#N/A,FALSE,"Yearly SAIDI";#N/A,#N/A,FALSE,"Monthly MAIFI";#N/A,#N/A,FALSE,"Yearly MAIFI";#N/A,#N/A,FALSE,"Monthly Cust &gt;=4 Int"}</definedName>
    <definedName name="ee" localSheetId="13" hidden="1">{"PI_Data",#N/A,TRUE,"P&amp;I Data"}</definedName>
    <definedName name="ee" localSheetId="14" hidden="1">{"PI_Data",#N/A,TRUE,"P&amp;I Data"}</definedName>
    <definedName name="ee" localSheetId="15" hidden="1">{"PI_Data",#N/A,TRUE,"P&amp;I Data"}</definedName>
    <definedName name="ee" localSheetId="16" hidden="1">{"PI_Data",#N/A,TRUE,"P&amp;I Data"}</definedName>
    <definedName name="ee" localSheetId="17" hidden="1">{"PI_Data",#N/A,TRUE,"P&amp;I Data"}</definedName>
    <definedName name="ee" localSheetId="19" hidden="1">{"PI_Data",#N/A,TRUE,"P&amp;I Data"}</definedName>
    <definedName name="ee" localSheetId="20" hidden="1">{"PI_Data",#N/A,TRUE,"P&amp;I Data"}</definedName>
    <definedName name="ee" localSheetId="21" hidden="1">{"PI_Data",#N/A,TRUE,"P&amp;I Data"}</definedName>
    <definedName name="ee" localSheetId="22" hidden="1">{"PI_Data",#N/A,TRUE,"P&amp;I Data"}</definedName>
    <definedName name="ee" localSheetId="23" hidden="1">{"PI_Data",#N/A,TRUE,"P&amp;I Data"}</definedName>
    <definedName name="ee" localSheetId="25" hidden="1">{"PI_Data",#N/A,TRUE,"P&amp;I Data"}</definedName>
    <definedName name="ee" localSheetId="27" hidden="1">{"PI_Data",#N/A,TRUE,"P&amp;I Data"}</definedName>
    <definedName name="ee" localSheetId="29" hidden="1">{"PI_Data",#N/A,TRUE,"P&amp;I Data"}</definedName>
    <definedName name="ee" localSheetId="30" hidden="1">{"PI_Data",#N/A,TRUE,"P&amp;I Data"}</definedName>
    <definedName name="ee" localSheetId="7" hidden="1">{"PI_Data",#N/A,TRUE,"P&amp;I Data"}</definedName>
    <definedName name="ee" localSheetId="9" hidden="1">{"PI_Data",#N/A,TRUE,"P&amp;I Data"}</definedName>
    <definedName name="ee" localSheetId="10" hidden="1">{"PI_Data",#N/A,TRUE,"P&amp;I Data"}</definedName>
    <definedName name="ee" hidden="1">{"PI_Data",#N/A,TRUE,"P&amp;I Data"}</definedName>
    <definedName name="eee">"V2001-12-31"</definedName>
    <definedName name="eeee" hidden="1">{#N/A,#N/A,FALSE,"O&amp;M by processes";#N/A,#N/A,FALSE,"Elec Act vs Bud";#N/A,#N/A,FALSE,"G&amp;A";#N/A,#N/A,FALSE,"BGS";#N/A,#N/A,FALSE,"Res Cost"}</definedName>
    <definedName name="EEI">'[11]C. Input'!$F$205</definedName>
    <definedName name="ef" localSheetId="13" hidden="1">{"PI_Data",#N/A,TRUE,"P&amp;I Data"}</definedName>
    <definedName name="ef" localSheetId="14" hidden="1">{"PI_Data",#N/A,TRUE,"P&amp;I Data"}</definedName>
    <definedName name="ef" localSheetId="15" hidden="1">{"PI_Data",#N/A,TRUE,"P&amp;I Data"}</definedName>
    <definedName name="ef" localSheetId="16" hidden="1">{"PI_Data",#N/A,TRUE,"P&amp;I Data"}</definedName>
    <definedName name="ef" localSheetId="17" hidden="1">{"PI_Data",#N/A,TRUE,"P&amp;I Data"}</definedName>
    <definedName name="ef" localSheetId="19" hidden="1">{"PI_Data",#N/A,TRUE,"P&amp;I Data"}</definedName>
    <definedName name="ef" localSheetId="20" hidden="1">{"PI_Data",#N/A,TRUE,"P&amp;I Data"}</definedName>
    <definedName name="ef" localSheetId="21" hidden="1">{"PI_Data",#N/A,TRUE,"P&amp;I Data"}</definedName>
    <definedName name="ef" localSheetId="22" hidden="1">{"PI_Data",#N/A,TRUE,"P&amp;I Data"}</definedName>
    <definedName name="ef" localSheetId="23" hidden="1">{"PI_Data",#N/A,TRUE,"P&amp;I Data"}</definedName>
    <definedName name="ef" localSheetId="25" hidden="1">{"PI_Data",#N/A,TRUE,"P&amp;I Data"}</definedName>
    <definedName name="ef" localSheetId="27" hidden="1">{"PI_Data",#N/A,TRUE,"P&amp;I Data"}</definedName>
    <definedName name="ef" localSheetId="29" hidden="1">{"PI_Data",#N/A,TRUE,"P&amp;I Data"}</definedName>
    <definedName name="ef" localSheetId="30" hidden="1">{"PI_Data",#N/A,TRUE,"P&amp;I Data"}</definedName>
    <definedName name="ef" localSheetId="7" hidden="1">{"PI_Data",#N/A,TRUE,"P&amp;I Data"}</definedName>
    <definedName name="ef" localSheetId="9" hidden="1">{"PI_Data",#N/A,TRUE,"P&amp;I Data"}</definedName>
    <definedName name="ef" localSheetId="10" hidden="1">{"PI_Data",#N/A,TRUE,"P&amp;I Data"}</definedName>
    <definedName name="ef" hidden="1">{"PI_Data",#N/A,TRUE,"P&amp;I Data"}</definedName>
    <definedName name="ENERGYSALES">#REF!</definedName>
    <definedName name="eng_design">'[14]Input Page'!$G$17</definedName>
    <definedName name="Entities">[9]Entities!$1:$1048576</definedName>
    <definedName name="ENTITY">[48]Settings!$F$17</definedName>
    <definedName name="EPRI">'[11]C. Input'!$F$203</definedName>
    <definedName name="EROA">[32]Inputs!$B$3</definedName>
    <definedName name="EssOptions">"1100000000130100_11-          00"</definedName>
    <definedName name="EV__EVCOM_OPTIONS__" hidden="1">8</definedName>
    <definedName name="EV__EXPOPTIONS__" hidden="1">1</definedName>
    <definedName name="EV__LASTREFTIME__" localSheetId="21" hidden="1">"(GMT-08:00)5/8/2012 1:36:12 PM"</definedName>
    <definedName name="EV__LASTREFTIME__">"(GMT-08:00)4/23/2012 7:07:55 AM"</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_xlnm.Extract">#REF!</definedName>
    <definedName name="f" hidden="1">{#N/A,#N/A,FALSE,"Monthly SAIFI";#N/A,#N/A,FALSE,"Yearly SAIFI";#N/A,#N/A,FALSE,"Monthly CAIDI";#N/A,#N/A,FALSE,"Yearly CAIDI";#N/A,#N/A,FALSE,"Monthly SAIDI";#N/A,#N/A,FALSE,"Yearly SAIDI";#N/A,#N/A,FALSE,"Monthly MAIFI";#N/A,#N/A,FALSE,"Yearly MAIFI";#N/A,#N/A,FALSE,"Monthly Cust &gt;=4 Int"}</definedName>
    <definedName name="f1p1">#REF!</definedName>
    <definedName name="f2p1">[49]F1!#REF!</definedName>
    <definedName name="f3p1">[49]F1!#REF!</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'[20]Input Page'!$E$13</definedName>
    <definedName name="FERC" localSheetId="19" hidden="1">{#N/A,#N/A,FALSE,"CTC Summary - EOY";#N/A,#N/A,FALSE,"CTC Summary - Wtavg"}</definedName>
    <definedName name="FERC" localSheetId="21" hidden="1">{#N/A,#N/A,FALSE,"CTC Summary - EOY";#N/A,#N/A,FALSE,"CTC Summary - Wtavg"}</definedName>
    <definedName name="FERC" localSheetId="22" hidden="1">{#N/A,#N/A,FALSE,"CTC Summary - EOY";#N/A,#N/A,FALSE,"CTC Summary - Wtavg"}</definedName>
    <definedName name="FERC" localSheetId="9" hidden="1">{#N/A,#N/A,FALSE,"CTC Summary - EOY";#N/A,#N/A,FALSE,"CTC Summary - Wtavg"}</definedName>
    <definedName name="FERC" hidden="1">{#N/A,#N/A,FALSE,"CTC Summary - EOY";#N/A,#N/A,FALSE,"CTC Summary - Wtavg"}</definedName>
    <definedName name="ff" hidden="1">{#N/A,#N/A,FALSE,"Monthly SAIFI";#N/A,#N/A,FALSE,"Yearly SAIFI";#N/A,#N/A,FALSE,"Monthly CAIDI";#N/A,#N/A,FALSE,"Yearly CAIDI";#N/A,#N/A,FALSE,"Monthly SAIDI";#N/A,#N/A,FALSE,"Yearly SAIDI";#N/A,#N/A,FALSE,"Monthly MAIFI";#N/A,#N/A,FALSE,"Yearly MAIFI";#N/A,#N/A,FALSE,"Monthly Cust &gt;=4 Int"}</definedName>
    <definedName name="FF1_INPUT">'[39]FERC Form 1 data'!$B$7:$L$87</definedName>
    <definedName name="FF1_INPUT_columns">'[39]FERC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[50]A!$A$1</definedName>
    <definedName name="firstcust">#REF!</definedName>
    <definedName name="firstkwh">#REF!</definedName>
    <definedName name="FIT">'[35]Attachment 15 - Income Taxes'!$K$4</definedName>
    <definedName name="fleet_cap">'[20]Input Page'!$E$7</definedName>
    <definedName name="fleet_total">'[20]Input Page'!$E$8</definedName>
    <definedName name="foo"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2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2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rcastRev">#REF!</definedName>
    <definedName name="ForecastRev72">#REF!</definedName>
    <definedName name="ForecastRev73">#REF!</definedName>
    <definedName name="ForecastRevHeader">#REF!</definedName>
    <definedName name="ForecastRevHeader72">#REF!</definedName>
    <definedName name="ForecastYear">#REF!</definedName>
    <definedName name="Fossil_BGS">[23]Assumptions!$E$58</definedName>
    <definedName name="Fossil_Secur_Date">[10]Assumptions!$E$22</definedName>
    <definedName name="FRANM">#REF!</definedName>
    <definedName name="FRANT">#REF!</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THUAFAC">#REF!</definedName>
    <definedName name="FTHUALF">#REF!</definedName>
    <definedName name="FTHUAMW">#REF!</definedName>
    <definedName name="FTHUAMWH">#REF!</definedName>
    <definedName name="full_credit">[2]Print!$I$20</definedName>
    <definedName name="Function">#REF!</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[51]Input1!$B$6</definedName>
    <definedName name="FYear1">[52]COS!#REF!</definedName>
    <definedName name="FYear2">[52]COS!#REF!</definedName>
    <definedName name="FYear3">[52]COS!#REF!</definedName>
    <definedName name="FYear4">[52]COS!#REF!</definedName>
    <definedName name="FYear5">[52]COS!#REF!</definedName>
    <definedName name="FYR">'[17]Gas Ferc 2 2003'!$V$3</definedName>
    <definedName name="GDR">'[11]C. Input'!$F$237</definedName>
    <definedName name="GDX">'[11]C. Input'!$F$309</definedName>
    <definedName name="GenLedger">[53]PEPCO!$A$9:$H$774</definedName>
    <definedName name="gggg"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2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2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'[25]Actual Gross Rev'!$J$169</definedName>
    <definedName name="GPLT">'[11]C. Input'!$F$168</definedName>
    <definedName name="GR_PRT_RANGE">[2]Gross_Rec!$A$8:$R$52</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SS_REVENUE">#REF!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eading_BaseYear">#REF!</definedName>
    <definedName name="Heading_ForecastYear">#REF!</definedName>
    <definedName name="Heading_PriorYear">#REF!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'[54]Tony''s Categories'!$B$6:$B$11</definedName>
    <definedName name="histdate">#REF!</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ME">#REF!</definedName>
    <definedName name="HONTSR">'[11]A.2 PTP'!$P$333</definedName>
    <definedName name="Hours">[12]CALCULATIONS!$C$11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GHESFAC">#REF!</definedName>
    <definedName name="HUGHESLF">#REF!</definedName>
    <definedName name="HUGHESMW">#REF!</definedName>
    <definedName name="HUGHESMWH">#REF!</definedName>
    <definedName name="huh" localSheetId="19" hidden="1">{#N/A,#N/A,FALSE,"Dist Rev at PR ";#N/A,#N/A,FALSE,"Spec";#N/A,#N/A,FALSE,"Res";#N/A,#N/A,FALSE,"Small L&amp;P";#N/A,#N/A,FALSE,"Medium L&amp;P";#N/A,#N/A,FALSE,"E-19";#N/A,#N/A,FALSE,"E-20";#N/A,#N/A,FALSE,"Strtlts &amp; Standby";#N/A,#N/A,FALSE,"A-RTP";#N/A,#N/A,FALSE,"2003mixeduse"}</definedName>
    <definedName name="huh" localSheetId="21" hidden="1">{#N/A,#N/A,FALSE,"Dist Rev at PR ";#N/A,#N/A,FALSE,"Spec";#N/A,#N/A,FALSE,"Res";#N/A,#N/A,FALSE,"Small L&amp;P";#N/A,#N/A,FALSE,"Medium L&amp;P";#N/A,#N/A,FALSE,"E-19";#N/A,#N/A,FALSE,"E-20";#N/A,#N/A,FALSE,"Strtlts &amp; Standby";#N/A,#N/A,FALSE,"A-RTP";#N/A,#N/A,FALSE,"2003mixeduse"}</definedName>
    <definedName name="huh" localSheetId="22" hidden="1">{#N/A,#N/A,FALSE,"Dist Rev at PR ";#N/A,#N/A,FALSE,"Spec";#N/A,#N/A,FALSE,"Res";#N/A,#N/A,FALSE,"Small L&amp;P";#N/A,#N/A,FALSE,"Medium L&amp;P";#N/A,#N/A,FALSE,"E-19";#N/A,#N/A,FALSE,"E-20";#N/A,#N/A,FALSE,"Strtlts &amp; Standby";#N/A,#N/A,FALSE,"A-RTP";#N/A,#N/A,FALSE,"2003mixeduse"}</definedName>
    <definedName name="huh" localSheetId="9" hidden="1">{#N/A,#N/A,FALSE,"Dist Rev at PR ";#N/A,#N/A,FALSE,"Spec";#N/A,#N/A,FALSE,"Res";#N/A,#N/A,FALSE,"Small L&amp;P";#N/A,#N/A,FALSE,"Medium L&amp;P";#N/A,#N/A,FALSE,"E-19";#N/A,#N/A,FALSE,"E-20";#N/A,#N/A,FALSE,"Strtlts &amp; Standby";#N/A,#N/A,FALSE,"A-RTP";#N/A,#N/A,FALSE,"2003mixeduse"}</definedName>
    <definedName name="huh" hidden="1">{#N/A,#N/A,FALSE,"Dist Rev at PR ";#N/A,#N/A,FALSE,"Spec";#N/A,#N/A,FALSE,"Res";#N/A,#N/A,FALSE,"Small L&amp;P";#N/A,#N/A,FALSE,"Medium L&amp;P";#N/A,#N/A,FALSE,"E-19";#N/A,#N/A,FALSE,"E-20";#N/A,#N/A,FALSE,"Strtlts &amp; Standby";#N/A,#N/A,FALSE,"A-RTP";#N/A,#N/A,FALSE,"2003mixeduse"}</definedName>
    <definedName name="huhnd" localSheetId="19" hidden="1">{#N/A,#N/A,FALSE,"ND Rev at Pres Rates";#N/A,#N/A,FALSE,"Res - Unadj sales";#N/A,#N/A,FALSE,"Small L&amp;P";#N/A,#N/A,FALSE,"Medium L&amp;P";#N/A,#N/A,FALSE,"E-19";#N/A,#N/A,FALSE,"E-20";#N/A,#N/A,FALSE,"Strtlts &amp; Standby";#N/A,#N/A,FALSE,"AG";#N/A,#N/A,FALSE,"A-RTP";#N/A,#N/A,FALSE,"Spec"}</definedName>
    <definedName name="huhnd" localSheetId="21" hidden="1">{#N/A,#N/A,FALSE,"ND Rev at Pres Rates";#N/A,#N/A,FALSE,"Res - Unadj sales";#N/A,#N/A,FALSE,"Small L&amp;P";#N/A,#N/A,FALSE,"Medium L&amp;P";#N/A,#N/A,FALSE,"E-19";#N/A,#N/A,FALSE,"E-20";#N/A,#N/A,FALSE,"Strtlts &amp; Standby";#N/A,#N/A,FALSE,"AG";#N/A,#N/A,FALSE,"A-RTP";#N/A,#N/A,FALSE,"Spec"}</definedName>
    <definedName name="huhnd" localSheetId="22" hidden="1">{#N/A,#N/A,FALSE,"ND Rev at Pres Rates";#N/A,#N/A,FALSE,"Res - Unadj sales";#N/A,#N/A,FALSE,"Small L&amp;P";#N/A,#N/A,FALSE,"Medium L&amp;P";#N/A,#N/A,FALSE,"E-19";#N/A,#N/A,FALSE,"E-20";#N/A,#N/A,FALSE,"Strtlts &amp; Standby";#N/A,#N/A,FALSE,"AG";#N/A,#N/A,FALSE,"A-RTP";#N/A,#N/A,FALSE,"Spec"}</definedName>
    <definedName name="huhnd" localSheetId="9" hidden="1">{#N/A,#N/A,FALSE,"ND Rev at Pres Rates";#N/A,#N/A,FALSE,"Res - Unadj sales";#N/A,#N/A,FALSE,"Small L&amp;P";#N/A,#N/A,FALSE,"Medium L&amp;P";#N/A,#N/A,FALSE,"E-19";#N/A,#N/A,FALSE,"E-20";#N/A,#N/A,FALSE,"Strtlts &amp; Standby";#N/A,#N/A,FALSE,"AG";#N/A,#N/A,FALSE,"A-RTP";#N/A,#N/A,FALSE,"Spec"}</definedName>
    <definedName name="huhnd" hidden="1">{#N/A,#N/A,FALSE,"ND Rev at Pres Rates";#N/A,#N/A,FALSE,"Res - Unadj sales";#N/A,#N/A,FALSE,"Small L&amp;P";#N/A,#N/A,FALSE,"Medium L&amp;P";#N/A,#N/A,FALSE,"E-19";#N/A,#N/A,FALSE,"E-20";#N/A,#N/A,FALSE,"Strtlts &amp; Standby";#N/A,#N/A,FALSE,"AG";#N/A,#N/A,FALSE,"A-RTP";#N/A,#N/A,FALSE,"Spec"}</definedName>
    <definedName name="huhnd2" localSheetId="19" hidden="1">{#N/A,#N/A,FALSE,"ND Rev at Pres Rates";#N/A,#N/A,FALSE,"Res - Unadj sales";#N/A,#N/A,FALSE,"Small L&amp;P";#N/A,#N/A,FALSE,"Medium L&amp;P";#N/A,#N/A,FALSE,"E-19";#N/A,#N/A,FALSE,"E-20";#N/A,#N/A,FALSE,"Strtlts &amp; Standby";#N/A,#N/A,FALSE,"AG";#N/A,#N/A,FALSE,"A-RTP";#N/A,#N/A,FALSE,"Spec"}</definedName>
    <definedName name="huhnd2" localSheetId="21" hidden="1">{#N/A,#N/A,FALSE,"ND Rev at Pres Rates";#N/A,#N/A,FALSE,"Res - Unadj sales";#N/A,#N/A,FALSE,"Small L&amp;P";#N/A,#N/A,FALSE,"Medium L&amp;P";#N/A,#N/A,FALSE,"E-19";#N/A,#N/A,FALSE,"E-20";#N/A,#N/A,FALSE,"Strtlts &amp; Standby";#N/A,#N/A,FALSE,"AG";#N/A,#N/A,FALSE,"A-RTP";#N/A,#N/A,FALSE,"Spec"}</definedName>
    <definedName name="huhnd2" localSheetId="22" hidden="1">{#N/A,#N/A,FALSE,"ND Rev at Pres Rates";#N/A,#N/A,FALSE,"Res - Unadj sales";#N/A,#N/A,FALSE,"Small L&amp;P";#N/A,#N/A,FALSE,"Medium L&amp;P";#N/A,#N/A,FALSE,"E-19";#N/A,#N/A,FALSE,"E-20";#N/A,#N/A,FALSE,"Strtlts &amp; Standby";#N/A,#N/A,FALSE,"AG";#N/A,#N/A,FALSE,"A-RTP";#N/A,#N/A,FALSE,"Spec"}</definedName>
    <definedName name="huhnd2" localSheetId="9"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localSheetId="19" hidden="1">{#N/A,#N/A,FALSE,"Workpaper Tables 4-1 &amp; 4-2";#N/A,#N/A,FALSE,"Revenue Allocation Results";#N/A,#N/A,FALSE,"FERC Rev @ PR";#N/A,#N/A,FALSE,"Distribution Revenue Allocation";#N/A,#N/A,FALSE,"Nonallocated Revenues ";#N/A,#N/A,FALSE,"2000mixuse";#N/A,#N/A,FALSE,"MC Revenues- 00 sales, 96 MC's"}</definedName>
    <definedName name="huhprint" localSheetId="21" hidden="1">{#N/A,#N/A,FALSE,"Workpaper Tables 4-1 &amp; 4-2";#N/A,#N/A,FALSE,"Revenue Allocation Results";#N/A,#N/A,FALSE,"FERC Rev @ PR";#N/A,#N/A,FALSE,"Distribution Revenue Allocation";#N/A,#N/A,FALSE,"Nonallocated Revenues ";#N/A,#N/A,FALSE,"2000mixuse";#N/A,#N/A,FALSE,"MC Revenues- 00 sales, 96 MC's"}</definedName>
    <definedName name="huhprint" localSheetId="22" hidden="1">{#N/A,#N/A,FALSE,"Workpaper Tables 4-1 &amp; 4-2";#N/A,#N/A,FALSE,"Revenue Allocation Results";#N/A,#N/A,FALSE,"FERC Rev @ PR";#N/A,#N/A,FALSE,"Distribution Revenue Allocation";#N/A,#N/A,FALSE,"Nonallocated Revenues ";#N/A,#N/A,FALSE,"2000mixuse";#N/A,#N/A,FALSE,"MC Revenues- 00 sales, 96 MC's"}</definedName>
    <definedName name="huhprint" localSheetId="9" hidden="1">{#N/A,#N/A,FALSE,"Workpaper Tables 4-1 &amp; 4-2";#N/A,#N/A,FALSE,"Revenue Allocation Results";#N/A,#N/A,FALSE,"FERC Rev @ PR";#N/A,#N/A,FALSE,"Distribution Revenue Allocation";#N/A,#N/A,FALSE,"Nonallocated Revenues ";#N/A,#N/A,FALSE,"2000mixuse";#N/A,#N/A,FALSE,"MC Revenues- 00 sales, 96 MC's"}</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2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2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19" hidden="1">{#N/A,#N/A,FALSE,"RRQ inputs ";#N/A,#N/A,FALSE,"FERC Rev @ PR";#N/A,#N/A,FALSE,"Distribution Revenue Allocation";#N/A,#N/A,FALSE,"Nonallocated Revenues";#N/A,#N/A,FALSE,"MC Revenues-03 sales, 96 MC's";#N/A,#N/A,FALSE,"FTA"}</definedName>
    <definedName name="huhrevalloc" localSheetId="21" hidden="1">{#N/A,#N/A,FALSE,"RRQ inputs ";#N/A,#N/A,FALSE,"FERC Rev @ PR";#N/A,#N/A,FALSE,"Distribution Revenue Allocation";#N/A,#N/A,FALSE,"Nonallocated Revenues";#N/A,#N/A,FALSE,"MC Revenues-03 sales, 96 MC's";#N/A,#N/A,FALSE,"FTA"}</definedName>
    <definedName name="huhrevalloc" localSheetId="22" hidden="1">{#N/A,#N/A,FALSE,"RRQ inputs ";#N/A,#N/A,FALSE,"FERC Rev @ PR";#N/A,#N/A,FALSE,"Distribution Revenue Allocation";#N/A,#N/A,FALSE,"Nonallocated Revenues";#N/A,#N/A,FALSE,"MC Revenues-03 sales, 96 MC's";#N/A,#N/A,FALSE,"FTA"}</definedName>
    <definedName name="huhrevalloc" localSheetId="9" hidden="1">{#N/A,#N/A,FALSE,"RRQ inputs ";#N/A,#N/A,FALSE,"FERC Rev @ PR";#N/A,#N/A,FALSE,"Distribution Revenue Allocation";#N/A,#N/A,FALSE,"Nonallocated Revenues";#N/A,#N/A,FALSE,"MC Revenues-03 sales, 96 MC's";#N/A,#N/A,FALSE,"FTA"}</definedName>
    <definedName name="huhrevalloc" hidden="1">{#N/A,#N/A,FALSE,"RRQ inputs ";#N/A,#N/A,FALSE,"FERC Rev @ PR";#N/A,#N/A,FALSE,"Distribution Revenue Allocation";#N/A,#N/A,FALSE,"Nonallocated Revenues";#N/A,#N/A,FALSE,"MC Revenues-03 sales, 96 MC's";#N/A,#N/A,FALSE,"FTA"}</definedName>
    <definedName name="huhschudel" localSheetId="19" hidden="1">{#N/A,#N/A,FALSE,"ND Rev at Pres Rates";#N/A,#N/A,FALSE,"Res - Unadj";#N/A,#N/A,FALSE,"Small L&amp;P";#N/A,#N/A,FALSE,"Medium L&amp;P";#N/A,#N/A,FALSE,"E-19";#N/A,#N/A,FALSE,"E-20";#N/A,#N/A,FALSE,"A-RTP";#N/A,#N/A,FALSE,"Strtlts &amp; Standby";#N/A,#N/A,FALSE,"AG";#N/A,#N/A,FALSE,"2001mixeduse"}</definedName>
    <definedName name="huhschudel" localSheetId="21" hidden="1">{#N/A,#N/A,FALSE,"ND Rev at Pres Rates";#N/A,#N/A,FALSE,"Res - Unadj";#N/A,#N/A,FALSE,"Small L&amp;P";#N/A,#N/A,FALSE,"Medium L&amp;P";#N/A,#N/A,FALSE,"E-19";#N/A,#N/A,FALSE,"E-20";#N/A,#N/A,FALSE,"A-RTP";#N/A,#N/A,FALSE,"Strtlts &amp; Standby";#N/A,#N/A,FALSE,"AG";#N/A,#N/A,FALSE,"2001mixeduse"}</definedName>
    <definedName name="huhschudel" localSheetId="22" hidden="1">{#N/A,#N/A,FALSE,"ND Rev at Pres Rates";#N/A,#N/A,FALSE,"Res - Unadj";#N/A,#N/A,FALSE,"Small L&amp;P";#N/A,#N/A,FALSE,"Medium L&amp;P";#N/A,#N/A,FALSE,"E-19";#N/A,#N/A,FALSE,"E-20";#N/A,#N/A,FALSE,"A-RTP";#N/A,#N/A,FALSE,"Strtlts &amp; Standby";#N/A,#N/A,FALSE,"AG";#N/A,#N/A,FALSE,"2001mixeduse"}</definedName>
    <definedName name="huhschudel" localSheetId="9" hidden="1">{#N/A,#N/A,FALSE,"ND Rev at Pres Rates";#N/A,#N/A,FALSE,"Res - Unadj";#N/A,#N/A,FALSE,"Small L&amp;P";#N/A,#N/A,FALSE,"Medium L&amp;P";#N/A,#N/A,FALSE,"E-19";#N/A,#N/A,FALSE,"E-20";#N/A,#N/A,FALSE,"A-RTP";#N/A,#N/A,FALSE,"Strtlts &amp; Standby";#N/A,#N/A,FALSE,"AG";#N/A,#N/A,FALSE,"2001mixeduse"}</definedName>
    <definedName name="huhschudel" hidden="1">{#N/A,#N/A,FALSE,"ND Rev at Pres Rates";#N/A,#N/A,FALSE,"Res - Unadj";#N/A,#N/A,FALSE,"Small L&amp;P";#N/A,#N/A,FALSE,"Medium L&amp;P";#N/A,#N/A,FALSE,"E-19";#N/A,#N/A,FALSE,"E-20";#N/A,#N/A,FALSE,"A-RTP";#N/A,#N/A,FALSE,"Strtlts &amp; Standby";#N/A,#N/A,FALSE,"AG";#N/A,#N/A,FALSE,"2001mixeduse"}</definedName>
    <definedName name="IBMFAC">#REF!</definedName>
    <definedName name="IBMLF">#REF!</definedName>
    <definedName name="IBMMW">#REF!</definedName>
    <definedName name="IBMMWH">#REF!</definedName>
    <definedName name="Inc_Stat">#REF!</definedName>
    <definedName name="Index">#REF!</definedName>
    <definedName name="IndexHeader">#REF!</definedName>
    <definedName name="Input_Range">'[55]Nonlevelized-IOU'!$K$7,'[55]Nonlevelized-IOU'!$D$10,'[55]Nonlevelized-IOU'!$I$26,'[55]Nonlevelized-IOU'!$D$89:$D$92,'[55]Nonlevelized-IOU'!$D$97:$D$100,'[55]Nonlevelized-IOU'!$D$113:$D$116,'[55]Nonlevelized-IOU'!$D$124:$D$125,'[55]Nonlevelized-IOU'!$D$162,'[55]Nonlevelized-IOU'!$D$164:$D$165,'[55]Nonlevelized-IOU'!$D$167,'[55]Nonlevelized-IOU'!$D$174:$D$175,'[55]Nonlevelized-IOU'!$D$181,'[55]Nonlevelized-IOU'!$D$184,'[55]Nonlevelized-IOU'!$I$233:$I$234,'[55]Nonlevelized-IOU'!$D$250:$D$253,'[55]Nonlevelized-IOU'!$D$257:$D$259,'[55]Nonlevelized-IOU'!$I$263,'[55]Nonlevelized-IOU'!$I$265,'[55]Nonlevelized-IOU'!$I$268,'[55]Nonlevelized-IOU'!$D$274:$D$275,'[55]Nonlevelized-IOU'!$I$289,'[55]Nonlevelized-IOU'!$D$325:$D$327</definedName>
    <definedName name="Inputs_EndYrBal">[39]Inputs!$E$15:$E$72</definedName>
    <definedName name="Inputs_EndYrBal_prior">[39]Inputs!$D$15:$D$72</definedName>
    <definedName name="Inputs_FF1_Map">[39]Inputs!$F$15:$F$72</definedName>
    <definedName name="INPUTS4">[56]Inputs!$A$291:$Q$365</definedName>
    <definedName name="INPUTS5">[56]Inputs!$A$367:$Q$460</definedName>
    <definedName name="INPUTS6">[56]Inputs!$P$148:$AE$173</definedName>
    <definedName name="intang_afudc910">[57]criteria!$A$5:$B$6</definedName>
    <definedName name="InterimYear">#REF!</definedName>
    <definedName name="INTQ">'[58]IR COMP'!$B$39</definedName>
    <definedName name="INTY">'[58]IR COMP'!$C$39</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41780.7911111111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c">#REF!</definedName>
    <definedName name="ITCWO">'[11]C. Input'!$F$325</definedName>
    <definedName name="ITE">[59]PL!$A:$IV</definedName>
    <definedName name="itec">[59]PL!$A$1:$A$65536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uly" localSheetId="19" hidden="1">{#N/A,#N/A,FALSE,"CTC Summary - EOY";#N/A,#N/A,FALSE,"CTC Summary - Wtavg"}</definedName>
    <definedName name="July" localSheetId="21" hidden="1">{#N/A,#N/A,FALSE,"CTC Summary - EOY";#N/A,#N/A,FALSE,"CTC Summary - Wtavg"}</definedName>
    <definedName name="July" localSheetId="22" hidden="1">{#N/A,#N/A,FALSE,"CTC Summary - EOY";#N/A,#N/A,FALSE,"CTC Summary - Wtavg"}</definedName>
    <definedName name="July" localSheetId="9" hidden="1">{#N/A,#N/A,FALSE,"CTC Summary - EOY";#N/A,#N/A,FALSE,"CTC Summary - Wtavg"}</definedName>
    <definedName name="July" hidden="1">{#N/A,#N/A,FALSE,"CTC Summary - EOY";#N/A,#N/A,FALSE,"CTC Summary - Wtavg"}</definedName>
    <definedName name="June" localSheetId="19" hidden="1">{#N/A,#N/A,FALSE,"CTC Summary - EOY";#N/A,#N/A,FALSE,"CTC Summary - Wtavg"}</definedName>
    <definedName name="June" localSheetId="21" hidden="1">{#N/A,#N/A,FALSE,"CTC Summary - EOY";#N/A,#N/A,FALSE,"CTC Summary - Wtavg"}</definedName>
    <definedName name="June" localSheetId="22" hidden="1">{#N/A,#N/A,FALSE,"CTC Summary - EOY";#N/A,#N/A,FALSE,"CTC Summary - Wtavg"}</definedName>
    <definedName name="June" localSheetId="9" hidden="1">{#N/A,#N/A,FALSE,"CTC Summary - EOY";#N/A,#N/A,FALSE,"CTC Summary - Wtavg"}</definedName>
    <definedName name="June" hidden="1">{#N/A,#N/A,FALSE,"CTC Summary - EOY";#N/A,#N/A,FALSE,"CTC Summary - Wtavg"}</definedName>
    <definedName name="junk" hidden="1">"S:\23150\06RET\Transformation\"</definedName>
    <definedName name="junk1" hidden="1">"Will Kane"</definedName>
    <definedName name="k" hidden="1">{#N/A,#N/A,FALSE,"Monthly SAIFI";#N/A,#N/A,FALSE,"Yearly SAIFI";#N/A,#N/A,FALSE,"Monthly CAIDI";#N/A,#N/A,FALSE,"Yearly CAIDI";#N/A,#N/A,FALSE,"Monthly SAIDI";#N/A,#N/A,FALSE,"Yearly SAIDI";#N/A,#N/A,FALSE,"Monthly MAIFI";#N/A,#N/A,FALSE,"Yearly MAIFI";#N/A,#N/A,FALSE,"Monthly Cust &gt;=4 Int"}</definedName>
    <definedName name="KCPLallocatorsP">'[60]KCPL Projected TCOS'!$I$318:$J$329</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'[54]Tony''s Categories'!$D$6:$D$100</definedName>
    <definedName name="KeyCon_Close_Date">[23]Assumptions!$E$29</definedName>
    <definedName name="kk">#REF!</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KWH">#REF!</definedName>
    <definedName name="L" localSheetId="13" hidden="1">{"PI_Data",#N/A,TRUE,"P&amp;I Data"}</definedName>
    <definedName name="L" localSheetId="14" hidden="1">{"PI_Data",#N/A,TRUE,"P&amp;I Data"}</definedName>
    <definedName name="L" localSheetId="15" hidden="1">{"PI_Data",#N/A,TRUE,"P&amp;I Data"}</definedName>
    <definedName name="L" localSheetId="16" hidden="1">{"PI_Data",#N/A,TRUE,"P&amp;I Data"}</definedName>
    <definedName name="L" localSheetId="17" hidden="1">{"PI_Data",#N/A,TRUE,"P&amp;I Data"}</definedName>
    <definedName name="L" localSheetId="19" hidden="1">{"PI_Data",#N/A,TRUE,"P&amp;I Data"}</definedName>
    <definedName name="L" localSheetId="20" hidden="1">{"PI_Data",#N/A,TRUE,"P&amp;I Data"}</definedName>
    <definedName name="L" localSheetId="21" hidden="1">{"PI_Data",#N/A,TRUE,"P&amp;I Data"}</definedName>
    <definedName name="L" localSheetId="22" hidden="1">{"PI_Data",#N/A,TRUE,"P&amp;I Data"}</definedName>
    <definedName name="L" localSheetId="23" hidden="1">{"PI_Data",#N/A,TRUE,"P&amp;I Data"}</definedName>
    <definedName name="L" localSheetId="25" hidden="1">{"PI_Data",#N/A,TRUE,"P&amp;I Data"}</definedName>
    <definedName name="L" localSheetId="27" hidden="1">{"PI_Data",#N/A,TRUE,"P&amp;I Data"}</definedName>
    <definedName name="L" localSheetId="29" hidden="1">{"PI_Data",#N/A,TRUE,"P&amp;I Data"}</definedName>
    <definedName name="L" localSheetId="30" hidden="1">{"PI_Data",#N/A,TRUE,"P&amp;I Data"}</definedName>
    <definedName name="L" localSheetId="7" hidden="1">{"PI_Data",#N/A,TRUE,"P&amp;I Data"}</definedName>
    <definedName name="L" localSheetId="9" hidden="1">{"PI_Data",#N/A,TRUE,"P&amp;I Data"}</definedName>
    <definedName name="L" localSheetId="10" hidden="1">{"PI_Data",#N/A,TRUE,"P&amp;I Data"}</definedName>
    <definedName name="L" hidden="1">{"PI_Data",#N/A,TRUE,"P&amp;I Data"}</definedName>
    <definedName name="L2X" localSheetId="19" hidden="1">{"PI_Data",#N/A,TRUE,"P&amp;I Data"}</definedName>
    <definedName name="L2X" localSheetId="21" hidden="1">{"PI_Data",#N/A,TRUE,"P&amp;I Data"}</definedName>
    <definedName name="L2X" localSheetId="22" hidden="1">{"PI_Data",#N/A,TRUE,"P&amp;I Data"}</definedName>
    <definedName name="L2X" localSheetId="9" hidden="1">{"PI_Data",#N/A,TRUE,"P&amp;I Data"}</definedName>
    <definedName name="L2X" hidden="1">{"PI_Data",#N/A,TRUE,"P&amp;I Data"}</definedName>
    <definedName name="lastrow">'[2]QRE''s'!$A$95:$IV$95</definedName>
    <definedName name="LD_Factor">#REF!</definedName>
    <definedName name="left">#REF!</definedName>
    <definedName name="LFTSR">'[11]A.2 PTP'!$P$230</definedName>
    <definedName name="Library" hidden="1">"a1"</definedName>
    <definedName name="LicenseCOS">0.01</definedName>
    <definedName name="limcount" hidden="1">1</definedName>
    <definedName name="LIQAIRFAC">#REF!</definedName>
    <definedName name="LIQAIRLF">#REF!</definedName>
    <definedName name="LIQAIRMW">#REF!</definedName>
    <definedName name="LIQAIRMWH">#REF!</definedName>
    <definedName name="LK">{"'Metretek HTML'!$A$7:$W$42"}</definedName>
    <definedName name="LL" localSheetId="19" hidden="1">{"PI_Data",#N/A,TRUE,"P&amp;I Data"}</definedName>
    <definedName name="LL" localSheetId="21" hidden="1">{"PI_Data",#N/A,TRUE,"P&amp;I Data"}</definedName>
    <definedName name="LL" localSheetId="22" hidden="1">{"PI_Data",#N/A,TRUE,"P&amp;I Data"}</definedName>
    <definedName name="LL" localSheetId="9" hidden="1">{"PI_Data",#N/A,TRUE,"P&amp;I Data"}</definedName>
    <definedName name="LL" hidden="1">{"PI_Data",#N/A,TRUE,"P&amp;I Data"}</definedName>
    <definedName name="LOAD_FACTOR">#REF!</definedName>
    <definedName name="LOAD_FACTOR_BASED_ON_BILLING_DEMAND">#REF!</definedName>
    <definedName name="Load81">#REF!</definedName>
    <definedName name="Load81Header">#REF!</definedName>
    <definedName name="Load82">#REF!</definedName>
    <definedName name="Load82Header">#REF!</definedName>
    <definedName name="Load83">#REF!</definedName>
    <definedName name="Load83Header">#REF!</definedName>
    <definedName name="Load84">#REF!</definedName>
    <definedName name="Load84Header">#REF!</definedName>
    <definedName name="Load85">#REF!</definedName>
    <definedName name="Load85Header">#REF!</definedName>
    <definedName name="Load86">#REF!</definedName>
    <definedName name="Load86Header">#REF!</definedName>
    <definedName name="Load87">#REF!</definedName>
    <definedName name="LoadHeader">#REF!</definedName>
    <definedName name="LoadHeaderHistoric">#REF!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'[54]Tony''s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m" localSheetId="13" hidden="1">{"PI_Data",#N/A,TRUE,"P&amp;I Data"}</definedName>
    <definedName name="m" localSheetId="14" hidden="1">{"PI_Data",#N/A,TRUE,"P&amp;I Data"}</definedName>
    <definedName name="m" localSheetId="15" hidden="1">{"PI_Data",#N/A,TRUE,"P&amp;I Data"}</definedName>
    <definedName name="m" localSheetId="16" hidden="1">{"PI_Data",#N/A,TRUE,"P&amp;I Data"}</definedName>
    <definedName name="m" localSheetId="17" hidden="1">{"PI_Data",#N/A,TRUE,"P&amp;I Data"}</definedName>
    <definedName name="m" localSheetId="19" hidden="1">{"PI_Data",#N/A,TRUE,"P&amp;I Data"}</definedName>
    <definedName name="m" localSheetId="20" hidden="1">{"PI_Data",#N/A,TRUE,"P&amp;I Data"}</definedName>
    <definedName name="m" localSheetId="21" hidden="1">{"PI_Data",#N/A,TRUE,"P&amp;I Data"}</definedName>
    <definedName name="m" localSheetId="22" hidden="1">{"PI_Data",#N/A,TRUE,"P&amp;I Data"}</definedName>
    <definedName name="m" localSheetId="23" hidden="1">{"PI_Data",#N/A,TRUE,"P&amp;I Data"}</definedName>
    <definedName name="m" localSheetId="25" hidden="1">{"PI_Data",#N/A,TRUE,"P&amp;I Data"}</definedName>
    <definedName name="m" localSheetId="27" hidden="1">{"PI_Data",#N/A,TRUE,"P&amp;I Data"}</definedName>
    <definedName name="m" localSheetId="29" hidden="1">{"PI_Data",#N/A,TRUE,"P&amp;I Data"}</definedName>
    <definedName name="m" localSheetId="30" hidden="1">{"PI_Data",#N/A,TRUE,"P&amp;I Data"}</definedName>
    <definedName name="m" localSheetId="7" hidden="1">{"PI_Data",#N/A,TRUE,"P&amp;I Data"}</definedName>
    <definedName name="m" localSheetId="9" hidden="1">{"PI_Data",#N/A,TRUE,"P&amp;I Data"}</definedName>
    <definedName name="m" localSheetId="10" hidden="1">{"PI_Data",#N/A,TRUE,"P&amp;I Data"}</definedName>
    <definedName name="m" hidden="1">{"PI_Data",#N/A,TRUE,"P&amp;I Data"}</definedName>
    <definedName name="M21Laurie">#N/A</definedName>
    <definedName name="M2X" localSheetId="19" hidden="1">{"PI_Data",#N/A,TRUE,"P&amp;I Data"}</definedName>
    <definedName name="M2X" localSheetId="21" hidden="1">{"PI_Data",#N/A,TRUE,"P&amp;I Data"}</definedName>
    <definedName name="M2X" localSheetId="22" hidden="1">{"PI_Data",#N/A,TRUE,"P&amp;I Data"}</definedName>
    <definedName name="M2X" localSheetId="9" hidden="1">{"PI_Data",#N/A,TRUE,"P&amp;I Data"}</definedName>
    <definedName name="M2X" hidden="1">{"PI_Data",#N/A,TRUE,"P&amp;I Data"}</definedName>
    <definedName name="MACRO1">#REF!</definedName>
    <definedName name="Maintenance">0.15</definedName>
    <definedName name="Marty">#REF!</definedName>
    <definedName name="May" localSheetId="19" hidden="1">{#N/A,#N/A,FALSE,"CTC Summary - EOY";#N/A,#N/A,FALSE,"CTC Summary - Wtavg"}</definedName>
    <definedName name="May" localSheetId="21" hidden="1">{#N/A,#N/A,FALSE,"CTC Summary - EOY";#N/A,#N/A,FALSE,"CTC Summary - Wtavg"}</definedName>
    <definedName name="May" localSheetId="22" hidden="1">{#N/A,#N/A,FALSE,"CTC Summary - EOY";#N/A,#N/A,FALSE,"CTC Summary - Wtavg"}</definedName>
    <definedName name="May" localSheetId="9" hidden="1">{#N/A,#N/A,FALSE,"CTC Summary - EOY";#N/A,#N/A,FALSE,"CTC Summary - Wtavg"}</definedName>
    <definedName name="May" hidden="1">{#N/A,#N/A,FALSE,"CTC Summary - EOY";#N/A,#N/A,FALSE,"CTC Summary - Wtavg"}</definedName>
    <definedName name="MEWarning" hidden="1">1</definedName>
    <definedName name="MFTSR">'[11]A.2 PTP'!$P$276</definedName>
    <definedName name="Mgmt">[61]Current!#REF!</definedName>
    <definedName name="million">1000000</definedName>
    <definedName name="minsys">#REF!</definedName>
    <definedName name="minus_S_W_2001">'[62]Last year''s minus S&amp;W'!$A$1</definedName>
    <definedName name="MISS1FAC">#REF!</definedName>
    <definedName name="MISS1LF">#REF!</definedName>
    <definedName name="MISS1MW">#REF!</definedName>
    <definedName name="MISS1MWH">#REF!</definedName>
    <definedName name="MISS2FAC">#REF!</definedName>
    <definedName name="MISS2LF">#REF!</definedName>
    <definedName name="MISS2MW">#REF!</definedName>
    <definedName name="MISS2MWH">#REF!</definedName>
    <definedName name="MM" localSheetId="19" hidden="1">{"PI_Data",#N/A,TRUE,"P&amp;I Data"}</definedName>
    <definedName name="MM" localSheetId="21" hidden="1">{"PI_Data",#N/A,TRUE,"P&amp;I Data"}</definedName>
    <definedName name="MM" localSheetId="22" hidden="1">{"PI_Data",#N/A,TRUE,"P&amp;I Data"}</definedName>
    <definedName name="MM" localSheetId="9" hidden="1">{"PI_Data",#N/A,TRUE,"P&amp;I Data"}</definedName>
    <definedName name="MM" hidden="1">{"PI_Data",#N/A,TRUE,"P&amp;I Data"}</definedName>
    <definedName name="modelgrheader">[2]Model!$A$3</definedName>
    <definedName name="modelqreheader">[2]Model!$A$78</definedName>
    <definedName name="MONTH">#REF!</definedName>
    <definedName name="MONTH12">#REF!</definedName>
    <definedName name="MonthDate">[63]Index!$A$4</definedName>
    <definedName name="months">[38]Permanent!$A$24:$A$35</definedName>
    <definedName name="MREV">'[11]C. Input'!$F$295</definedName>
    <definedName name="MS">'[11]C. Input'!$F$242</definedName>
    <definedName name="MTC_Amortization">'[23]JFJ-3 MTC Rate'!$A$32:$F$82</definedName>
    <definedName name="n" localSheetId="19" hidden="1">{#N/A,#N/A,FALSE,"CTC Summary - EOY";#N/A,#N/A,FALSE,"CTC Summary - Wtavg"}</definedName>
    <definedName name="n" localSheetId="21" hidden="1">{#N/A,#N/A,FALSE,"CTC Summary - EOY";#N/A,#N/A,FALSE,"CTC Summary - Wtavg"}</definedName>
    <definedName name="n" localSheetId="22" hidden="1">{#N/A,#N/A,FALSE,"CTC Summary - EOY";#N/A,#N/A,FALSE,"CTC Summary - Wtavg"}</definedName>
    <definedName name="n" localSheetId="9" hidden="1">{#N/A,#N/A,FALSE,"CTC Summary - EOY";#N/A,#N/A,FALSE,"CTC Summary - Wtavg"}</definedName>
    <definedName name="n" hidden="1">{#N/A,#N/A,FALSE,"CTC Summary - EOY";#N/A,#N/A,FALSE,"CTC Summary - Wtavg"}</definedName>
    <definedName name="NET_REVENUE">#REF!</definedName>
    <definedName name="New" localSheetId="19" hidden="1">{#N/A,#N/A,FALSE,"CTC Summary - EOY";#N/A,#N/A,FALSE,"CTC Summary - Wtavg"}</definedName>
    <definedName name="New" localSheetId="21" hidden="1">{#N/A,#N/A,FALSE,"CTC Summary - EOY";#N/A,#N/A,FALSE,"CTC Summary - Wtavg"}</definedName>
    <definedName name="New" localSheetId="22" hidden="1">{#N/A,#N/A,FALSE,"CTC Summary - EOY";#N/A,#N/A,FALSE,"CTC Summary - Wtavg"}</definedName>
    <definedName name="New" localSheetId="9" hidden="1">{#N/A,#N/A,FALSE,"CTC Summary - EOY";#N/A,#N/A,FALSE,"CTC Summary - Wtavg"}</definedName>
    <definedName name="New" hidden="1">{#N/A,#N/A,FALSE,"CTC Summary - EOY";#N/A,#N/A,FALSE,"CTC Summary - Wtavg"}</definedName>
    <definedName name="New_99_IS">'[64]2nd qtr 2000'!$A$1:$I$58,'[64]2nd qtr 2000'!$K$1:$T$58,'[64]2nd qtr 2000'!$V$1:$AI$58</definedName>
    <definedName name="NewHire">8500</definedName>
    <definedName name="NEXT_STEP">[2]Comparison!$CK$14</definedName>
    <definedName name="Node">[65]Hierarchy!$B$2:$E$16455</definedName>
    <definedName name="non_cap_int">'[20]Input Page'!$E$15</definedName>
    <definedName name="NOTE">'[24]Consol Adj.'!#REF!</definedName>
    <definedName name="November09" hidden="1">{#N/A,#N/A,FALSE,"Monthly SAIFI";#N/A,#N/A,FALSE,"Yearly SAIFI";#N/A,#N/A,FALSE,"Monthly CAIDI";#N/A,#N/A,FALSE,"Yearly CAIDI";#N/A,#N/A,FALSE,"Monthly SAIDI";#N/A,#N/A,FALSE,"Yearly SAIDI";#N/A,#N/A,FALSE,"Monthly MAIFI";#N/A,#N/A,FALSE,"Yearly MAIFI";#N/A,#N/A,FALSE,"Monthly Cust &gt;=4 Int"}</definedName>
    <definedName name="NOxpMB1">[56]Inputs!$D$294</definedName>
    <definedName name="NP">'[25]Actual Gross Rev'!$J$185</definedName>
    <definedName name="NPA">'[26]ATRR Act'!$F$45</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[66]Sheet1!$H$75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OFF">'[3]DPLG-APRIL2001-TRANSCHECKOUT'!$F$2:$L$10</definedName>
    <definedName name="ok">"46A77S0J3A6DMSOD9MQSK0ZYO"</definedName>
    <definedName name="OMCustomer">#REF!</definedName>
    <definedName name="OMFunct">#REF!</definedName>
    <definedName name="ON">'[3]DPLG-APRIL2001-TRANSCHECKOUT'!$M$2:$AC$10</definedName>
    <definedName name="one">1</definedName>
    <definedName name="ORACLE_DEPRECIATION">'[67]Agriliance-allassets'!$A$1:$EG$15622</definedName>
    <definedName name="other_mix_cap">'[14]Input Page'!$G$10</definedName>
    <definedName name="other_mix_total">'[14]Input Page'!$G$11</definedName>
    <definedName name="OTR_TST">'[11]A.2 PTP'!$P$129</definedName>
    <definedName name="p" localSheetId="13" hidden="1">{"PI_Data",#N/A,TRUE,"P&amp;I Data"}</definedName>
    <definedName name="p" localSheetId="14" hidden="1">{"PI_Data",#N/A,TRUE,"P&amp;I Data"}</definedName>
    <definedName name="p" localSheetId="15" hidden="1">{"PI_Data",#N/A,TRUE,"P&amp;I Data"}</definedName>
    <definedName name="p" localSheetId="16" hidden="1">{"PI_Data",#N/A,TRUE,"P&amp;I Data"}</definedName>
    <definedName name="p" localSheetId="17" hidden="1">{"PI_Data",#N/A,TRUE,"P&amp;I Data"}</definedName>
    <definedName name="p" localSheetId="19" hidden="1">{"PI_Data",#N/A,TRUE,"P&amp;I Data"}</definedName>
    <definedName name="p" localSheetId="20" hidden="1">{"PI_Data",#N/A,TRUE,"P&amp;I Data"}</definedName>
    <definedName name="p" localSheetId="21" hidden="1">{"PI_Data",#N/A,TRUE,"P&amp;I Data"}</definedName>
    <definedName name="p" localSheetId="22" hidden="1">{"PI_Data",#N/A,TRUE,"P&amp;I Data"}</definedName>
    <definedName name="p" localSheetId="23" hidden="1">{"PI_Data",#N/A,TRUE,"P&amp;I Data"}</definedName>
    <definedName name="p" localSheetId="25" hidden="1">{"PI_Data",#N/A,TRUE,"P&amp;I Data"}</definedName>
    <definedName name="p" localSheetId="27" hidden="1">{"PI_Data",#N/A,TRUE,"P&amp;I Data"}</definedName>
    <definedName name="p" localSheetId="29" hidden="1">{"PI_Data",#N/A,TRUE,"P&amp;I Data"}</definedName>
    <definedName name="p" localSheetId="30" hidden="1">{"PI_Data",#N/A,TRUE,"P&amp;I Data"}</definedName>
    <definedName name="p" localSheetId="7" hidden="1">{"PI_Data",#N/A,TRUE,"P&amp;I Data"}</definedName>
    <definedName name="p" localSheetId="9" hidden="1">{"PI_Data",#N/A,TRUE,"P&amp;I Data"}</definedName>
    <definedName name="p" localSheetId="10" hidden="1">{"PI_Data",#N/A,TRUE,"P&amp;I Data"}</definedName>
    <definedName name="p" hidden="1">{"PI_Data",#N/A,TRUE,"P&amp;I Data"}</definedName>
    <definedName name="P2X" localSheetId="19" hidden="1">{"PI_Data",#N/A,TRUE,"P&amp;I Data"}</definedName>
    <definedName name="P2X" localSheetId="21" hidden="1">{"PI_Data",#N/A,TRUE,"P&amp;I Data"}</definedName>
    <definedName name="P2X" localSheetId="22" hidden="1">{"PI_Data",#N/A,TRUE,"P&amp;I Data"}</definedName>
    <definedName name="P2X" localSheetId="9" hidden="1">{"PI_Data",#N/A,TRUE,"P&amp;I Data"}</definedName>
    <definedName name="P2X" hidden="1">{"PI_Data",#N/A,TRUE,"P&amp;I Data"}</definedName>
    <definedName name="pctHW">[34]Input!$M$24</definedName>
    <definedName name="pctSWExp">[34]Input!$M$26</definedName>
    <definedName name="pctTraining">[34]Input!$M$25</definedName>
    <definedName name="pe">[2]Print!$A$2</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X" localSheetId="19" hidden="1">{"PI_Data",#N/A,TRUE,"P&amp;I Data"}</definedName>
    <definedName name="PIX" localSheetId="21" hidden="1">{"PI_Data",#N/A,TRUE,"P&amp;I Data"}</definedName>
    <definedName name="PIX" localSheetId="22" hidden="1">{"PI_Data",#N/A,TRUE,"P&amp;I Data"}</definedName>
    <definedName name="PIX" localSheetId="9" hidden="1">{"PI_Data",#N/A,TRUE,"P&amp;I Data"}</definedName>
    <definedName name="PIX" hidden="1">{"PI_Data",#N/A,TRUE,"P&amp;I Data"}</definedName>
    <definedName name="post_fossil">[23]Assumptions!$E$59</definedName>
    <definedName name="POWER_FACTOR">#REF!</definedName>
    <definedName name="Power51Header">#REF!</definedName>
    <definedName name="Power52">#REF!</definedName>
    <definedName name="Power52Header">#REF!</definedName>
    <definedName name="Power53">#REF!</definedName>
    <definedName name="Power53Header">#REF!</definedName>
    <definedName name="Power54">#REF!</definedName>
    <definedName name="Power54Header">#REF!</definedName>
    <definedName name="Power55">#REF!</definedName>
    <definedName name="Power55Header">#REF!</definedName>
    <definedName name="Power56">#REF!</definedName>
    <definedName name="Power56Header">#REF!</definedName>
    <definedName name="PowerHeader">#REF!</definedName>
    <definedName name="PowerSum">#REF!</definedName>
    <definedName name="PP" localSheetId="19" hidden="1">{"PI_Data",#N/A,TRUE,"P&amp;I Data"}</definedName>
    <definedName name="PP" localSheetId="21" hidden="1">{"PI_Data",#N/A,TRUE,"P&amp;I Data"}</definedName>
    <definedName name="PP" localSheetId="22" hidden="1">{"PI_Data",#N/A,TRUE,"P&amp;I Data"}</definedName>
    <definedName name="PP" localSheetId="9" hidden="1">{"PI_Data",#N/A,TRUE,"P&amp;I Data"}</definedName>
    <definedName name="PP" hidden="1">{"PI_Data",#N/A,TRUE,"P&amp;I Data"}</definedName>
    <definedName name="PPA">[10]Assumptions!$E$38</definedName>
    <definedName name="PPLT">'[11]C. Input'!$F$152</definedName>
    <definedName name="ppppppppppppppppppppppppppppppp" localSheetId="19" hidden="1">{"PI_Data",#N/A,TRUE,"P&amp;I Data"}</definedName>
    <definedName name="ppppppppppppppppppppppppppppppp" localSheetId="21" hidden="1">{"PI_Data",#N/A,TRUE,"P&amp;I Data"}</definedName>
    <definedName name="ppppppppppppppppppppppppppppppp" localSheetId="22" hidden="1">{"PI_Data",#N/A,TRUE,"P&amp;I Data"}</definedName>
    <definedName name="ppppppppppppppppppppppppppppppp" localSheetId="9" hidden="1">{"PI_Data",#N/A,TRUE,"P&amp;I Data"}</definedName>
    <definedName name="ppppppppppppppppppppppppppppppp" hidden="1">{"PI_Data",#N/A,TRUE,"P&amp;I Data"}</definedName>
    <definedName name="pPRINT">'[3]DPLG-APRIL2001-TRANSCHECKOUT'!$A$1:$I$49</definedName>
    <definedName name="PPT">'[11]C. Input'!$F$244</definedName>
    <definedName name="PR">'[11]C. Input'!$F$25</definedName>
    <definedName name="PRet">'[25]Projected Gross Rev Req'!$L$228</definedName>
    <definedName name="PreTaxDebt">'[23]MTC Return'!$F$18</definedName>
    <definedName name="Print">#REF!</definedName>
    <definedName name="Print_99_IS">'[64]2nd qtr 2000'!$D$1:$I$58,'[64]2nd qtr 2000'!$N$1:$T$58,'[64]2nd qtr 2000'!$AA$1:$AH$57</definedName>
    <definedName name="_xlnm.Print_Area" localSheetId="13">'10-AccDep'!$A$1:$AD$137</definedName>
    <definedName name="_xlnm.Print_Area" localSheetId="16">'13-WorkCap'!$A$1:$J$69</definedName>
    <definedName name="_xlnm.Print_Area" localSheetId="17">'14-ADIT'!$A$1:$N$126</definedName>
    <definedName name="_xlnm.Print_Area" localSheetId="18">'15-LossFactors'!$A$1:$H$29</definedName>
    <definedName name="_xlnm.Print_Area" localSheetId="19">'16-UnfundedReserves'!$A$1:$G$108</definedName>
    <definedName name="_xlnm.Print_Area" localSheetId="20">'17-RegAssets-1'!$A$1:$K$73</definedName>
    <definedName name="_xlnm.Print_Area" localSheetId="21">'17-RegAssets-2'!$A$1:$BI$135</definedName>
    <definedName name="_xlnm.Print_Area" localSheetId="23">'18-OandM'!$A$1:$Q$37</definedName>
    <definedName name="_xlnm.Print_Area" localSheetId="24">'19-AandG'!$A$1:$M$78</definedName>
    <definedName name="_xlnm.Print_Area" localSheetId="3">'1-DRR'!$A$1:$M$121</definedName>
    <definedName name="_xlnm.Print_Area" localSheetId="25">'20-RevenueCredits'!$A$1:$H$70</definedName>
    <definedName name="_xlnm.Print_Area" localSheetId="27">'22-TaxRates'!$A$1:$F$16</definedName>
    <definedName name="_xlnm.Print_Area" localSheetId="28">'23-CustServCharge'!$A$1:$E$42</definedName>
    <definedName name="_xlnm.Print_Area" localSheetId="29">'24-Allocators'!$A$1:$F$54</definedName>
    <definedName name="_xlnm.Print_Area" localSheetId="30">'25-RevenueFeeFactors'!$A$1:$G$19</definedName>
    <definedName name="_xlnm.Print_Area" localSheetId="4">'2-True-upDRR'!$A$1:$M$90</definedName>
    <definedName name="_xlnm.Print_Area" localSheetId="5">'3-ATA'!$A$1:$L$361</definedName>
    <definedName name="_xlnm.Print_Area" localSheetId="7">'5-CostofCap-3'!$A$1:$H$27</definedName>
    <definedName name="_xlnm.Print_Area" localSheetId="8">'5-CostofCap-4'!$A$1:$K$47</definedName>
    <definedName name="_xlnm.Print_Area" localSheetId="9">'6-PlantJurisdiction'!$A$1:$I$95</definedName>
    <definedName name="_xlnm.Print_Area" localSheetId="10">'7-PlantInService'!$A$1:$AD$137</definedName>
    <definedName name="_xlnm.Print_Area" localSheetId="11">'8-DemandForAllocation'!$A$1:$N$49</definedName>
    <definedName name="_xlnm.Print_Area" localSheetId="12">'9-WholesaleRevenues'!$A$1:$K$115</definedName>
    <definedName name="_xlnm.Print_Area" localSheetId="0">'Cover Page'!$A$1:$G$23</definedName>
    <definedName name="_xlnm.Print_Area">#REF!</definedName>
    <definedName name="Print_Area_MI" localSheetId="19">#REF!</definedName>
    <definedName name="Print_Area_MI" localSheetId="21">#REF!</definedName>
    <definedName name="Print_Area_MI" localSheetId="22">#REF!</definedName>
    <definedName name="Print_Area_MI">#REF!</definedName>
    <definedName name="Print_TFI_use">'[68]TFI use'!$A$1:$P$40,'[68]TFI use'!$A$42:$P$65,'[68]TFI use'!$A$67:$R$84</definedName>
    <definedName name="_xlnm.Print_Titles" localSheetId="13">'10-AccDep'!$1:$2</definedName>
    <definedName name="_xlnm.Print_Titles" localSheetId="14">'11-Depreciation'!$1:$2</definedName>
    <definedName name="_xlnm.Print_Titles" localSheetId="16">'13-WorkCap'!$1:$2</definedName>
    <definedName name="_xlnm.Print_Titles" localSheetId="17">'14-ADIT'!$1:$2</definedName>
    <definedName name="_xlnm.Print_Titles" localSheetId="3">'1-DRR'!$1:$2</definedName>
    <definedName name="_xlnm.Print_Titles" localSheetId="4">'2-True-upDRR'!$1:$2</definedName>
    <definedName name="_xlnm.Print_Titles" localSheetId="10">'7-PlantInService'!$1:$2</definedName>
    <definedName name="Print_Titles_MI">'[69]DACTIVE$'!$A$1:$IV$4,'[69]DACTIVE$'!$A$1:$A$65536</definedName>
    <definedName name="Print1">#REF!</definedName>
    <definedName name="Print3">#REF!</definedName>
    <definedName name="Print4">#REF!</definedName>
    <definedName name="Print5">#REF!</definedName>
    <definedName name="PrintArea">#REF!</definedName>
    <definedName name="PrintareaDec">'[70]kWh-Mcf'!$E$97,'[70]kWh-Mcf'!$A$81:$E$118,'[70]kWh-Mcf'!$AM$86:$AO$118</definedName>
    <definedName name="prior_year_fuel_adj">'[14]Input Page'!$G$30</definedName>
    <definedName name="PriorYear">#REF!</definedName>
    <definedName name="prod_depr">'[20]Input Page'!$E$17</definedName>
    <definedName name="Proj_PIS">'[71]Final Summary Sheet'!$AB$132:$AM$141</definedName>
    <definedName name="Projection">"Projection"</definedName>
    <definedName name="ProjIDList">#REF!</definedName>
    <definedName name="ProposedRate91">#REF!</definedName>
    <definedName name="PSClass">#REF!</definedName>
    <definedName name="PSCo_COS">#REF!</definedName>
    <definedName name="psrate">#REF!</definedName>
    <definedName name="PTitle">'[25]Projected Net Rev Req'!$C$4</definedName>
    <definedName name="PXAG">'[11]C. Input'!$F$185</definedName>
    <definedName name="PYTX">'[11]C. Input'!$F$220</definedName>
    <definedName name="q" localSheetId="19" hidden="1">#REF!</definedName>
    <definedName name="q" hidden="1">#REF!</definedName>
    <definedName name="q_MTEP06_App_AB_Facility">#REF!</definedName>
    <definedName name="q_MTEP06_App_AB_Projects">#REF!</definedName>
    <definedName name="QES">'[2]Gross_Rec:QRE''s'!$B$53:$N$112</definedName>
    <definedName name="qmat">#REF!</definedName>
    <definedName name="QRE_SUMMARY">'[2]QRE''s'!$A$7:$R$102</definedName>
    <definedName name="QTR">#REF!</definedName>
    <definedName name="qtrinfo">#REF!</definedName>
    <definedName name="query">'[72]Boston Edison'!$A$1:$M$3434</definedName>
    <definedName name="qw">{"'Metretek HTML'!$A$7:$W$42"}</definedName>
    <definedName name="qwer" localSheetId="13" hidden="1">{"PI_Data",#N/A,TRUE,"P&amp;I Data"}</definedName>
    <definedName name="qwer" localSheetId="14" hidden="1">{"PI_Data",#N/A,TRUE,"P&amp;I Data"}</definedName>
    <definedName name="qwer" localSheetId="15" hidden="1">{"PI_Data",#N/A,TRUE,"P&amp;I Data"}</definedName>
    <definedName name="qwer" localSheetId="16" hidden="1">{"PI_Data",#N/A,TRUE,"P&amp;I Data"}</definedName>
    <definedName name="qwer" localSheetId="17" hidden="1">{"PI_Data",#N/A,TRUE,"P&amp;I Data"}</definedName>
    <definedName name="qwer" localSheetId="19" hidden="1">{"PI_Data",#N/A,TRUE,"P&amp;I Data"}</definedName>
    <definedName name="qwer" localSheetId="20" hidden="1">{"PI_Data",#N/A,TRUE,"P&amp;I Data"}</definedName>
    <definedName name="qwer" localSheetId="21" hidden="1">{"PI_Data",#N/A,TRUE,"P&amp;I Data"}</definedName>
    <definedName name="qwer" localSheetId="22" hidden="1">{"PI_Data",#N/A,TRUE,"P&amp;I Data"}</definedName>
    <definedName name="qwer" localSheetId="23" hidden="1">{"PI_Data",#N/A,TRUE,"P&amp;I Data"}</definedName>
    <definedName name="qwer" localSheetId="25" hidden="1">{"PI_Data",#N/A,TRUE,"P&amp;I Data"}</definedName>
    <definedName name="qwer" localSheetId="27" hidden="1">{"PI_Data",#N/A,TRUE,"P&amp;I Data"}</definedName>
    <definedName name="qwer" localSheetId="29" hidden="1">{"PI_Data",#N/A,TRUE,"P&amp;I Data"}</definedName>
    <definedName name="qwer" localSheetId="30" hidden="1">{"PI_Data",#N/A,TRUE,"P&amp;I Data"}</definedName>
    <definedName name="qwer" localSheetId="7" hidden="1">{"PI_Data",#N/A,TRUE,"P&amp;I Data"}</definedName>
    <definedName name="qwer" localSheetId="9" hidden="1">{"PI_Data",#N/A,TRUE,"P&amp;I Data"}</definedName>
    <definedName name="qwer" localSheetId="10" hidden="1">{"PI_Data",#N/A,TRUE,"P&amp;I Data"}</definedName>
    <definedName name="qwer" hidden="1">{"PI_Data",#N/A,TRUE,"P&amp;I Data"}</definedName>
    <definedName name="QWER1" localSheetId="19" hidden="1">{"PI_Data",#N/A,TRUE,"P&amp;I Data"}</definedName>
    <definedName name="QWER1" localSheetId="21" hidden="1">{"PI_Data",#N/A,TRUE,"P&amp;I Data"}</definedName>
    <definedName name="QWER1" localSheetId="22" hidden="1">{"PI_Data",#N/A,TRUE,"P&amp;I Data"}</definedName>
    <definedName name="QWER1" localSheetId="9" hidden="1">{"PI_Data",#N/A,TRUE,"P&amp;I Data"}</definedName>
    <definedName name="QWER1" hidden="1">{"PI_Data",#N/A,TRUE,"P&amp;I Data"}</definedName>
    <definedName name="qwer2" localSheetId="19" hidden="1">{"PI_Data",#N/A,TRUE,"P&amp;I Data"}</definedName>
    <definedName name="qwer2" localSheetId="21" hidden="1">{"PI_Data",#N/A,TRUE,"P&amp;I Data"}</definedName>
    <definedName name="qwer2" localSheetId="22" hidden="1">{"PI_Data",#N/A,TRUE,"P&amp;I Data"}</definedName>
    <definedName name="qwer2" localSheetId="9" hidden="1">{"PI_Data",#N/A,TRUE,"P&amp;I Data"}</definedName>
    <definedName name="qwer2" hidden="1">{"PI_Data",#N/A,TRUE,"P&amp;I Data"}</definedName>
    <definedName name="QWERX" localSheetId="19" hidden="1">{"PI_Data",#N/A,TRUE,"P&amp;I Data"}</definedName>
    <definedName name="QWERX" localSheetId="21" hidden="1">{"PI_Data",#N/A,TRUE,"P&amp;I Data"}</definedName>
    <definedName name="QWERX" localSheetId="22" hidden="1">{"PI_Data",#N/A,TRUE,"P&amp;I Data"}</definedName>
    <definedName name="QWERX" localSheetId="9" hidden="1">{"PI_Data",#N/A,TRUE,"P&amp;I Data"}</definedName>
    <definedName name="QWERX" hidden="1">{"PI_Data",#N/A,TRUE,"P&amp;I Data"}</definedName>
    <definedName name="RA">'[11]C. Input'!$F$343</definedName>
    <definedName name="RACC">#REF!</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ateClass">#REF!</definedName>
    <definedName name="ratios">#REF!</definedName>
    <definedName name="RBCustomer">#REF!</definedName>
    <definedName name="RCITYM">#REF!</definedName>
    <definedName name="RCITYS">#REF!</definedName>
    <definedName name="RCITYST">#REF!</definedName>
    <definedName name="RCITYT">#REF!</definedName>
    <definedName name="reawreqw" hidden="1">{#N/A,#N/A,FALSE,"Monthly SAIFI";#N/A,#N/A,FALSE,"Yearly SAIFI";#N/A,#N/A,FALSE,"Monthly CAIDI";#N/A,#N/A,FALSE,"Yearly CAIDI";#N/A,#N/A,FALSE,"Monthly SAIDI";#N/A,#N/A,FALSE,"Yearly SAIDI";#N/A,#N/A,FALSE,"Monthly MAIFI";#N/A,#N/A,FALSE,"Yearly MAIFI";#N/A,#N/A,FALSE,"Monthly Cust &gt;=4 Int"}</definedName>
    <definedName name="Recorded_Year_Hours_per_month">#REF!</definedName>
    <definedName name="Recover">[73]Macro1!$A$124</definedName>
    <definedName name="reduced_credit">[2]Print!$I$22</definedName>
    <definedName name="reduced_credit_caption">[2]Print!$G$22</definedName>
    <definedName name="ReportTitle1">#REF!</definedName>
    <definedName name="Reserve2011">#REF!</definedName>
    <definedName name="respc">'[74]Employee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evvar">#REF!</definedName>
    <definedName name="RF">'[35]Att. 15a.1 - TCJA DDIT and EDIT'!$E$69</definedName>
    <definedName name="RFRANM">#REF!</definedName>
    <definedName name="RFRANT">#REF!</definedName>
    <definedName name="right">#REF!</definedName>
    <definedName name="ROR">'[26]ATRR Est.'!$G$179</definedName>
    <definedName name="RowDetails1">#REF!</definedName>
    <definedName name="RRBT">#REF!</definedName>
    <definedName name="RRE">'[11]C. Input'!$F$207</definedName>
    <definedName name="rrrr" hidden="1">{#N/A,#N/A,FALSE,"O&amp;M by processes";#N/A,#N/A,FALSE,"Elec Act vs Bud";#N/A,#N/A,FALSE,"G&amp;A";#N/A,#N/A,FALSE,"BGS";#N/A,#N/A,FALSE,"Res Cost"}</definedName>
    <definedName name="RRUCO">#REF!</definedName>
    <definedName name="RSTATE">#REF!</definedName>
    <definedName name="RTX">'[11]C. Input'!$F$222</definedName>
    <definedName name="S">'[11]C. Input'!$F$76</definedName>
    <definedName name="SAPBEXdnldView">"49BGT7GXT9EX51LLJXMJKZ8Y6"</definedName>
    <definedName name="SAPBEXdnldView_1">"467GDHUY063FE1Q3S2Y9KSMQ8"</definedName>
    <definedName name="SAPBEXhrIndnt">1</definedName>
    <definedName name="SAPBEXrevision" localSheetId="21" hidden="1">23</definedName>
    <definedName name="SAPBEXrevision">9</definedName>
    <definedName name="SAPBEXsysID">"BPR"</definedName>
    <definedName name="SAPBEXwbID" localSheetId="21" hidden="1">"4HQ4VKTSPDVV7Z9R01RIJVVW7"</definedName>
    <definedName name="SAPBEXwbID">"3XY8MM4SHGBHT4B7F8XEIC63B"</definedName>
    <definedName name="SAPBEXwbID2" localSheetId="21" hidden="1">"43PJT8J5QINLSBNFYJLE3ZU45"</definedName>
    <definedName name="SAPBEXwbID2">"3W3Y8WU9D4KB8I8XZYLB5WWMT"</definedName>
    <definedName name="SAPCrosstab1">#REF!</definedName>
    <definedName name="SAPEXwbID1">"471C2VSNPC28U9XYPMV2AOH11"</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 localSheetId="19" hidden="1">{"Summary","1",FALSE,"Summary"}</definedName>
    <definedName name="sds" localSheetId="21" hidden="1">{"Summary","1",FALSE,"Summary"}</definedName>
    <definedName name="sds" localSheetId="22" hidden="1">{"Summary","1",FALSE,"Summary"}</definedName>
    <definedName name="sds" localSheetId="9" hidden="1">{"Summary","1",FALSE,"Summary"}</definedName>
    <definedName name="sds" hidden="1">{"Summary","1",FALSE,"Summary"}</definedName>
    <definedName name="sdsb" localSheetId="19" hidden="1">{"Summary","1",FALSE,"Summary"}</definedName>
    <definedName name="sdsb" localSheetId="21" hidden="1">{"Summary","1",FALSE,"Summary"}</definedName>
    <definedName name="sdsb" localSheetId="22" hidden="1">{"Summary","1",FALSE,"Summary"}</definedName>
    <definedName name="sdsb" localSheetId="9" hidden="1">{"Summary","1",FALSE,"Summary"}</definedName>
    <definedName name="sdsb" hidden="1">{"Summary","1",FALSE,"Summary"}</definedName>
    <definedName name="Seasons">#REF!</definedName>
    <definedName name="SECUR_GI">'[11]C. Input'!$F$353</definedName>
    <definedName name="SECUR_IS">'[11]C. Input'!$F$357</definedName>
    <definedName name="SECUR_KR">'[11]C. Input'!$F$349</definedName>
    <definedName name="sencount">1</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LVERFAC">#REF!</definedName>
    <definedName name="SILVERLF">#REF!</definedName>
    <definedName name="SILVERMW">#REF!</definedName>
    <definedName name="SILVERMWH">#REF!</definedName>
    <definedName name="SIT">'[35]Attachment 15 - Income Taxes'!$K$8</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localSheetId="13"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9" hidden="1">#REF!</definedName>
    <definedName name="solver_opt" localSheetId="20" hidden="1">#REF!</definedName>
    <definedName name="solver_opt" localSheetId="23" hidden="1">#REF!</definedName>
    <definedName name="solver_opt" localSheetId="25" hidden="1">#REF!</definedName>
    <definedName name="solver_opt" localSheetId="27" hidden="1">#REF!</definedName>
    <definedName name="solver_opt" localSheetId="29" hidden="1">#REF!</definedName>
    <definedName name="solver_opt" localSheetId="30" hidden="1">#REF!</definedName>
    <definedName name="solver_opt" localSheetId="4" hidden="1">#REF!</definedName>
    <definedName name="solver_opt" localSheetId="7" hidden="1">#REF!</definedName>
    <definedName name="solver_opt" localSheetId="9" hidden="1">#REF!</definedName>
    <definedName name="solver_opt" localSheetId="10" hidden="1">#REF!</definedName>
    <definedName name="solver_opt" hidden="1">#REF!</definedName>
    <definedName name="solver_typ" hidden="1">1</definedName>
    <definedName name="solver_val" hidden="1">0</definedName>
    <definedName name="SPS_COS">#REF!</definedName>
    <definedName name="ssd"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2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2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#REF!</definedName>
    <definedName name="STATE">#REF!</definedName>
    <definedName name="statsrevised" hidden="1">{#N/A,#N/A,FALSE,"O&amp;M by processes";#N/A,#N/A,FALSE,"Elec Act vs Bud";#N/A,#N/A,FALSE,"G&amp;A";#N/A,#N/A,FALSE,"BGS";#N/A,#N/A,FALSE,"Res Cost"}</definedName>
    <definedName name="step1">#REF!</definedName>
    <definedName name="Step2" localSheetId="19" hidden="1">{#N/A,#N/A,FALSE,"CTC Summary - EOY";#N/A,#N/A,FALSE,"CTC Summary - Wtavg"}</definedName>
    <definedName name="Step2" localSheetId="21" hidden="1">{#N/A,#N/A,FALSE,"CTC Summary - EOY";#N/A,#N/A,FALSE,"CTC Summary - Wtavg"}</definedName>
    <definedName name="Step2" localSheetId="22" hidden="1">{#N/A,#N/A,FALSE,"CTC Summary - EOY";#N/A,#N/A,FALSE,"CTC Summary - Wtavg"}</definedName>
    <definedName name="Step2" localSheetId="9" hidden="1">{#N/A,#N/A,FALSE,"CTC Summary - EOY";#N/A,#N/A,FALSE,"CTC Summary - Wtavg"}</definedName>
    <definedName name="Step2" hidden="1">{#N/A,#N/A,FALSE,"CTC Summary - EOY";#N/A,#N/A,FALSE,"CTC Summary - Wtavg"}</definedName>
    <definedName name="STILL1040">'[75]Addt''l 1040 Exclusions'!$A$5:$U$44</definedName>
    <definedName name="store_cap">'[20]Input Page'!$E$9</definedName>
    <definedName name="store_total">'[20]Input Page'!$E$10</definedName>
    <definedName name="SumForecast">#REF!</definedName>
    <definedName name="SumHistoric">#REF!</definedName>
    <definedName name="summary_caution">[2]Model!$A$202:$IV$207</definedName>
    <definedName name="SumPower">#REF!</definedName>
    <definedName name="SumPresRate">#REF!</definedName>
    <definedName name="SumPropRate">#REF!</definedName>
    <definedName name="SumRateBase">#REF!</definedName>
    <definedName name="SumRevClass">#REF!</definedName>
    <definedName name="SumRevPresRate">#REF!</definedName>
    <definedName name="SumRevPropRate">#REF!</definedName>
    <definedName name="SumRevRate">#REF!</definedName>
    <definedName name="SumRevReq">#REF!</definedName>
    <definedName name="SUPP">'[24]Consol Adj.'!#REF!</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'[23]Keystone Swap Amort Sched'!$A$1:$F$241</definedName>
    <definedName name="T" localSheetId="13" hidden="1">{"PI_Data",#N/A,TRUE,"P&amp;I Data"}</definedName>
    <definedName name="T" localSheetId="14" hidden="1">{"PI_Data",#N/A,TRUE,"P&amp;I Data"}</definedName>
    <definedName name="T" localSheetId="15" hidden="1">{"PI_Data",#N/A,TRUE,"P&amp;I Data"}</definedName>
    <definedName name="T" localSheetId="16" hidden="1">{"PI_Data",#N/A,TRUE,"P&amp;I Data"}</definedName>
    <definedName name="T" localSheetId="17" hidden="1">{"PI_Data",#N/A,TRUE,"P&amp;I Data"}</definedName>
    <definedName name="T" localSheetId="19" hidden="1">{"PI_Data",#N/A,TRUE,"P&amp;I Data"}</definedName>
    <definedName name="T" localSheetId="20" hidden="1">{"PI_Data",#N/A,TRUE,"P&amp;I Data"}</definedName>
    <definedName name="T" localSheetId="21" hidden="1">{"PI_Data",#N/A,TRUE,"P&amp;I Data"}</definedName>
    <definedName name="T" localSheetId="22" hidden="1">{"PI_Data",#N/A,TRUE,"P&amp;I Data"}</definedName>
    <definedName name="T" localSheetId="23" hidden="1">{"PI_Data",#N/A,TRUE,"P&amp;I Data"}</definedName>
    <definedName name="T" localSheetId="25" hidden="1">{"PI_Data",#N/A,TRUE,"P&amp;I Data"}</definedName>
    <definedName name="T" localSheetId="27" hidden="1">{"PI_Data",#N/A,TRUE,"P&amp;I Data"}</definedName>
    <definedName name="T" localSheetId="29" hidden="1">{"PI_Data",#N/A,TRUE,"P&amp;I Data"}</definedName>
    <definedName name="T" localSheetId="30" hidden="1">{"PI_Data",#N/A,TRUE,"P&amp;I Data"}</definedName>
    <definedName name="T" localSheetId="7" hidden="1">{"PI_Data",#N/A,TRUE,"P&amp;I Data"}</definedName>
    <definedName name="T" localSheetId="9" hidden="1">{"PI_Data",#N/A,TRUE,"P&amp;I Data"}</definedName>
    <definedName name="T" localSheetId="10" hidden="1">{"PI_Data",#N/A,TRUE,"P&amp;I Data"}</definedName>
    <definedName name="T" hidden="1">{"PI_Data",#N/A,TRUE,"P&amp;I Data"}</definedName>
    <definedName name="T2X" localSheetId="19" hidden="1">{"PI_Data",#N/A,TRUE,"P&amp;I Data"}</definedName>
    <definedName name="T2X" localSheetId="21" hidden="1">{"PI_Data",#N/A,TRUE,"P&amp;I Data"}</definedName>
    <definedName name="T2X" localSheetId="22" hidden="1">{"PI_Data",#N/A,TRUE,"P&amp;I Data"}</definedName>
    <definedName name="T2X" localSheetId="9" hidden="1">{"PI_Data",#N/A,TRUE,"P&amp;I Data"}</definedName>
    <definedName name="T2X" hidden="1">{"PI_Data",#N/A,TRUE,"P&amp;I Data"}</definedName>
    <definedName name="TableName">"Dummy"</definedName>
    <definedName name="TableOfContents">#REF!</definedName>
    <definedName name="Tacx_Factor">[23]Assumptions!$E$52</definedName>
    <definedName name="tax_base_on_inc">'[20]Input Page'!$E$14</definedName>
    <definedName name="tax_basis">'[20]Input Page'!$E$18</definedName>
    <definedName name="taxcalc">#REF!</definedName>
    <definedName name="TAXES">#REF!</definedName>
    <definedName name="Taxrate">'[76]Case study '!$C$28</definedName>
    <definedName name="tblCharts">'[2]Macro Tables'!$I$5:$I$16</definedName>
    <definedName name="TBLHeader">#REF!</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'[25]Actual Gross Rev'!$L$159</definedName>
    <definedName name="TEQ">'[11]C. Input'!$F$277</definedName>
    <definedName name="test" localSheetId="13" hidden="1">{"PI_Data",#N/A,TRUE,"P&amp;I Data"}</definedName>
    <definedName name="test" localSheetId="14" hidden="1">{"PI_Data",#N/A,TRUE,"P&amp;I Data"}</definedName>
    <definedName name="test" localSheetId="15" hidden="1">{"PI_Data",#N/A,TRUE,"P&amp;I Data"}</definedName>
    <definedName name="test" localSheetId="16" hidden="1">{"PI_Data",#N/A,TRUE,"P&amp;I Data"}</definedName>
    <definedName name="test" localSheetId="17" hidden="1">{"PI_Data",#N/A,TRUE,"P&amp;I Data"}</definedName>
    <definedName name="test" localSheetId="19" hidden="1">{"PI_Data",#N/A,TRUE,"P&amp;I Data"}</definedName>
    <definedName name="test" localSheetId="20" hidden="1">{"PI_Data",#N/A,TRUE,"P&amp;I Data"}</definedName>
    <definedName name="test" localSheetId="21" hidden="1">{"PI_Data",#N/A,TRUE,"P&amp;I Data"}</definedName>
    <definedName name="test" localSheetId="22" hidden="1">{"PI_Data",#N/A,TRUE,"P&amp;I Data"}</definedName>
    <definedName name="test" localSheetId="23" hidden="1">{"PI_Data",#N/A,TRUE,"P&amp;I Data"}</definedName>
    <definedName name="test" localSheetId="25" hidden="1">{"PI_Data",#N/A,TRUE,"P&amp;I Data"}</definedName>
    <definedName name="test" localSheetId="27" hidden="1">{"PI_Data",#N/A,TRUE,"P&amp;I Data"}</definedName>
    <definedName name="test" localSheetId="29" hidden="1">{"PI_Data",#N/A,TRUE,"P&amp;I Data"}</definedName>
    <definedName name="test" localSheetId="30" hidden="1">{"PI_Data",#N/A,TRUE,"P&amp;I Data"}</definedName>
    <definedName name="test" localSheetId="7" hidden="1">{"PI_Data",#N/A,TRUE,"P&amp;I Data"}</definedName>
    <definedName name="test" localSheetId="9" hidden="1">{"PI_Data",#N/A,TRUE,"P&amp;I Data"}</definedName>
    <definedName name="test" localSheetId="10" hidden="1">{"PI_Data",#N/A,TRUE,"P&amp;I Data"}</definedName>
    <definedName name="test" hidden="1">{"PI_Data",#N/A,TRUE,"P&amp;I Data"}</definedName>
    <definedName name="test1"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hidden="1">{"LBO Summary",#N/A,FALSE,"Summary"}</definedName>
    <definedName name="test4" hidden="1">{"assumptions",#N/A,FALSE,"Scenario 1";"valuation",#N/A,FALSE,"Scenario 1"}</definedName>
    <definedName name="test6" hidden="1">{"LBO Summary",#N/A,FALSE,"Summary"}</definedName>
    <definedName name="testcust">#REF!</definedName>
    <definedName name="testdate">#REF!</definedName>
    <definedName name="testkwh">#REF!</definedName>
    <definedName name="TestYear">#REF!</definedName>
    <definedName name="text">"($ in '000s)"</definedName>
    <definedName name="TextRefCopyRangeCount" hidden="1">1</definedName>
    <definedName name="TGUF">'[35]Attachment 15 - Income Taxes'!$E$15</definedName>
    <definedName name="thousand">1000</definedName>
    <definedName name="Time" hidden="1">"b1"</definedName>
    <definedName name="TKW">'[11]C. Input'!$F$330</definedName>
    <definedName name="TL">'[11]C. Input'!$F$178</definedName>
    <definedName name="TLR_TST">'[11]A.2 PTP'!$P$91</definedName>
    <definedName name="TMCFAC">#REF!</definedName>
    <definedName name="TMCLF">#REF!</definedName>
    <definedName name="TMCMW">#REF!</definedName>
    <definedName name="TMCMWH">#REF!</definedName>
    <definedName name="Toggle">Projection</definedName>
    <definedName name="Toggle.list">'[39]Appendix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'[20]Input Page'!$E$12</definedName>
    <definedName name="Tota_Deferred">#REF!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'[25]Actual Gross Rev'!$L$158</definedName>
    <definedName name="TP_Footer_Path" hidden="1">"S:\23150\05RET\exec calcs\Chinn\"</definedName>
    <definedName name="TP_Footer_Path1" hidden="1">"S:\74639\03RET\(852) Pension Val - OOS\Contribution Allocations\"</definedName>
    <definedName name="TP_Footer_User" hidden="1">"CORBINP"</definedName>
    <definedName name="TP_Footer_Version" hidden="1">"v3.00"</definedName>
    <definedName name="TPA">'[26]ATRR Act'!$G$158</definedName>
    <definedName name="TPLT">'[11]C. Input'!$F$161</definedName>
    <definedName name="TPLTXS">'[11]C. Input'!$F$164</definedName>
    <definedName name="TPR_TST">'[11]A.2 PTP'!$P$75</definedName>
    <definedName name="TrackerCust">#REF!</definedName>
    <definedName name="TrackerPrice">#REF!</definedName>
    <definedName name="transmission.fixed.charge.rate">0.1525</definedName>
    <definedName name="TRB">'[11]A.2 PTP'!$P$165</definedName>
    <definedName name="TREV">'[11]C. Input'!$F$287</definedName>
    <definedName name="True_up">'[39]Appendix A'!$P$6</definedName>
    <definedName name="tsgsf">"467GDHUY063FE1Q3S2Y9KSMQ8"</definedName>
    <definedName name="TT" localSheetId="19" hidden="1">{"PI_Data",#N/A,TRUE,"P&amp;I Data"}</definedName>
    <definedName name="TT" localSheetId="21" hidden="1">{"PI_Data",#N/A,TRUE,"P&amp;I Data"}</definedName>
    <definedName name="TT" localSheetId="22" hidden="1">{"PI_Data",#N/A,TRUE,"P&amp;I Data"}</definedName>
    <definedName name="TT" localSheetId="9" hidden="1">{"PI_Data",#N/A,TRUE,"P&amp;I Data"}</definedName>
    <definedName name="TT" hidden="1">{"PI_Data",#N/A,TRUE,"P&amp;I Data"}</definedName>
    <definedName name="ttttttttttttttttttttttaaaaaaaaaaaa" localSheetId="19" hidden="1">{"PI_Data",#N/A,TRUE,"P&amp;I Data"}</definedName>
    <definedName name="ttttttttttttttttttttttaaaaaaaaaaaa" localSheetId="21" hidden="1">{"PI_Data",#N/A,TRUE,"P&amp;I Data"}</definedName>
    <definedName name="ttttttttttttttttttttttaaaaaaaaaaaa" localSheetId="22" hidden="1">{"PI_Data",#N/A,TRUE,"P&amp;I Data"}</definedName>
    <definedName name="ttttttttttttttttttttttaaaaaaaaaaaa" localSheetId="9" hidden="1">{"PI_Data",#N/A,TRUE,"P&amp;I Data"}</definedName>
    <definedName name="ttttttttttttttttttttttaaaaaaaaaaaa" hidden="1">{"PI_Data",#N/A,TRUE,"P&amp;I Data"}</definedName>
    <definedName name="TU">#REF!</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ACHRPFAC">#REF!</definedName>
    <definedName name="UACHRPLF">#REF!</definedName>
    <definedName name="UACHRPMW">#REF!</definedName>
    <definedName name="UACHRPMWH">#REF!</definedName>
    <definedName name="UAMAINFAC">#REF!</definedName>
    <definedName name="UAMAINLF">#REF!</definedName>
    <definedName name="UAMAINMW">#REF!</definedName>
    <definedName name="UAMAINMWH">#REF!</definedName>
    <definedName name="UAMEDFAC">#REF!</definedName>
    <definedName name="UAMEDLF">#REF!</definedName>
    <definedName name="UAMEDMW">#REF!</definedName>
    <definedName name="UAMEDMWH">#REF!</definedName>
    <definedName name="UCC_500" localSheetId="19" hidden="1">'[77]1_1'!$Z$78:$AA$92</definedName>
    <definedName name="UCC_500" localSheetId="21" hidden="1">'[78]1_1'!$Z$78:$AA$92</definedName>
    <definedName name="UCC_500" localSheetId="22" hidden="1">'[78]1_1'!$Z$78:$AA$92</definedName>
    <definedName name="UCC_500" hidden="1">'[78]1_1'!$Z$78:$AA$92</definedName>
    <definedName name="UCC_510" localSheetId="19" hidden="1">'[77]1_1'!$Z$78:$AB$83</definedName>
    <definedName name="UCC_510" localSheetId="21" hidden="1">'[78]1_1'!$Z$78:$AB$83</definedName>
    <definedName name="UCC_510" localSheetId="22" hidden="1">'[78]1_1'!$Z$78:$AB$83</definedName>
    <definedName name="UCC_510" hidden="1">'[78]1_1'!$Z$78:$AB$83</definedName>
    <definedName name="UCC_800" localSheetId="19" hidden="1">'[77]1_1'!$Y$48:$Z$97</definedName>
    <definedName name="UCC_800" localSheetId="21" hidden="1">'[78]1_1'!$Y$48:$Z$97</definedName>
    <definedName name="UCC_800" localSheetId="22" hidden="1">'[78]1_1'!$Y$48:$Z$97</definedName>
    <definedName name="UCC_800" hidden="1">'[78]1_1'!$Y$48:$Z$97</definedName>
    <definedName name="UCC_801" localSheetId="19" hidden="1">'[77]1_1'!$Z$54:$AB$74</definedName>
    <definedName name="UCC_801" localSheetId="21" hidden="1">'[78]1_1'!$Z$54:$AB$74</definedName>
    <definedName name="UCC_801" localSheetId="22" hidden="1">'[78]1_1'!$Z$54:$AB$74</definedName>
    <definedName name="UCC_801" hidden="1">'[78]1_1'!$Z$54:$AB$74</definedName>
    <definedName name="UCC_802" localSheetId="19" hidden="1">'[77]1_1'!$Z$78:$AC$97</definedName>
    <definedName name="UCC_802" localSheetId="21" hidden="1">'[78]1_1'!$Z$78:$AC$97</definedName>
    <definedName name="UCC_802" localSheetId="22" hidden="1">'[78]1_1'!$Z$78:$AC$97</definedName>
    <definedName name="UCC_802" hidden="1">'[78]1_1'!$Z$78:$AC$97</definedName>
    <definedName name="Unbundle_Rate_Base">#REF!</definedName>
    <definedName name="Unbundle_Rev_Req">#REF!</definedName>
    <definedName name="Unbundling_Unit_Cost">#REF!</definedName>
    <definedName name="Unbundling_Unit_Title">#REF!</definedName>
    <definedName name="unitcost">#REF!</definedName>
    <definedName name="UnitCost21">#REF!</definedName>
    <definedName name="UnitCost22">#REF!</definedName>
    <definedName name="UP">#REF!</definedName>
    <definedName name="URA">'[11]C. Input'!$F$337</definedName>
    <definedName name="utility">#REF!</definedName>
    <definedName name="utilstt">#REF!</definedName>
    <definedName name="v">[79]Cover!$A$9</definedName>
    <definedName name="valDate">[32]Inputs!$B$1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 hidden="1">"a1"</definedName>
    <definedName name="WCCGCR2">[80]Rates!$B$96:$C$190</definedName>
    <definedName name="WCLTD">'[35]Attachment H-4A JCP&amp;L '!$I$212</definedName>
    <definedName name="we">{"'Metretek HTML'!$A$7:$W$42"}</definedName>
    <definedName name="WEEK">[42]A!$Q$59</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ever">#REF!</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'[81]WO Info'!$A$1:$F$17972</definedName>
    <definedName name="wrn" hidden="1">{#N/A,#N/A,FALSE,"O&amp;M by processes";#N/A,#N/A,FALSE,"Elec Act vs Bud";#N/A,#N/A,FALSE,"G&amp;A";#N/A,#N/A,FALSE,"BGS";#N/A,#N/A,FALSE,"Res Cost"}</definedName>
    <definedName name="wrn.722." hidden="1">{#N/A,#N/A,FALSE,"CURRENT"}</definedName>
    <definedName name="wrn.Accelerated." localSheetId="13" hidden="1">{#N/A,#N/A,FALSE,"CTC Summary - EOY";#N/A,#N/A,FALSE,"CTC Summary - Wtavg"}</definedName>
    <definedName name="wrn.Accelerated." localSheetId="14" hidden="1">{#N/A,#N/A,FALSE,"CTC Summary - EOY";#N/A,#N/A,FALSE,"CTC Summary - Wtavg"}</definedName>
    <definedName name="wrn.Accelerated." localSheetId="15" hidden="1">{#N/A,#N/A,FALSE,"CTC Summary - EOY";#N/A,#N/A,FALSE,"CTC Summary - Wtavg"}</definedName>
    <definedName name="wrn.Accelerated." localSheetId="16" hidden="1">{#N/A,#N/A,FALSE,"CTC Summary - EOY";#N/A,#N/A,FALSE,"CTC Summary - Wtavg"}</definedName>
    <definedName name="wrn.Accelerated." localSheetId="17" hidden="1">{#N/A,#N/A,FALSE,"CTC Summary - EOY";#N/A,#N/A,FALSE,"CTC Summary - Wtavg"}</definedName>
    <definedName name="wrn.Accelerated." localSheetId="19" hidden="1">{#N/A,#N/A,FALSE,"CTC Summary - EOY";#N/A,#N/A,FALSE,"CTC Summary - Wtavg"}</definedName>
    <definedName name="wrn.Accelerated." localSheetId="20" hidden="1">{#N/A,#N/A,FALSE,"CTC Summary - EOY";#N/A,#N/A,FALSE,"CTC Summary - Wtavg"}</definedName>
    <definedName name="wrn.Accelerated." localSheetId="21" hidden="1">{#N/A,#N/A,FALSE,"CTC Summary - EOY";#N/A,#N/A,FALSE,"CTC Summary - Wtavg"}</definedName>
    <definedName name="wrn.Accelerated." localSheetId="22" hidden="1">{#N/A,#N/A,FALSE,"CTC Summary - EOY";#N/A,#N/A,FALSE,"CTC Summary - Wtavg"}</definedName>
    <definedName name="wrn.Accelerated." localSheetId="23" hidden="1">{#N/A,#N/A,FALSE,"CTC Summary - EOY";#N/A,#N/A,FALSE,"CTC Summary - Wtavg"}</definedName>
    <definedName name="wrn.Accelerated." localSheetId="25" hidden="1">{#N/A,#N/A,FALSE,"CTC Summary - EOY";#N/A,#N/A,FALSE,"CTC Summary - Wtavg"}</definedName>
    <definedName name="wrn.Accelerated." localSheetId="27" hidden="1">{#N/A,#N/A,FALSE,"CTC Summary - EOY";#N/A,#N/A,FALSE,"CTC Summary - Wtavg"}</definedName>
    <definedName name="wrn.Accelerated." localSheetId="29" hidden="1">{#N/A,#N/A,FALSE,"CTC Summary - EOY";#N/A,#N/A,FALSE,"CTC Summary - Wtavg"}</definedName>
    <definedName name="wrn.Accelerated." localSheetId="30" hidden="1">{#N/A,#N/A,FALSE,"CTC Summary - EOY";#N/A,#N/A,FALSE,"CTC Summary - Wtavg"}</definedName>
    <definedName name="wrn.Accelerated." localSheetId="7" hidden="1">{#N/A,#N/A,FALSE,"CTC Summary - EOY";#N/A,#N/A,FALSE,"CTC Summary - Wtavg"}</definedName>
    <definedName name="wrn.Accelerated." localSheetId="9" hidden="1">{#N/A,#N/A,FALSE,"CTC Summary - EOY";#N/A,#N/A,FALSE,"CTC Summary - Wtavg"}</definedName>
    <definedName name="wrn.Accelerated." localSheetId="10" hidden="1">{#N/A,#N/A,FALSE,"CTC Summary - EOY";#N/A,#N/A,FALSE,"CTC Summary - Wtavg"}</definedName>
    <definedName name="wrn.Accelerated." hidden="1">{#N/A,#N/A,FALSE,"CTC Summary - EOY";#N/A,#N/A,FALSE,"CTC Summary - Wtavg"}</definedName>
    <definedName name="wrn.accellerated1" localSheetId="13" hidden="1">{#N/A,#N/A,FALSE,"CTC Summary - EOY";#N/A,#N/A,FALSE,"CTC Summary - Wtavg"}</definedName>
    <definedName name="wrn.accellerated1" localSheetId="14" hidden="1">{#N/A,#N/A,FALSE,"CTC Summary - EOY";#N/A,#N/A,FALSE,"CTC Summary - Wtavg"}</definedName>
    <definedName name="wrn.accellerated1" localSheetId="15" hidden="1">{#N/A,#N/A,FALSE,"CTC Summary - EOY";#N/A,#N/A,FALSE,"CTC Summary - Wtavg"}</definedName>
    <definedName name="wrn.accellerated1" localSheetId="16" hidden="1">{#N/A,#N/A,FALSE,"CTC Summary - EOY";#N/A,#N/A,FALSE,"CTC Summary - Wtavg"}</definedName>
    <definedName name="wrn.accellerated1" localSheetId="17" hidden="1">{#N/A,#N/A,FALSE,"CTC Summary - EOY";#N/A,#N/A,FALSE,"CTC Summary - Wtavg"}</definedName>
    <definedName name="wrn.accellerated1" localSheetId="19" hidden="1">{#N/A,#N/A,FALSE,"CTC Summary - EOY";#N/A,#N/A,FALSE,"CTC Summary - Wtavg"}</definedName>
    <definedName name="wrn.accellerated1" localSheetId="20" hidden="1">{#N/A,#N/A,FALSE,"CTC Summary - EOY";#N/A,#N/A,FALSE,"CTC Summary - Wtavg"}</definedName>
    <definedName name="wrn.accellerated1" localSheetId="21" hidden="1">{#N/A,#N/A,FALSE,"CTC Summary - EOY";#N/A,#N/A,FALSE,"CTC Summary - Wtavg"}</definedName>
    <definedName name="wrn.accellerated1" localSheetId="22" hidden="1">{#N/A,#N/A,FALSE,"CTC Summary - EOY";#N/A,#N/A,FALSE,"CTC Summary - Wtavg"}</definedName>
    <definedName name="wrn.accellerated1" localSheetId="23" hidden="1">{#N/A,#N/A,FALSE,"CTC Summary - EOY";#N/A,#N/A,FALSE,"CTC Summary - Wtavg"}</definedName>
    <definedName name="wrn.accellerated1" localSheetId="25" hidden="1">{#N/A,#N/A,FALSE,"CTC Summary - EOY";#N/A,#N/A,FALSE,"CTC Summary - Wtavg"}</definedName>
    <definedName name="wrn.accellerated1" localSheetId="27" hidden="1">{#N/A,#N/A,FALSE,"CTC Summary - EOY";#N/A,#N/A,FALSE,"CTC Summary - Wtavg"}</definedName>
    <definedName name="wrn.accellerated1" localSheetId="29" hidden="1">{#N/A,#N/A,FALSE,"CTC Summary - EOY";#N/A,#N/A,FALSE,"CTC Summary - Wtavg"}</definedName>
    <definedName name="wrn.accellerated1" localSheetId="30" hidden="1">{#N/A,#N/A,FALSE,"CTC Summary - EOY";#N/A,#N/A,FALSE,"CTC Summary - Wtavg"}</definedName>
    <definedName name="wrn.accellerated1" localSheetId="7" hidden="1">{#N/A,#N/A,FALSE,"CTC Summary - EOY";#N/A,#N/A,FALSE,"CTC Summary - Wtavg"}</definedName>
    <definedName name="wrn.accellerated1" localSheetId="9" hidden="1">{#N/A,#N/A,FALSE,"CTC Summary - EOY";#N/A,#N/A,FALSE,"CTC Summary - Wtavg"}</definedName>
    <definedName name="wrn.accellerated1" localSheetId="10" hidden="1">{#N/A,#N/A,FALSE,"CTC Summary - EOY";#N/A,#N/A,FALSE,"CTC Summary - Wtavg"}</definedName>
    <definedName name="wrn.accellerated1" hidden="1">{#N/A,#N/A,FALSE,"CTC Summary - EOY";#N/A,#N/A,FALSE,"CTC Summary - Wtavg"}</definedName>
    <definedName name="wrn.AG." localSheetId="19" hidden="1">{#N/A,#N/A,FALSE,"AG-1";#N/A,#N/A,FALSE,"AG-R";#N/A,#N/A,FALSE,"AG-V";#N/A,#N/A,FALSE,"AG-4";#N/A,#N/A,FALSE,"AG-5";#N/A,#N/A,FALSE,"AG-6";#N/A,#N/A,FALSE,"AG-7"}</definedName>
    <definedName name="wrn.AG." localSheetId="21" hidden="1">{#N/A,#N/A,FALSE,"AG-1";#N/A,#N/A,FALSE,"AG-R";#N/A,#N/A,FALSE,"AG-V";#N/A,#N/A,FALSE,"AG-4";#N/A,#N/A,FALSE,"AG-5";#N/A,#N/A,FALSE,"AG-6";#N/A,#N/A,FALSE,"AG-7"}</definedName>
    <definedName name="wrn.AG." localSheetId="22" hidden="1">{#N/A,#N/A,FALSE,"AG-1";#N/A,#N/A,FALSE,"AG-R";#N/A,#N/A,FALSE,"AG-V";#N/A,#N/A,FALSE,"AG-4";#N/A,#N/A,FALSE,"AG-5";#N/A,#N/A,FALSE,"AG-6";#N/A,#N/A,FALSE,"AG-7"}</definedName>
    <definedName name="wrn.AG." localSheetId="9" hidden="1">{#N/A,#N/A,FALSE,"AG-1";#N/A,#N/A,FALSE,"AG-R";#N/A,#N/A,FALSE,"AG-V";#N/A,#N/A,FALSE,"AG-4";#N/A,#N/A,FALSE,"AG-5";#N/A,#N/A,FALSE,"AG-6";#N/A,#N/A,FALSE,"AG-7"}</definedName>
    <definedName name="wrn.AG." hidden="1">{#N/A,#N/A,FALSE,"AG-1";#N/A,#N/A,FALSE,"AG-R";#N/A,#N/A,FALSE,"AG-V";#N/A,#N/A,FALSE,"AG-4";#N/A,#N/A,FALSE,"AG-5";#N/A,#N/A,FALSE,"AG-6";#N/A,#N/A,FALSE,"AG-7"}</definedName>
    <definedName name="wrn.AGa." localSheetId="19" hidden="1">{#N/A,#N/A,FALSE,"UN-AGRA";#N/A,#N/A,FALSE,"UN-AG1A";#N/A,#N/A,FALSE,"UN-AGVA";#N/A,#N/A,FALSE,"UN-AG4A ";#N/A,#N/A,FALSE,"UN-AG5A";#N/A,#N/A,FALSE,"UN-AG6A";#N/A,#N/A,FALSE,"Dist Calcs";#N/A,#N/A,FALSE,"7A-Avg.";#N/A,#N/A,FALSE,"7A Tier1-avg";#N/A,#N/A,FALSE,"7A Tier2-avg";#N/A,#N/A,FALSE,"Ag-7A Dist Calc"}</definedName>
    <definedName name="wrn.AGa." localSheetId="21" hidden="1">{#N/A,#N/A,FALSE,"UN-AGRA";#N/A,#N/A,FALSE,"UN-AG1A";#N/A,#N/A,FALSE,"UN-AGVA";#N/A,#N/A,FALSE,"UN-AG4A ";#N/A,#N/A,FALSE,"UN-AG5A";#N/A,#N/A,FALSE,"UN-AG6A";#N/A,#N/A,FALSE,"Dist Calcs";#N/A,#N/A,FALSE,"7A-Avg.";#N/A,#N/A,FALSE,"7A Tier1-avg";#N/A,#N/A,FALSE,"7A Tier2-avg";#N/A,#N/A,FALSE,"Ag-7A Dist Calc"}</definedName>
    <definedName name="wrn.AGa." localSheetId="22" hidden="1">{#N/A,#N/A,FALSE,"UN-AGRA";#N/A,#N/A,FALSE,"UN-AG1A";#N/A,#N/A,FALSE,"UN-AGVA";#N/A,#N/A,FALSE,"UN-AG4A ";#N/A,#N/A,FALSE,"UN-AG5A";#N/A,#N/A,FALSE,"UN-AG6A";#N/A,#N/A,FALSE,"Dist Calcs";#N/A,#N/A,FALSE,"7A-Avg.";#N/A,#N/A,FALSE,"7A Tier1-avg";#N/A,#N/A,FALSE,"7A Tier2-avg";#N/A,#N/A,FALSE,"Ag-7A Dist Calc"}</definedName>
    <definedName name="wrn.AGa." localSheetId="9" hidden="1">{#N/A,#N/A,FALSE,"UN-AGRA";#N/A,#N/A,FALSE,"UN-AG1A";#N/A,#N/A,FALSE,"UN-AGVA";#N/A,#N/A,FALSE,"UN-AG4A ";#N/A,#N/A,FALSE,"UN-AG5A";#N/A,#N/A,FALSE,"UN-AG6A";#N/A,#N/A,FALSE,"Dist Calcs";#N/A,#N/A,FALSE,"7A-Avg.";#N/A,#N/A,FALSE,"7A Tier1-avg";#N/A,#N/A,FALSE,"7A Tier2-avg";#N/A,#N/A,FALSE,"Ag-7A Dist Calc"}</definedName>
    <definedName name="wrn.AGa." hidden="1">{#N/A,#N/A,FALSE,"UN-AGRA";#N/A,#N/A,FALSE,"UN-AG1A";#N/A,#N/A,FALSE,"UN-AGVA";#N/A,#N/A,FALSE,"UN-AG4A ";#N/A,#N/A,FALSE,"UN-AG5A";#N/A,#N/A,FALSE,"UN-AG6A";#N/A,#N/A,FALSE,"Dist Calcs";#N/A,#N/A,FALSE,"7A-Avg.";#N/A,#N/A,FALSE,"7A Tier1-avg";#N/A,#N/A,FALSE,"7A Tier2-avg";#N/A,#N/A,FALSE,"Ag-7A Dist Calc"}</definedName>
    <definedName name="wrn.Agb." localSheetId="19"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21"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22"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9"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ll._.Sheets._.Engrs._.PMs."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2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2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omind." localSheetId="19" hidden="1">{#N/A,#N/A,FALSE,"A-1, A-6, A-10, A-15";#N/A,#N/A,FALSE,"E-19 Firm";#N/A,#N/A,FALSE,"E-19 Nonfirm";#N/A,#N/A,FALSE,"E-20 Firm ";#N/A,#N/A,FALSE,"E-20 Nonfirm ";#N/A,#N/A,FALSE,"E-25";#N/A,#N/A,FALSE,"E-36, E-37";#N/A,#N/A,FALSE,"LS-1,-2,-3, TC-1, OL-1";#N/A,#N/A,FALSE,"Standby"}</definedName>
    <definedName name="wrn.comind." localSheetId="21" hidden="1">{#N/A,#N/A,FALSE,"A-1, A-6, A-10, A-15";#N/A,#N/A,FALSE,"E-19 Firm";#N/A,#N/A,FALSE,"E-19 Nonfirm";#N/A,#N/A,FALSE,"E-20 Firm ";#N/A,#N/A,FALSE,"E-20 Nonfirm ";#N/A,#N/A,FALSE,"E-25";#N/A,#N/A,FALSE,"E-36, E-37";#N/A,#N/A,FALSE,"LS-1,-2,-3, TC-1, OL-1";#N/A,#N/A,FALSE,"Standby"}</definedName>
    <definedName name="wrn.comind." localSheetId="22" hidden="1">{#N/A,#N/A,FALSE,"A-1, A-6, A-10, A-15";#N/A,#N/A,FALSE,"E-19 Firm";#N/A,#N/A,FALSE,"E-19 Nonfirm";#N/A,#N/A,FALSE,"E-20 Firm ";#N/A,#N/A,FALSE,"E-20 Nonfirm ";#N/A,#N/A,FALSE,"E-25";#N/A,#N/A,FALSE,"E-36, E-37";#N/A,#N/A,FALSE,"LS-1,-2,-3, TC-1, OL-1";#N/A,#N/A,FALSE,"Standby"}</definedName>
    <definedName name="wrn.comind." localSheetId="9" hidden="1">{#N/A,#N/A,FALSE,"A-1, A-6, A-10, A-15";#N/A,#N/A,FALSE,"E-19 Firm";#N/A,#N/A,FALSE,"E-19 Nonfirm";#N/A,#N/A,FALSE,"E-20 Firm ";#N/A,#N/A,FALSE,"E-20 Nonfirm ";#N/A,#N/A,FALSE,"E-25";#N/A,#N/A,FALSE,"E-36, E-37";#N/A,#N/A,FALSE,"LS-1,-2,-3, TC-1, OL-1";#N/A,#N/A,FALSE,"Standby"}</definedName>
    <definedName name="wrn.comind." hidden="1">{#N/A,#N/A,FALSE,"A-1, A-6, A-10, A-15";#N/A,#N/A,FALSE,"E-19 Firm";#N/A,#N/A,FALSE,"E-19 Nonfirm";#N/A,#N/A,FALSE,"E-20 Firm ";#N/A,#N/A,FALSE,"E-20 Nonfirm ";#N/A,#N/A,FALSE,"E-25";#N/A,#N/A,FALSE,"E-36, E-37";#N/A,#N/A,FALSE,"LS-1,-2,-3, TC-1, OL-1";#N/A,#N/A,FALSE,"Standby"}</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istr." localSheetId="19" hidden="1">{#N/A,#N/A,FALSE,"Dist Rev at PR ";#N/A,#N/A,FALSE,"Spec";#N/A,#N/A,FALSE,"Res";#N/A,#N/A,FALSE,"Small L&amp;P";#N/A,#N/A,FALSE,"Medium L&amp;P";#N/A,#N/A,FALSE,"E-19";#N/A,#N/A,FALSE,"E-20";#N/A,#N/A,FALSE,"Strtlts &amp; Standby";#N/A,#N/A,FALSE,"A-RTP";#N/A,#N/A,FALSE,"2003mixeduse"}</definedName>
    <definedName name="wrn.Distr." localSheetId="21" hidden="1">{#N/A,#N/A,FALSE,"Dist Rev at PR ";#N/A,#N/A,FALSE,"Spec";#N/A,#N/A,FALSE,"Res";#N/A,#N/A,FALSE,"Small L&amp;P";#N/A,#N/A,FALSE,"Medium L&amp;P";#N/A,#N/A,FALSE,"E-19";#N/A,#N/A,FALSE,"E-20";#N/A,#N/A,FALSE,"Strtlts &amp; Standby";#N/A,#N/A,FALSE,"A-RTP";#N/A,#N/A,FALSE,"2003mixeduse"}</definedName>
    <definedName name="wrn.Distr." localSheetId="22" hidden="1">{#N/A,#N/A,FALSE,"Dist Rev at PR ";#N/A,#N/A,FALSE,"Spec";#N/A,#N/A,FALSE,"Res";#N/A,#N/A,FALSE,"Small L&amp;P";#N/A,#N/A,FALSE,"Medium L&amp;P";#N/A,#N/A,FALSE,"E-19";#N/A,#N/A,FALSE,"E-20";#N/A,#N/A,FALSE,"Strtlts &amp; Standby";#N/A,#N/A,FALSE,"A-RTP";#N/A,#N/A,FALSE,"2003mixeduse"}</definedName>
    <definedName name="wrn.Distr." localSheetId="9"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v._.Estimators."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2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2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2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2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GS._.Estimators." localSheetId="1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2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2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1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2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2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JE9DOLLARS." localSheetId="19" hidden="1">{"JE9DOLLARS",#N/A,FALSE,"JE9"}</definedName>
    <definedName name="wrn.JE9DOLLARS." localSheetId="21" hidden="1">{"JE9DOLLARS",#N/A,FALSE,"JE9"}</definedName>
    <definedName name="wrn.JE9DOLLARS." localSheetId="22" hidden="1">{"JE9DOLLARS",#N/A,FALSE,"JE9"}</definedName>
    <definedName name="wrn.JE9DOLLARS." localSheetId="9" hidden="1">{"JE9DOLLARS",#N/A,FALSE,"JE9"}</definedName>
    <definedName name="wrn.JE9DOLLARS." hidden="1">{"JE9DOLLARS",#N/A,FALSE,"JE9"}</definedName>
    <definedName name="wrn.JE9DTHS." localSheetId="19" hidden="1">{"JE9DTHS",#N/A,FALSE,"JE9"}</definedName>
    <definedName name="wrn.JE9DTHS." localSheetId="21" hidden="1">{"JE9DTHS",#N/A,FALSE,"JE9"}</definedName>
    <definedName name="wrn.JE9DTHS." localSheetId="22" hidden="1">{"JE9DTHS",#N/A,FALSE,"JE9"}</definedName>
    <definedName name="wrn.JE9DTHS." localSheetId="9" hidden="1">{"JE9DTHS",#N/A,FALSE,"JE9"}</definedName>
    <definedName name="wrn.JE9DTHS." hidden="1">{"JE9DTHS",#N/A,FALSE,"JE9"}</definedName>
    <definedName name="wrn.JE9MCF." localSheetId="19" hidden="1">{"JE9MCF",#N/A,FALSE,"JE9"}</definedName>
    <definedName name="wrn.JE9MCF." localSheetId="21" hidden="1">{"JE9MCF",#N/A,FALSE,"JE9"}</definedName>
    <definedName name="wrn.JE9MCF." localSheetId="22" hidden="1">{"JE9MCF",#N/A,FALSE,"JE9"}</definedName>
    <definedName name="wrn.JE9MCF." localSheetId="9" hidden="1">{"JE9MCF",#N/A,FALSE,"JE9"}</definedName>
    <definedName name="wrn.JE9MCF." hidden="1">{"JE9MCF",#N/A,FALSE,"JE9"}</definedName>
    <definedName name="wrn.LBO._.Summary." hidden="1">{"LBO Summary",#N/A,FALSE,"Summary"}</definedName>
    <definedName name="wrn.LOUISIANA." hidden="1">{#N/A,#N/A,FALSE,"LOCAL.XLS"}</definedName>
    <definedName name="wrn.ND." localSheetId="19" hidden="1">{#N/A,#N/A,FALSE,"ND Rev at Pres Rates";#N/A,#N/A,FALSE,"Res - Unadj sales";#N/A,#N/A,FALSE,"Small L&amp;P";#N/A,#N/A,FALSE,"Medium L&amp;P";#N/A,#N/A,FALSE,"E-19";#N/A,#N/A,FALSE,"E-20";#N/A,#N/A,FALSE,"Strtlts &amp; Standby";#N/A,#N/A,FALSE,"AG";#N/A,#N/A,FALSE,"A-RTP";#N/A,#N/A,FALSE,"Spec"}</definedName>
    <definedName name="wrn.ND." localSheetId="21" hidden="1">{#N/A,#N/A,FALSE,"ND Rev at Pres Rates";#N/A,#N/A,FALSE,"Res - Unadj sales";#N/A,#N/A,FALSE,"Small L&amp;P";#N/A,#N/A,FALSE,"Medium L&amp;P";#N/A,#N/A,FALSE,"E-19";#N/A,#N/A,FALSE,"E-20";#N/A,#N/A,FALSE,"Strtlts &amp; Standby";#N/A,#N/A,FALSE,"AG";#N/A,#N/A,FALSE,"A-RTP";#N/A,#N/A,FALSE,"Spec"}</definedName>
    <definedName name="wrn.ND." localSheetId="22" hidden="1">{#N/A,#N/A,FALSE,"ND Rev at Pres Rates";#N/A,#N/A,FALSE,"Res - Unadj sales";#N/A,#N/A,FALSE,"Small L&amp;P";#N/A,#N/A,FALSE,"Medium L&amp;P";#N/A,#N/A,FALSE,"E-19";#N/A,#N/A,FALSE,"E-20";#N/A,#N/A,FALSE,"Strtlts &amp; Standby";#N/A,#N/A,FALSE,"AG";#N/A,#N/A,FALSE,"A-RTP";#N/A,#N/A,FALSE,"Spec"}</definedName>
    <definedName name="wrn.ND." localSheetId="9"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I_Report." localSheetId="13" hidden="1">{"PI_Data",#N/A,TRUE,"P&amp;I Data"}</definedName>
    <definedName name="wrn.PI_Report." localSheetId="14" hidden="1">{"PI_Data",#N/A,TRUE,"P&amp;I Data"}</definedName>
    <definedName name="wrn.PI_Report." localSheetId="15" hidden="1">{"PI_Data",#N/A,TRUE,"P&amp;I Data"}</definedName>
    <definedName name="wrn.PI_Report." localSheetId="16" hidden="1">{"PI_Data",#N/A,TRUE,"P&amp;I Data"}</definedName>
    <definedName name="wrn.PI_Report." localSheetId="17" hidden="1">{"PI_Data",#N/A,TRUE,"P&amp;I Data"}</definedName>
    <definedName name="wrn.PI_Report." localSheetId="19" hidden="1">{"PI_Data",#N/A,TRUE,"P&amp;I Data"}</definedName>
    <definedName name="wrn.PI_Report." localSheetId="20" hidden="1">{"PI_Data",#N/A,TRUE,"P&amp;I Data"}</definedName>
    <definedName name="wrn.PI_Report." localSheetId="21" hidden="1">{"PI_Data",#N/A,TRUE,"P&amp;I Data"}</definedName>
    <definedName name="wrn.PI_Report." localSheetId="22" hidden="1">{"PI_Data",#N/A,TRUE,"P&amp;I Data"}</definedName>
    <definedName name="wrn.PI_Report." localSheetId="23" hidden="1">{"PI_Data",#N/A,TRUE,"P&amp;I Data"}</definedName>
    <definedName name="wrn.PI_Report." localSheetId="25" hidden="1">{"PI_Data",#N/A,TRUE,"P&amp;I Data"}</definedName>
    <definedName name="wrn.PI_Report." localSheetId="27" hidden="1">{"PI_Data",#N/A,TRUE,"P&amp;I Data"}</definedName>
    <definedName name="wrn.PI_Report." localSheetId="29" hidden="1">{"PI_Data",#N/A,TRUE,"P&amp;I Data"}</definedName>
    <definedName name="wrn.PI_Report." localSheetId="30" hidden="1">{"PI_Data",#N/A,TRUE,"P&amp;I Data"}</definedName>
    <definedName name="wrn.PI_Report." localSheetId="7" hidden="1">{"PI_Data",#N/A,TRUE,"P&amp;I Data"}</definedName>
    <definedName name="wrn.PI_Report." localSheetId="9" hidden="1">{"PI_Data",#N/A,TRUE,"P&amp;I Data"}</definedName>
    <definedName name="wrn.PI_Report." localSheetId="10" hidden="1">{"PI_Data",#N/A,TRUE,"P&amp;I Data"}</definedName>
    <definedName name="wrn.PI_Report." hidden="1">{"PI_Data",#N/A,TRUE,"P&amp;I Data"}</definedName>
    <definedName name="wrn.Print._.1_8."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2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2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2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2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Out."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 localSheetId="21" hidden="1">{#N/A,#N/A,FALSE,"Workpaper Tables 4-1 &amp; 4-2";#N/A,#N/A,FALSE,"Revenue Allocation Results";#N/A,#N/A,FALSE,"FERC Rev @ PR";#N/A,#N/A,FALSE,"Distribution Revenue Allocation";#N/A,#N/A,FALSE,"Nonallocated Revenues ";#N/A,#N/A,FALSE,"2000mixuse";#N/A,#N/A,FALSE,"MC Revenues- 00 sales, 96 MC's"}</definedName>
    <definedName name="wrn.Print._.Out." localSheetId="22" hidden="1">{#N/A,#N/A,FALSE,"Workpaper Tables 4-1 &amp; 4-2";#N/A,#N/A,FALSE,"Revenue Allocation Results";#N/A,#N/A,FALSE,"FERC Rev @ PR";#N/A,#N/A,FALSE,"Distribution Revenue Allocation";#N/A,#N/A,FALSE,"Nonallocated Revenues ";#N/A,#N/A,FALSE,"2000mixuse";#N/A,#N/A,FALSE,"MC Revenues- 00 sales, 96 MC's"}</definedName>
    <definedName name="wrn.Print._.Out." localSheetId="9"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ntout." localSheetId="13" hidden="1">{#N/A,#N/A,FALSE,"Transmission Revenue Allocation";"Marginal Cost Revenues",#N/A,FALSE,"MC Revenues- 01 sales, 96 MC's";#N/A,#N/A,FALSE,"1996 marginal costs -ECAC Adopt"}</definedName>
    <definedName name="wrn.printout." localSheetId="14" hidden="1">{#N/A,#N/A,FALSE,"Transmission Revenue Allocation";"Marginal Cost Revenues",#N/A,FALSE,"MC Revenues- 01 sales, 96 MC's";#N/A,#N/A,FALSE,"1996 marginal costs -ECAC Adopt"}</definedName>
    <definedName name="wrn.printout." localSheetId="15" hidden="1">{#N/A,#N/A,FALSE,"Transmission Revenue Allocation";"Marginal Cost Revenues",#N/A,FALSE,"MC Revenues- 01 sales, 96 MC's";#N/A,#N/A,FALSE,"1996 marginal costs -ECAC Adopt"}</definedName>
    <definedName name="wrn.printout." localSheetId="16" hidden="1">{#N/A,#N/A,FALSE,"Transmission Revenue Allocation";"Marginal Cost Revenues",#N/A,FALSE,"MC Revenues- 01 sales, 96 MC's";#N/A,#N/A,FALSE,"1996 marginal costs -ECAC Adopt"}</definedName>
    <definedName name="wrn.printout." localSheetId="17" hidden="1">{#N/A,#N/A,FALSE,"Transmission Revenue Allocation";"Marginal Cost Revenues",#N/A,FALSE,"MC Revenues- 01 sales, 96 MC's";#N/A,#N/A,FALSE,"1996 marginal costs -ECAC Adopt"}</definedName>
    <definedName name="wrn.printout." localSheetId="19" hidden="1">{#N/A,#N/A,FALSE,"Transmission Revenue Allocation";"Marginal Cost Revenues",#N/A,FALSE,"MC Revenues- 01 sales, 96 MC's";#N/A,#N/A,FALSE,"1996 marginal costs -ECAC Adopt"}</definedName>
    <definedName name="wrn.printout." localSheetId="20" hidden="1">{#N/A,#N/A,FALSE,"Transmission Revenue Allocation";"Marginal Cost Revenues",#N/A,FALSE,"MC Revenues- 01 sales, 96 MC's";#N/A,#N/A,FALSE,"1996 marginal costs -ECAC Adopt"}</definedName>
    <definedName name="wrn.printout." localSheetId="21" hidden="1">{#N/A,#N/A,FALSE,"Transmission Revenue Allocation";"Marginal Cost Revenues",#N/A,FALSE,"MC Revenues- 01 sales, 96 MC's";#N/A,#N/A,FALSE,"1996 marginal costs -ECAC Adopt"}</definedName>
    <definedName name="wrn.printout." localSheetId="22" hidden="1">{#N/A,#N/A,FALSE,"Transmission Revenue Allocation";"Marginal Cost Revenues",#N/A,FALSE,"MC Revenues- 01 sales, 96 MC's";#N/A,#N/A,FALSE,"1996 marginal costs -ECAC Adopt"}</definedName>
    <definedName name="wrn.printout." localSheetId="23" hidden="1">{#N/A,#N/A,FALSE,"Transmission Revenue Allocation";"Marginal Cost Revenues",#N/A,FALSE,"MC Revenues- 01 sales, 96 MC's";#N/A,#N/A,FALSE,"1996 marginal costs -ECAC Adopt"}</definedName>
    <definedName name="wrn.printout." localSheetId="25" hidden="1">{#N/A,#N/A,FALSE,"Transmission Revenue Allocation";"Marginal Cost Revenues",#N/A,FALSE,"MC Revenues- 01 sales, 96 MC's";#N/A,#N/A,FALSE,"1996 marginal costs -ECAC Adopt"}</definedName>
    <definedName name="wrn.printout." localSheetId="27" hidden="1">{#N/A,#N/A,FALSE,"Transmission Revenue Allocation";"Marginal Cost Revenues",#N/A,FALSE,"MC Revenues- 01 sales, 96 MC's";#N/A,#N/A,FALSE,"1996 marginal costs -ECAC Adopt"}</definedName>
    <definedName name="wrn.printout." localSheetId="29" hidden="1">{#N/A,#N/A,FALSE,"Transmission Revenue Allocation";"Marginal Cost Revenues",#N/A,FALSE,"MC Revenues- 01 sales, 96 MC's";#N/A,#N/A,FALSE,"1996 marginal costs -ECAC Adopt"}</definedName>
    <definedName name="wrn.printout." localSheetId="30" hidden="1">{#N/A,#N/A,FALSE,"Transmission Revenue Allocation";"Marginal Cost Revenues",#N/A,FALSE,"MC Revenues- 01 sales, 96 MC's";#N/A,#N/A,FALSE,"1996 marginal costs -ECAC Adopt"}</definedName>
    <definedName name="wrn.printout." localSheetId="9" hidden="1">{#N/A,#N/A,FALSE,"Transmission Revenue Allocation";"Marginal Cost Revenues",#N/A,FALSE,"MC Revenues- 01 sales, 96 MC's";#N/A,#N/A,FALSE,"1996 marginal costs -ECAC Adopt"}</definedName>
    <definedName name="wrn.printout." localSheetId="10" hidden="1">{#N/A,#N/A,FALSE,"Transmission Revenue Allocation";"Marginal Cost Revenues",#N/A,FALSE,"MC Revenues- 01 sales, 96 MC's";#N/A,#N/A,FALSE,"1996 marginal costs -ECAC Adopt"}</definedName>
    <definedName name="wrn.printout." hidden="1">{#N/A,#N/A,FALSE,"Transmission Revenue Allocation";"Marginal Cost Revenues",#N/A,FALSE,"MC Revenues- 01 sales, 96 MC's";#N/A,#N/A,FALSE,"1996 marginal costs -ECAC Adopt"}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s." localSheetId="19" hidden="1">{#N/A,#N/A,FALSE,"E-1, EM, ES";#N/A,#N/A,FALSE,"ESR, ET";#N/A,#N/A,FALSE,"E-7, E-A7";#N/A,#N/A,FALSE,"E-8";#N/A,#N/A,FALSE,"E-9 A, B, C, D";#N/A,#N/A,FALSE,"EL-1, EML";#N/A,#N/A,FALSE,"ESL, ESRL";#N/A,#N/A,FALSE,"ETL, EL-7";#N/A,#N/A,FALSE,"EL-A7, EL-8"}</definedName>
    <definedName name="wrn.Res." localSheetId="21" hidden="1">{#N/A,#N/A,FALSE,"E-1, EM, ES";#N/A,#N/A,FALSE,"ESR, ET";#N/A,#N/A,FALSE,"E-7, E-A7";#N/A,#N/A,FALSE,"E-8";#N/A,#N/A,FALSE,"E-9 A, B, C, D";#N/A,#N/A,FALSE,"EL-1, EML";#N/A,#N/A,FALSE,"ESL, ESRL";#N/A,#N/A,FALSE,"ETL, EL-7";#N/A,#N/A,FALSE,"EL-A7, EL-8"}</definedName>
    <definedName name="wrn.Res." localSheetId="22" hidden="1">{#N/A,#N/A,FALSE,"E-1, EM, ES";#N/A,#N/A,FALSE,"ESR, ET";#N/A,#N/A,FALSE,"E-7, E-A7";#N/A,#N/A,FALSE,"E-8";#N/A,#N/A,FALSE,"E-9 A, B, C, D";#N/A,#N/A,FALSE,"EL-1, EML";#N/A,#N/A,FALSE,"ESL, ESRL";#N/A,#N/A,FALSE,"ETL, EL-7";#N/A,#N/A,FALSE,"EL-A7, EL-8"}</definedName>
    <definedName name="wrn.Res." localSheetId="9" hidden="1">{#N/A,#N/A,FALSE,"E-1, EM, ES";#N/A,#N/A,FALSE,"ESR, ET";#N/A,#N/A,FALSE,"E-7, E-A7";#N/A,#N/A,FALSE,"E-8";#N/A,#N/A,FALSE,"E-9 A, B, C, D";#N/A,#N/A,FALSE,"EL-1, EML";#N/A,#N/A,FALSE,"ESL, ESRL";#N/A,#N/A,FALSE,"ETL, EL-7";#N/A,#N/A,FALSE,"EL-A7, EL-8"}</definedName>
    <definedName name="wrn.Res." hidden="1">{#N/A,#N/A,FALSE,"E-1, EM, ES";#N/A,#N/A,FALSE,"ESR, ET";#N/A,#N/A,FALSE,"E-7, E-A7";#N/A,#N/A,FALSE,"E-8";#N/A,#N/A,FALSE,"E-9 A, B, C, D";#N/A,#N/A,FALSE,"EL-1, EML";#N/A,#N/A,FALSE,"ESL, ESRL";#N/A,#N/A,FALSE,"ETL, EL-7";#N/A,#N/A,FALSE,"EL-A7, EL-8"}</definedName>
    <definedName name="wrn.Rev._.Alloc." localSheetId="19" hidden="1">{#N/A,#N/A,FALSE,"RRQ inputs ";#N/A,#N/A,FALSE,"FERC Rev @ PR";#N/A,#N/A,FALSE,"Distribution Revenue Allocation";#N/A,#N/A,FALSE,"Nonallocated Revenues";#N/A,#N/A,FALSE,"MC Revenues-03 sales, 96 MC's";#N/A,#N/A,FALSE,"FTA"}</definedName>
    <definedName name="wrn.Rev._.Alloc." localSheetId="21" hidden="1">{#N/A,#N/A,FALSE,"RRQ inputs ";#N/A,#N/A,FALSE,"FERC Rev @ PR";#N/A,#N/A,FALSE,"Distribution Revenue Allocation";#N/A,#N/A,FALSE,"Nonallocated Revenues";#N/A,#N/A,FALSE,"MC Revenues-03 sales, 96 MC's";#N/A,#N/A,FALSE,"FTA"}</definedName>
    <definedName name="wrn.Rev._.Alloc." localSheetId="22" hidden="1">{#N/A,#N/A,FALSE,"RRQ inputs ";#N/A,#N/A,FALSE,"FERC Rev @ PR";#N/A,#N/A,FALSE,"Distribution Revenue Allocation";#N/A,#N/A,FALSE,"Nonallocated Revenues";#N/A,#N/A,FALSE,"MC Revenues-03 sales, 96 MC's";#N/A,#N/A,FALSE,"FTA"}</definedName>
    <definedName name="wrn.Rev._.Alloc." localSheetId="9"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chedules." localSheetId="19" hidden="1">{#N/A,#N/A,FALSE,"Res - Unadj";#N/A,#N/A,FALSE,"Small L&amp;P";#N/A,#N/A,FALSE,"Medium L&amp;P";#N/A,#N/A,FALSE,"E-19";#N/A,#N/A,FALSE,"E-20";#N/A,#N/A,FALSE,"A-RTP";#N/A,#N/A,FALSE,"Strtlts &amp; Standby";#N/A,#N/A,FALSE,"AG";#N/A,#N/A,FALSE,"2001mixeduse"}</definedName>
    <definedName name="wrn.schedules." localSheetId="21" hidden="1">{#N/A,#N/A,FALSE,"ND Rev at Pres Rates";#N/A,#N/A,FALSE,"Res - Unadj";#N/A,#N/A,FALSE,"Small L&amp;P";#N/A,#N/A,FALSE,"Medium L&amp;P";#N/A,#N/A,FALSE,"E-19";#N/A,#N/A,FALSE,"E-20";#N/A,#N/A,FALSE,"A-RTP";#N/A,#N/A,FALSE,"Strtlts &amp; Standby";#N/A,#N/A,FALSE,"AG";#N/A,#N/A,FALSE,"2001mixeduse"}</definedName>
    <definedName name="wrn.schedules." localSheetId="22" hidden="1">{#N/A,#N/A,FALSE,"Res - Unadj";#N/A,#N/A,FALSE,"Small L&amp;P";#N/A,#N/A,FALSE,"Medium L&amp;P";#N/A,#N/A,FALSE,"E-19";#N/A,#N/A,FALSE,"E-20";#N/A,#N/A,FALSE,"A-RTP";#N/A,#N/A,FALSE,"Strtlts &amp; Standby";#N/A,#N/A,FALSE,"AG";#N/A,#N/A,FALSE,"2001mixeduse"}</definedName>
    <definedName name="wrn.schedules." localSheetId="9" hidden="1">{#N/A,#N/A,FALSE,"Res - Unadj";#N/A,#N/A,FALSE,"Small L&amp;P";#N/A,#N/A,FALSE,"Medium L&amp;P";#N/A,#N/A,FALSE,"E-19";#N/A,#N/A,FALSE,"E-20";#N/A,#N/A,FALSE,"A-RTP";#N/A,#N/A,FALSE,"Strtlts &amp; Standby";#N/A,#N/A,FALSE,"AG";#N/A,#N/A,FALSE,"2001mixeduse"}</definedName>
    <definedName name="wrn.schedules." hidden="1">{#N/A,#N/A,FALSE,"Res - Unadj";#N/A,#N/A,FALSE,"Small L&amp;P";#N/A,#N/A,FALSE,"Medium L&amp;P";#N/A,#N/A,FALSE,"E-19";#N/A,#N/A,FALSE,"E-20";#N/A,#N/A,FALSE,"A-RTP";#N/A,#N/A,FALSE,"Strtlts &amp; Standby";#N/A,#N/A,FALSE,"AG";#N/A,#N/A,FALSE,"2001mixeduse"}</definedName>
    <definedName name="wrn.sum1." localSheetId="19" hidden="1">{"Summary","1",FALSE,"Summary"}</definedName>
    <definedName name="wrn.sum1." localSheetId="21" hidden="1">{"Summary","1",FALSE,"Summary"}</definedName>
    <definedName name="wrn.sum1." localSheetId="22" hidden="1">{"Summary","1",FALSE,"Summary"}</definedName>
    <definedName name="wrn.sum1." localSheetId="9" hidden="1">{"Summary","1",FALSE,"Summary"}</definedName>
    <definedName name="wrn.sum1." hidden="1">{"Summary","1",FALSE,"Summary"}</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'[25]Actual Gross Rev'!$L$207</definedName>
    <definedName name="WSA">'[26]ATRR Act'!$G$168</definedName>
    <definedName name="x" localSheetId="19" hidden="1">{#N/A,#N/A,FALSE,"CTC Summary - EOY";#N/A,#N/A,FALSE,"CTC Summary - Wtavg"}</definedName>
    <definedName name="x" localSheetId="21" hidden="1">{#N/A,#N/A,FALSE,"CTC Summary - EOY";#N/A,#N/A,FALSE,"CTC Summary - Wtavg"}</definedName>
    <definedName name="x" localSheetId="22" hidden="1">{#N/A,#N/A,FALSE,"CTC Summary - EOY";#N/A,#N/A,FALSE,"CTC Summary - Wtavg"}</definedName>
    <definedName name="x" localSheetId="9" hidden="1">{#N/A,#N/A,FALSE,"CTC Summary - EOY";#N/A,#N/A,FALSE,"CTC Summary - Wtavg"}</definedName>
    <definedName name="x" hidden="1">{#N/A,#N/A,FALSE,"CTC Summary - EOY";#N/A,#N/A,FALSE,"CTC Summary - Wtavg"}</definedName>
    <definedName name="xa">{"'Metretek HTML'!$A$7:$W$42"}</definedName>
    <definedName name="xb"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2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2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2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2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el">'[82]Data Entry and Forecaster'!#REF!</definedName>
    <definedName name="Xcel_COS">#REF!</definedName>
    <definedName name="xd"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2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2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9"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localSheetId="1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2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2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9"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1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2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2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9"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1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2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2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9"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1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2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2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9"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1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2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2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9"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19" hidden="1">{#N/A,#N/A,FALSE,"Res - Unadj";#N/A,#N/A,FALSE,"Small L&amp;P";#N/A,#N/A,FALSE,"Medium L&amp;P";#N/A,#N/A,FALSE,"E-19";#N/A,#N/A,FALSE,"E-20";#N/A,#N/A,FALSE,"A-RTP";#N/A,#N/A,FALSE,"Strtlts &amp; Standby";#N/A,#N/A,FALSE,"AG";#N/A,#N/A,FALSE,"2001mixeduse"}</definedName>
    <definedName name="xk" localSheetId="21" hidden="1">{#N/A,#N/A,FALSE,"Res - Unadj";#N/A,#N/A,FALSE,"Small L&amp;P";#N/A,#N/A,FALSE,"Medium L&amp;P";#N/A,#N/A,FALSE,"E-19";#N/A,#N/A,FALSE,"E-20";#N/A,#N/A,FALSE,"A-RTP";#N/A,#N/A,FALSE,"Strtlts &amp; Standby";#N/A,#N/A,FALSE,"AG";#N/A,#N/A,FALSE,"2001mixeduse"}</definedName>
    <definedName name="xk" localSheetId="22" hidden="1">{#N/A,#N/A,FALSE,"Res - Unadj";#N/A,#N/A,FALSE,"Small L&amp;P";#N/A,#N/A,FALSE,"Medium L&amp;P";#N/A,#N/A,FALSE,"E-19";#N/A,#N/A,FALSE,"E-20";#N/A,#N/A,FALSE,"A-RTP";#N/A,#N/A,FALSE,"Strtlts &amp; Standby";#N/A,#N/A,FALSE,"AG";#N/A,#N/A,FALSE,"2001mixeduse"}</definedName>
    <definedName name="xk" localSheetId="9" hidden="1">{#N/A,#N/A,FALSE,"Res - Unadj";#N/A,#N/A,FALSE,"Small L&amp;P";#N/A,#N/A,FALSE,"Medium L&amp;P";#N/A,#N/A,FALSE,"E-19";#N/A,#N/A,FALSE,"E-20";#N/A,#N/A,FALSE,"A-RTP";#N/A,#N/A,FALSE,"Strtlts &amp; Standby";#N/A,#N/A,FALSE,"AG";#N/A,#N/A,FALSE,"2001mixeduse"}</definedName>
    <definedName name="xk" hidden="1">{#N/A,#N/A,FALSE,"Res - Unadj";#N/A,#N/A,FALSE,"Small L&amp;P";#N/A,#N/A,FALSE,"Medium L&amp;P";#N/A,#N/A,FALSE,"E-19";#N/A,#N/A,FALSE,"E-20";#N/A,#N/A,FALSE,"A-RTP";#N/A,#N/A,FALSE,"Strtlts &amp; Standby";#N/A,#N/A,FALSE,"AG";#N/A,#N/A,FALSE,"2001mixeduse"}</definedName>
    <definedName name="xl" localSheetId="19" hidden="1">{"Summary","1",FALSE,"Summary"}</definedName>
    <definedName name="xl" localSheetId="21" hidden="1">{"Summary","1",FALSE,"Summary"}</definedName>
    <definedName name="xl" localSheetId="22" hidden="1">{"Summary","1",FALSE,"Summary"}</definedName>
    <definedName name="xl" localSheetId="9" hidden="1">{"Summary","1",FALSE,"Summary"}</definedName>
    <definedName name="xl" hidden="1">{"Summary","1",FALSE,"Summary"}</definedName>
    <definedName name="xls">{"'Metretek HTML'!$A$7:$W$42"}</definedName>
    <definedName name="xm"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2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2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O">{"'Metretek HTML'!$A$7:$W$42"}</definedName>
    <definedName name="xs">{"'Metretek HTML'!$A$7:$W$42"}</definedName>
    <definedName name="xx" hidden="1">{#N/A,#N/A,FALSE,"EMPPAY"}</definedName>
    <definedName name="xxx" localSheetId="1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9"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[83]INPUTS!$C$17</definedName>
    <definedName name="yeartodate">[84]RPT80MAR!$A$84:$D$158</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ero">0</definedName>
    <definedName name="Zone_Inputs">'[55]Attachment O'!$I$19,'[55]Attachment O'!$I$24,'[55]Attachment O'!$D$36:$D$37,'[55]Attachment O'!$D$82:$D$86,'[55]Attachment O'!$D$90:$D$94,'[55]Attachment O'!$D$106:$D$112,'[55]Attachment O'!$D$116,'[55]Attachment O'!$D$120:$D$121,'[55]Attachment O'!$D$139:$D$146,'[55]Attachment O'!$D$150:$D$154,'[55]Attachment O'!$D$159:$D$160,'[55]Attachment O'!$D$162:$D$165,'[55]Attachment O'!$D$174,'[55]Attachment O'!$D$174,'[55]Attachment O'!$D$178,'[55]Attachment O'!$I$188,'[55]Attachment O'!$D$188,'[55]Attachment O'!$D$192,'[55]Attachment O'!$I$192,'[55]Attachment O'!$I$207:$I$208,'[55]Attachment O'!$D$214:$D$217,'[55]Attachment O'!$D$221:$D$223,'[55]Attachment O'!$I$227,'[55]Attachment O'!$I$229,'[55]Attachment O'!$I$232,'[55]Attachment O'!$D$238:$D$239,'[55]Attachment O'!$I$243,'[55]Attachment O'!$I$246:$I$249,'[55]Attachment O'!$D$280:$D$282</definedName>
    <definedName name="zzzzzzzzzzzzzzzzzzzzzzzzzzzzz" localSheetId="19" hidden="1">{"PI_Data",#N/A,TRUE,"P&amp;I Data"}</definedName>
    <definedName name="zzzzzzzzzzzzzzzzzzzzzzzzzzzzz" localSheetId="21" hidden="1">{"PI_Data",#N/A,TRUE,"P&amp;I Data"}</definedName>
    <definedName name="zzzzzzzzzzzzzzzzzzzzzzzzzzzzz" localSheetId="22" hidden="1">{"PI_Data",#N/A,TRUE,"P&amp;I Data"}</definedName>
    <definedName name="zzzzzzzzzzzzzzzzzzzzzzzzzzzzz" localSheetId="9" hidden="1">{"PI_Data",#N/A,TRUE,"P&amp;I Data"}</definedName>
    <definedName name="zzzzzzzzzzzzzzzzzzzzzzzzzzzzz" hidden="1">{"PI_Data",#N/A,TRUE,"P&amp;I Data"}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6" i="90" l="1"/>
  <c r="C47" i="90"/>
  <c r="E34" i="80"/>
  <c r="F55" i="86"/>
  <c r="F53" i="86"/>
  <c r="F39" i="86"/>
  <c r="F38" i="86"/>
  <c r="F37" i="86"/>
  <c r="F22" i="86"/>
  <c r="F23" i="86"/>
  <c r="F24" i="86"/>
  <c r="F25" i="86"/>
  <c r="F26" i="86"/>
  <c r="F21" i="86"/>
  <c r="F15" i="86"/>
  <c r="D78" i="104"/>
  <c r="D81" i="104"/>
  <c r="L31" i="84"/>
  <c r="L30" i="84"/>
  <c r="L29" i="84"/>
  <c r="L28" i="84"/>
  <c r="L27" i="84"/>
  <c r="L26" i="84"/>
  <c r="L25" i="84"/>
  <c r="L24" i="84"/>
  <c r="L23" i="84"/>
  <c r="L22" i="84"/>
  <c r="L20" i="84"/>
  <c r="L19" i="84"/>
  <c r="L16" i="84"/>
  <c r="L15" i="84"/>
  <c r="M15" i="84" s="1"/>
  <c r="L14" i="84"/>
  <c r="L12" i="84"/>
  <c r="K31" i="84"/>
  <c r="J31" i="84"/>
  <c r="K30" i="84"/>
  <c r="J30" i="84"/>
  <c r="K29" i="84"/>
  <c r="J29" i="84"/>
  <c r="K28" i="84"/>
  <c r="J28" i="84"/>
  <c r="K27" i="84"/>
  <c r="J27" i="84"/>
  <c r="K26" i="84"/>
  <c r="J26" i="84"/>
  <c r="K25" i="84"/>
  <c r="J25" i="84"/>
  <c r="K24" i="84"/>
  <c r="J24" i="84"/>
  <c r="K23" i="84"/>
  <c r="J23" i="84"/>
  <c r="K22" i="84"/>
  <c r="J22" i="84"/>
  <c r="K21" i="84"/>
  <c r="J21" i="84"/>
  <c r="K20" i="84"/>
  <c r="J20" i="84"/>
  <c r="K19" i="84"/>
  <c r="J19" i="84"/>
  <c r="K18" i="84"/>
  <c r="J18" i="84"/>
  <c r="K17" i="84"/>
  <c r="J17" i="84"/>
  <c r="K16" i="84"/>
  <c r="J16" i="84"/>
  <c r="K15" i="84"/>
  <c r="J15" i="84"/>
  <c r="K14" i="84"/>
  <c r="J14" i="84"/>
  <c r="K13" i="84"/>
  <c r="J13" i="84"/>
  <c r="K12" i="84"/>
  <c r="J12" i="84"/>
  <c r="I31" i="84"/>
  <c r="I30" i="84"/>
  <c r="I29" i="84"/>
  <c r="I28" i="84"/>
  <c r="I27" i="84"/>
  <c r="I26" i="84"/>
  <c r="I25" i="84"/>
  <c r="I24" i="84"/>
  <c r="I23" i="84"/>
  <c r="I22" i="84"/>
  <c r="I21" i="84"/>
  <c r="I20" i="84"/>
  <c r="I19" i="84"/>
  <c r="I18" i="84"/>
  <c r="I17" i="84"/>
  <c r="I16" i="84"/>
  <c r="I15" i="84"/>
  <c r="I14" i="84"/>
  <c r="I13" i="84"/>
  <c r="I12" i="84"/>
  <c r="F13" i="84"/>
  <c r="F14" i="84"/>
  <c r="F15" i="84"/>
  <c r="F16" i="84"/>
  <c r="F17" i="84"/>
  <c r="F18" i="84"/>
  <c r="F19" i="84"/>
  <c r="F20" i="84"/>
  <c r="F21" i="84"/>
  <c r="F22" i="84"/>
  <c r="F23" i="84"/>
  <c r="F24" i="84"/>
  <c r="F25" i="84"/>
  <c r="F26" i="84"/>
  <c r="F27" i="84"/>
  <c r="F28" i="84"/>
  <c r="F29" i="84"/>
  <c r="F30" i="84"/>
  <c r="F31" i="84"/>
  <c r="F12" i="84"/>
  <c r="L18" i="84"/>
  <c r="L17" i="84"/>
  <c r="L13" i="84"/>
  <c r="D61" i="141"/>
  <c r="D60" i="141"/>
  <c r="D59" i="141"/>
  <c r="D58" i="141"/>
  <c r="D57" i="141"/>
  <c r="D56" i="141"/>
  <c r="D55" i="141"/>
  <c r="D54" i="141"/>
  <c r="D53" i="141"/>
  <c r="D52" i="141"/>
  <c r="D51" i="141"/>
  <c r="D62" i="141"/>
  <c r="D50" i="141"/>
  <c r="E36" i="141"/>
  <c r="D36" i="141"/>
  <c r="F26" i="135"/>
  <c r="F36" i="47"/>
  <c r="E36" i="47"/>
  <c r="A115" i="140"/>
  <c r="A107" i="140"/>
  <c r="A25" i="140"/>
  <c r="A33" i="140"/>
  <c r="A93" i="140"/>
  <c r="A13" i="140"/>
  <c r="A13" i="139"/>
  <c r="D38" i="141"/>
  <c r="H25" i="139"/>
  <c r="C12" i="105"/>
  <c r="D12" i="105"/>
  <c r="E12" i="105"/>
  <c r="F12" i="105"/>
  <c r="G12" i="105"/>
  <c r="H12" i="105"/>
  <c r="I12" i="105"/>
  <c r="J12" i="105"/>
  <c r="K12" i="105"/>
  <c r="L12" i="105"/>
  <c r="E81" i="104"/>
  <c r="C81" i="104"/>
  <c r="D29" i="104"/>
  <c r="E29" i="104"/>
  <c r="F29" i="104"/>
  <c r="G29" i="104"/>
  <c r="H29" i="104"/>
  <c r="I29" i="104"/>
  <c r="J29" i="104"/>
  <c r="C29" i="104"/>
  <c r="D98" i="104"/>
  <c r="E98" i="104"/>
  <c r="C98" i="104"/>
  <c r="J60" i="104"/>
  <c r="D47" i="104"/>
  <c r="E47" i="104"/>
  <c r="F47" i="104"/>
  <c r="G47" i="104"/>
  <c r="H47" i="104"/>
  <c r="I47" i="104"/>
  <c r="J47" i="104"/>
  <c r="C47" i="104"/>
  <c r="G87" i="137"/>
  <c r="G87" i="136"/>
  <c r="E56" i="79"/>
  <c r="G56" i="79"/>
  <c r="H56" i="79"/>
  <c r="I56" i="79"/>
  <c r="D56" i="79"/>
  <c r="F24" i="70"/>
  <c r="F16" i="70"/>
  <c r="H93" i="140"/>
  <c r="H94" i="139"/>
  <c r="E34" i="83"/>
  <c r="D34" i="83"/>
  <c r="C34" i="83"/>
  <c r="L20" i="108"/>
  <c r="L4" i="47"/>
  <c r="M37" i="85"/>
  <c r="L24" i="108"/>
  <c r="G97" i="141"/>
  <c r="G96" i="141"/>
  <c r="D72" i="141"/>
  <c r="E72" i="141"/>
  <c r="A75" i="141"/>
  <c r="A76" i="141"/>
  <c r="A77" i="141"/>
  <c r="G74" i="141"/>
  <c r="G72" i="141"/>
  <c r="G75" i="141"/>
  <c r="A78" i="141"/>
  <c r="G77" i="141"/>
  <c r="G76" i="141"/>
  <c r="A79" i="141"/>
  <c r="G78" i="141"/>
  <c r="A50" i="141"/>
  <c r="A51" i="141"/>
  <c r="A52" i="141"/>
  <c r="A53" i="141"/>
  <c r="A54" i="141"/>
  <c r="A55" i="141"/>
  <c r="A56" i="141"/>
  <c r="A57" i="141"/>
  <c r="A58" i="141"/>
  <c r="A59" i="141"/>
  <c r="A60" i="141"/>
  <c r="A61" i="141"/>
  <c r="A62" i="141"/>
  <c r="A22" i="141"/>
  <c r="A23" i="141"/>
  <c r="A24" i="141"/>
  <c r="A25" i="141"/>
  <c r="A26" i="141"/>
  <c r="A27" i="141"/>
  <c r="A28" i="141"/>
  <c r="A29" i="141"/>
  <c r="A30" i="141"/>
  <c r="A31" i="141"/>
  <c r="A32" i="141"/>
  <c r="A33" i="141"/>
  <c r="D64" i="141"/>
  <c r="D65" i="141"/>
  <c r="E63" i="141"/>
  <c r="E65" i="141"/>
  <c r="E47" i="141"/>
  <c r="G49" i="141"/>
  <c r="E35" i="141"/>
  <c r="E37" i="141"/>
  <c r="G21" i="141"/>
  <c r="A13" i="141"/>
  <c r="G13" i="141"/>
  <c r="G12" i="141"/>
  <c r="G11" i="141"/>
  <c r="G79" i="141"/>
  <c r="A80" i="141"/>
  <c r="D47" i="141"/>
  <c r="G62" i="141"/>
  <c r="A63" i="141"/>
  <c r="A34" i="141"/>
  <c r="G33" i="141"/>
  <c r="G60" i="141"/>
  <c r="G31" i="141"/>
  <c r="G61" i="141"/>
  <c r="G47" i="141"/>
  <c r="G32" i="141"/>
  <c r="A81" i="141"/>
  <c r="G80" i="141"/>
  <c r="A64" i="141"/>
  <c r="F65" i="141"/>
  <c r="G63" i="141"/>
  <c r="G34" i="141"/>
  <c r="A35" i="141"/>
  <c r="G30" i="141"/>
  <c r="G59" i="141"/>
  <c r="A82" i="141"/>
  <c r="G81" i="141"/>
  <c r="A65" i="141"/>
  <c r="G64" i="141"/>
  <c r="A36" i="141"/>
  <c r="F38" i="141"/>
  <c r="G35" i="141"/>
  <c r="G19" i="141"/>
  <c r="G58" i="141"/>
  <c r="G29" i="141"/>
  <c r="F37" i="141"/>
  <c r="A37" i="141"/>
  <c r="A38" i="141"/>
  <c r="A39" i="141"/>
  <c r="A40" i="141"/>
  <c r="A83" i="141"/>
  <c r="G82" i="141"/>
  <c r="G65" i="141"/>
  <c r="F47" i="141"/>
  <c r="G36" i="141"/>
  <c r="G57" i="141"/>
  <c r="G28" i="141"/>
  <c r="A84" i="141"/>
  <c r="G83" i="141"/>
  <c r="F40" i="141"/>
  <c r="G37" i="141"/>
  <c r="G56" i="141"/>
  <c r="G27" i="141"/>
  <c r="A85" i="141"/>
  <c r="G84" i="141"/>
  <c r="G39" i="141"/>
  <c r="G26" i="141"/>
  <c r="G55" i="141"/>
  <c r="A86" i="141"/>
  <c r="G85" i="141"/>
  <c r="F19" i="141"/>
  <c r="G40" i="141"/>
  <c r="G54" i="141"/>
  <c r="G25" i="141"/>
  <c r="A87" i="141"/>
  <c r="G86" i="141"/>
  <c r="G24" i="141"/>
  <c r="G53" i="141"/>
  <c r="A88" i="141"/>
  <c r="A89" i="141"/>
  <c r="G87" i="141"/>
  <c r="G52" i="141"/>
  <c r="G23" i="141"/>
  <c r="G22" i="141"/>
  <c r="A90" i="141"/>
  <c r="G89" i="141"/>
  <c r="G88" i="141"/>
  <c r="G50" i="141"/>
  <c r="G51" i="141"/>
  <c r="A92" i="141"/>
  <c r="G90" i="141"/>
  <c r="C52" i="90"/>
  <c r="F37" i="85"/>
  <c r="F50" i="90"/>
  <c r="F48" i="90"/>
  <c r="F47" i="90"/>
  <c r="F46" i="90"/>
  <c r="A51" i="90"/>
  <c r="F51" i="90"/>
  <c r="A50" i="90"/>
  <c r="A52" i="90"/>
  <c r="F52" i="90"/>
  <c r="G92" i="141"/>
  <c r="F72" i="141"/>
  <c r="A47" i="90"/>
  <c r="A48" i="90"/>
  <c r="A46" i="90"/>
  <c r="AN120" i="140"/>
  <c r="BB120" i="140"/>
  <c r="AL120" i="140"/>
  <c r="AZ120" i="140"/>
  <c r="AJ120" i="140"/>
  <c r="AX120" i="140"/>
  <c r="X120" i="140"/>
  <c r="AN119" i="140"/>
  <c r="BB119" i="140"/>
  <c r="AL119" i="140"/>
  <c r="AZ119" i="140"/>
  <c r="R119" i="140"/>
  <c r="AN118" i="140"/>
  <c r="BB118" i="140"/>
  <c r="AL118" i="140"/>
  <c r="AZ118" i="140"/>
  <c r="X118" i="140"/>
  <c r="R118" i="140"/>
  <c r="AJ118" i="140"/>
  <c r="AX118" i="140"/>
  <c r="AN117" i="140"/>
  <c r="BB117" i="140"/>
  <c r="AJ117" i="140"/>
  <c r="T117" i="140"/>
  <c r="X117" i="140"/>
  <c r="AN116" i="140"/>
  <c r="BB116" i="140"/>
  <c r="AJ116" i="140"/>
  <c r="AX116" i="140"/>
  <c r="T116" i="140"/>
  <c r="AL116" i="140"/>
  <c r="A116" i="140"/>
  <c r="A117" i="140"/>
  <c r="BI115" i="140"/>
  <c r="AV115" i="140"/>
  <c r="AV19" i="140"/>
  <c r="AT115" i="140"/>
  <c r="AR115" i="140"/>
  <c r="AF115" i="140"/>
  <c r="AF19" i="140"/>
  <c r="AD115" i="140"/>
  <c r="AD19" i="140"/>
  <c r="AB115" i="140"/>
  <c r="V115" i="140"/>
  <c r="R115" i="140"/>
  <c r="R19" i="140"/>
  <c r="N115" i="140"/>
  <c r="L115" i="140"/>
  <c r="J115" i="140"/>
  <c r="H115" i="140"/>
  <c r="H19" i="140"/>
  <c r="AN113" i="140"/>
  <c r="BB113" i="140"/>
  <c r="AL113" i="140"/>
  <c r="AZ113" i="140"/>
  <c r="AJ113" i="140"/>
  <c r="AX113" i="140"/>
  <c r="AN112" i="140"/>
  <c r="BB112" i="140"/>
  <c r="AL112" i="140"/>
  <c r="AJ112" i="140"/>
  <c r="AX112" i="140"/>
  <c r="X112" i="140"/>
  <c r="AN111" i="140"/>
  <c r="BB111" i="140"/>
  <c r="AL111" i="140"/>
  <c r="AJ111" i="140"/>
  <c r="AX111" i="140"/>
  <c r="X111" i="140"/>
  <c r="AN110" i="140"/>
  <c r="BB110" i="140"/>
  <c r="AL110" i="140"/>
  <c r="AJ110" i="140"/>
  <c r="AX110" i="140"/>
  <c r="X110" i="140"/>
  <c r="AN109" i="140"/>
  <c r="BB109" i="140"/>
  <c r="AL109" i="140"/>
  <c r="AJ109" i="140"/>
  <c r="AX109" i="140"/>
  <c r="X109" i="140"/>
  <c r="AN108" i="140"/>
  <c r="BB108" i="140"/>
  <c r="BB107" i="140"/>
  <c r="AL108" i="140"/>
  <c r="X108" i="140"/>
  <c r="R108" i="140"/>
  <c r="AJ108" i="140"/>
  <c r="A108" i="140"/>
  <c r="BI107" i="140"/>
  <c r="AV107" i="140"/>
  <c r="AT107" i="140"/>
  <c r="AR107" i="140"/>
  <c r="AN107" i="140"/>
  <c r="AN15" i="140"/>
  <c r="AF107" i="140"/>
  <c r="AD107" i="140"/>
  <c r="AB107" i="140"/>
  <c r="V107" i="140"/>
  <c r="V15" i="140"/>
  <c r="T107" i="140"/>
  <c r="R107" i="140"/>
  <c r="N107" i="140"/>
  <c r="L107" i="140"/>
  <c r="L15" i="140"/>
  <c r="J107" i="140"/>
  <c r="H107" i="140"/>
  <c r="AL104" i="140"/>
  <c r="AZ104" i="140"/>
  <c r="AJ104" i="140"/>
  <c r="AX104" i="140"/>
  <c r="V104" i="140"/>
  <c r="X104" i="140"/>
  <c r="AL103" i="140"/>
  <c r="AZ103" i="140"/>
  <c r="AJ103" i="140"/>
  <c r="AX103" i="140"/>
  <c r="X103" i="140"/>
  <c r="V103" i="140"/>
  <c r="AN103" i="140"/>
  <c r="BB103" i="140"/>
  <c r="AL102" i="140"/>
  <c r="AZ102" i="140"/>
  <c r="AJ102" i="140"/>
  <c r="V102" i="140"/>
  <c r="X102" i="140"/>
  <c r="AL101" i="140"/>
  <c r="AJ101" i="140"/>
  <c r="AX101" i="140"/>
  <c r="V101" i="140"/>
  <c r="AN101" i="140"/>
  <c r="BB101" i="140"/>
  <c r="AL100" i="140"/>
  <c r="AZ100" i="140"/>
  <c r="AJ100" i="140"/>
  <c r="AX100" i="140"/>
  <c r="V100" i="140"/>
  <c r="AL99" i="140"/>
  <c r="AZ99" i="140"/>
  <c r="AJ99" i="140"/>
  <c r="AX99" i="140"/>
  <c r="V99" i="140"/>
  <c r="AN99" i="140"/>
  <c r="BB99" i="140"/>
  <c r="AL98" i="140"/>
  <c r="AZ98" i="140"/>
  <c r="AJ98" i="140"/>
  <c r="AX98" i="140"/>
  <c r="V98" i="140"/>
  <c r="X98" i="140"/>
  <c r="AL97" i="140"/>
  <c r="AZ97" i="140"/>
  <c r="AJ97" i="140"/>
  <c r="AX97" i="140"/>
  <c r="V97" i="140"/>
  <c r="AN97" i="140"/>
  <c r="BB97" i="140"/>
  <c r="BI96" i="140"/>
  <c r="AL96" i="140"/>
  <c r="AZ96" i="140"/>
  <c r="AJ96" i="140"/>
  <c r="AX96" i="140"/>
  <c r="V96" i="140"/>
  <c r="AL95" i="140"/>
  <c r="AZ95" i="140"/>
  <c r="AJ95" i="140"/>
  <c r="AX95" i="140"/>
  <c r="V95" i="140"/>
  <c r="X95" i="140"/>
  <c r="AL94" i="140"/>
  <c r="AZ94" i="140"/>
  <c r="AJ94" i="140"/>
  <c r="AX94" i="140"/>
  <c r="V94" i="140"/>
  <c r="AN94" i="140"/>
  <c r="A94" i="140"/>
  <c r="A95" i="140"/>
  <c r="BI93" i="140"/>
  <c r="AV93" i="140"/>
  <c r="AT93" i="140"/>
  <c r="AR93" i="140"/>
  <c r="AR14" i="140"/>
  <c r="AF93" i="140"/>
  <c r="AD93" i="140"/>
  <c r="AB93" i="140"/>
  <c r="T93" i="140"/>
  <c r="R93" i="140"/>
  <c r="N93" i="140"/>
  <c r="L93" i="140"/>
  <c r="L14" i="140"/>
  <c r="J93" i="140"/>
  <c r="AN90" i="140"/>
  <c r="BB90" i="140"/>
  <c r="AJ90" i="140"/>
  <c r="AX90" i="140"/>
  <c r="T90" i="140"/>
  <c r="X90" i="140"/>
  <c r="AN89" i="140"/>
  <c r="BB89" i="140"/>
  <c r="AJ89" i="140"/>
  <c r="AX89" i="140"/>
  <c r="T89" i="140"/>
  <c r="X89" i="140"/>
  <c r="AN88" i="140"/>
  <c r="BB88" i="140"/>
  <c r="AJ88" i="140"/>
  <c r="AX88" i="140"/>
  <c r="T88" i="140"/>
  <c r="AN87" i="140"/>
  <c r="BB87" i="140"/>
  <c r="AJ87" i="140"/>
  <c r="AX87" i="140"/>
  <c r="T87" i="140"/>
  <c r="AL87" i="140"/>
  <c r="AN86" i="140"/>
  <c r="BB86" i="140"/>
  <c r="AJ86" i="140"/>
  <c r="AX86" i="140"/>
  <c r="T86" i="140"/>
  <c r="X86" i="140"/>
  <c r="AN85" i="140"/>
  <c r="BB85" i="140"/>
  <c r="AJ85" i="140"/>
  <c r="AX85" i="140"/>
  <c r="T85" i="140"/>
  <c r="X85" i="140"/>
  <c r="AN84" i="140"/>
  <c r="BB84" i="140"/>
  <c r="AJ84" i="140"/>
  <c r="T84" i="140"/>
  <c r="AN83" i="140"/>
  <c r="BB83" i="140"/>
  <c r="AJ83" i="140"/>
  <c r="AX83" i="140"/>
  <c r="T83" i="140"/>
  <c r="AL83" i="140"/>
  <c r="AN82" i="140"/>
  <c r="BB82" i="140"/>
  <c r="AJ82" i="140"/>
  <c r="T82" i="140"/>
  <c r="AN81" i="140"/>
  <c r="BB81" i="140"/>
  <c r="AJ81" i="140"/>
  <c r="AX81" i="140"/>
  <c r="T81" i="140"/>
  <c r="AL81" i="140"/>
  <c r="AN80" i="140"/>
  <c r="BB80" i="140"/>
  <c r="AJ80" i="140"/>
  <c r="AX80" i="140"/>
  <c r="T80" i="140"/>
  <c r="X80" i="140"/>
  <c r="AN79" i="140"/>
  <c r="BB79" i="140"/>
  <c r="AJ79" i="140"/>
  <c r="AX79" i="140"/>
  <c r="T79" i="140"/>
  <c r="AL79" i="140"/>
  <c r="AZ79" i="140"/>
  <c r="AN78" i="140"/>
  <c r="BB78" i="140"/>
  <c r="AJ78" i="140"/>
  <c r="AX78" i="140"/>
  <c r="T78" i="140"/>
  <c r="AL78" i="140"/>
  <c r="AZ78" i="140"/>
  <c r="AN77" i="140"/>
  <c r="BB77" i="140"/>
  <c r="AJ77" i="140"/>
  <c r="AX77" i="140"/>
  <c r="T77" i="140"/>
  <c r="X77" i="140"/>
  <c r="AN76" i="140"/>
  <c r="BB76" i="140"/>
  <c r="AJ76" i="140"/>
  <c r="AX76" i="140"/>
  <c r="T76" i="140"/>
  <c r="X76" i="140"/>
  <c r="AN75" i="140"/>
  <c r="BB75" i="140"/>
  <c r="AJ75" i="140"/>
  <c r="AX75" i="140"/>
  <c r="T75" i="140"/>
  <c r="AL75" i="140"/>
  <c r="AZ75" i="140"/>
  <c r="AN74" i="140"/>
  <c r="BB74" i="140"/>
  <c r="AJ74" i="140"/>
  <c r="AX74" i="140"/>
  <c r="T74" i="140"/>
  <c r="AL74" i="140"/>
  <c r="AN73" i="140"/>
  <c r="BB73" i="140"/>
  <c r="AJ73" i="140"/>
  <c r="AX73" i="140"/>
  <c r="T73" i="140"/>
  <c r="X73" i="140"/>
  <c r="AN72" i="140"/>
  <c r="BB72" i="140"/>
  <c r="AJ72" i="140"/>
  <c r="AX72" i="140"/>
  <c r="T72" i="140"/>
  <c r="AN71" i="140"/>
  <c r="BB71" i="140"/>
  <c r="AJ71" i="140"/>
  <c r="AX71" i="140"/>
  <c r="T71" i="140"/>
  <c r="AN70" i="140"/>
  <c r="BB70" i="140"/>
  <c r="AJ70" i="140"/>
  <c r="AX70" i="140"/>
  <c r="T70" i="140"/>
  <c r="AL70" i="140"/>
  <c r="AZ70" i="140"/>
  <c r="AN69" i="140"/>
  <c r="BB69" i="140"/>
  <c r="AJ69" i="140"/>
  <c r="T69" i="140"/>
  <c r="X69" i="140"/>
  <c r="BB68" i="140"/>
  <c r="AN68" i="140"/>
  <c r="AJ68" i="140"/>
  <c r="AX68" i="140"/>
  <c r="T68" i="140"/>
  <c r="BB67" i="140"/>
  <c r="AN67" i="140"/>
  <c r="AJ67" i="140"/>
  <c r="AX67" i="140"/>
  <c r="T67" i="140"/>
  <c r="AL67" i="140"/>
  <c r="AZ67" i="140"/>
  <c r="AN66" i="140"/>
  <c r="BB66" i="140"/>
  <c r="AL66" i="140"/>
  <c r="AZ66" i="140"/>
  <c r="R66" i="140"/>
  <c r="AJ66" i="140"/>
  <c r="AN65" i="140"/>
  <c r="BB65" i="140"/>
  <c r="AJ65" i="140"/>
  <c r="T65" i="140"/>
  <c r="X65" i="140"/>
  <c r="AN64" i="140"/>
  <c r="BB64" i="140"/>
  <c r="AJ64" i="140"/>
  <c r="AX64" i="140"/>
  <c r="T64" i="140"/>
  <c r="X64" i="140"/>
  <c r="AN63" i="140"/>
  <c r="BB63" i="140"/>
  <c r="AJ63" i="140"/>
  <c r="AX63" i="140"/>
  <c r="T63" i="140"/>
  <c r="AL63" i="140"/>
  <c r="AZ63" i="140"/>
  <c r="AN62" i="140"/>
  <c r="BB62" i="140"/>
  <c r="AJ62" i="140"/>
  <c r="T62" i="140"/>
  <c r="AL62" i="140"/>
  <c r="AZ62" i="140"/>
  <c r="AN61" i="140"/>
  <c r="BB61" i="140"/>
  <c r="AJ61" i="140"/>
  <c r="T61" i="140"/>
  <c r="X61" i="140"/>
  <c r="AN60" i="140"/>
  <c r="BB60" i="140"/>
  <c r="AJ60" i="140"/>
  <c r="AX60" i="140"/>
  <c r="T60" i="140"/>
  <c r="X60" i="140"/>
  <c r="AN59" i="140"/>
  <c r="BB59" i="140"/>
  <c r="BD59" i="140"/>
  <c r="AJ59" i="140"/>
  <c r="AX59" i="140"/>
  <c r="T59" i="140"/>
  <c r="AL59" i="140"/>
  <c r="AZ59" i="140"/>
  <c r="AN58" i="140"/>
  <c r="BB58" i="140"/>
  <c r="AJ58" i="140"/>
  <c r="T58" i="140"/>
  <c r="AL58" i="140"/>
  <c r="AZ58" i="140"/>
  <c r="AN57" i="140"/>
  <c r="BB57" i="140"/>
  <c r="AJ57" i="140"/>
  <c r="T57" i="140"/>
  <c r="X57" i="140"/>
  <c r="AN56" i="140"/>
  <c r="BB56" i="140"/>
  <c r="AJ56" i="140"/>
  <c r="T56" i="140"/>
  <c r="X56" i="140"/>
  <c r="AN55" i="140"/>
  <c r="BB55" i="140"/>
  <c r="AJ55" i="140"/>
  <c r="AX55" i="140"/>
  <c r="T55" i="140"/>
  <c r="X55" i="140"/>
  <c r="AN54" i="140"/>
  <c r="BB54" i="140"/>
  <c r="AJ54" i="140"/>
  <c r="AX54" i="140"/>
  <c r="T54" i="140"/>
  <c r="AL54" i="140"/>
  <c r="AZ54" i="140"/>
  <c r="AN53" i="140"/>
  <c r="BB53" i="140"/>
  <c r="AJ53" i="140"/>
  <c r="AX53" i="140"/>
  <c r="T53" i="140"/>
  <c r="AL53" i="140"/>
  <c r="AZ53" i="140"/>
  <c r="AN52" i="140"/>
  <c r="BB52" i="140"/>
  <c r="AJ52" i="140"/>
  <c r="AX52" i="140"/>
  <c r="T52" i="140"/>
  <c r="X52" i="140"/>
  <c r="AN51" i="140"/>
  <c r="BB51" i="140"/>
  <c r="AJ51" i="140"/>
  <c r="AX51" i="140"/>
  <c r="T51" i="140"/>
  <c r="X51" i="140"/>
  <c r="AN50" i="140"/>
  <c r="BB50" i="140"/>
  <c r="AJ50" i="140"/>
  <c r="AX50" i="140"/>
  <c r="T50" i="140"/>
  <c r="AL50" i="140"/>
  <c r="AZ50" i="140"/>
  <c r="AN49" i="140"/>
  <c r="BB49" i="140"/>
  <c r="AJ49" i="140"/>
  <c r="AX49" i="140"/>
  <c r="X49" i="140"/>
  <c r="T49" i="140"/>
  <c r="AL49" i="140"/>
  <c r="AN48" i="140"/>
  <c r="BB48" i="140"/>
  <c r="AL48" i="140"/>
  <c r="AZ48" i="140"/>
  <c r="AJ48" i="140"/>
  <c r="T48" i="140"/>
  <c r="X48" i="140"/>
  <c r="AN47" i="140"/>
  <c r="BB47" i="140"/>
  <c r="AJ47" i="140"/>
  <c r="AX47" i="140"/>
  <c r="T47" i="140"/>
  <c r="X47" i="140"/>
  <c r="AN46" i="140"/>
  <c r="BB46" i="140"/>
  <c r="AJ46" i="140"/>
  <c r="AX46" i="140"/>
  <c r="T46" i="140"/>
  <c r="AL46" i="140"/>
  <c r="AZ46" i="140"/>
  <c r="AN45" i="140"/>
  <c r="BB45" i="140"/>
  <c r="AJ45" i="140"/>
  <c r="T45" i="140"/>
  <c r="AL45" i="140"/>
  <c r="AZ45" i="140"/>
  <c r="AN44" i="140"/>
  <c r="BB44" i="140"/>
  <c r="AJ44" i="140"/>
  <c r="AX44" i="140"/>
  <c r="T44" i="140"/>
  <c r="X44" i="140"/>
  <c r="AN43" i="140"/>
  <c r="BB43" i="140"/>
  <c r="AJ43" i="140"/>
  <c r="AX43" i="140"/>
  <c r="T43" i="140"/>
  <c r="X43" i="140"/>
  <c r="AN42" i="140"/>
  <c r="BB42" i="140"/>
  <c r="AJ42" i="140"/>
  <c r="AX42" i="140"/>
  <c r="T42" i="140"/>
  <c r="AL42" i="140"/>
  <c r="AZ42" i="140"/>
  <c r="AN41" i="140"/>
  <c r="BB41" i="140"/>
  <c r="AL41" i="140"/>
  <c r="AZ41" i="140"/>
  <c r="R41" i="140"/>
  <c r="R33" i="140"/>
  <c r="R13" i="140"/>
  <c r="AN40" i="140"/>
  <c r="BB40" i="140"/>
  <c r="AJ40" i="140"/>
  <c r="T40" i="140"/>
  <c r="X40" i="140"/>
  <c r="AN39" i="140"/>
  <c r="BB39" i="140"/>
  <c r="AJ39" i="140"/>
  <c r="AX39" i="140"/>
  <c r="T39" i="140"/>
  <c r="X39" i="140"/>
  <c r="AN38" i="140"/>
  <c r="BB38" i="140"/>
  <c r="AJ38" i="140"/>
  <c r="AX38" i="140"/>
  <c r="T38" i="140"/>
  <c r="AL38" i="140"/>
  <c r="AZ38" i="140"/>
  <c r="AN37" i="140"/>
  <c r="BB37" i="140"/>
  <c r="AJ37" i="140"/>
  <c r="AX37" i="140"/>
  <c r="T37" i="140"/>
  <c r="X37" i="140"/>
  <c r="AN36" i="140"/>
  <c r="BB36" i="140"/>
  <c r="AJ36" i="140"/>
  <c r="T36" i="140"/>
  <c r="X36" i="140"/>
  <c r="AN35" i="140"/>
  <c r="BB35" i="140"/>
  <c r="AJ35" i="140"/>
  <c r="AX35" i="140"/>
  <c r="T35" i="140"/>
  <c r="AL35" i="140"/>
  <c r="AN34" i="140"/>
  <c r="BB34" i="140"/>
  <c r="AJ34" i="140"/>
  <c r="AX34" i="140"/>
  <c r="T34" i="140"/>
  <c r="AL34" i="140"/>
  <c r="A34" i="140"/>
  <c r="BI34" i="140"/>
  <c r="BI33" i="140"/>
  <c r="AV33" i="140"/>
  <c r="AV13" i="140"/>
  <c r="AT33" i="140"/>
  <c r="AR33" i="140"/>
  <c r="AF33" i="140"/>
  <c r="AF13" i="140"/>
  <c r="AD33" i="140"/>
  <c r="AB33" i="140"/>
  <c r="V33" i="140"/>
  <c r="T33" i="140"/>
  <c r="T13" i="140"/>
  <c r="N33" i="140"/>
  <c r="L33" i="140"/>
  <c r="J33" i="140"/>
  <c r="H33" i="140"/>
  <c r="H13" i="140"/>
  <c r="AN30" i="140"/>
  <c r="BB30" i="140"/>
  <c r="AL30" i="140"/>
  <c r="AZ30" i="140"/>
  <c r="AJ30" i="140"/>
  <c r="X30" i="140"/>
  <c r="AN29" i="140"/>
  <c r="BB29" i="140"/>
  <c r="AL29" i="140"/>
  <c r="AZ29" i="140"/>
  <c r="AJ29" i="140"/>
  <c r="X29" i="140"/>
  <c r="AN28" i="140"/>
  <c r="BB28" i="140"/>
  <c r="AL28" i="140"/>
  <c r="AZ28" i="140"/>
  <c r="R28" i="140"/>
  <c r="X28" i="140"/>
  <c r="AN27" i="140"/>
  <c r="BB27" i="140"/>
  <c r="AL27" i="140"/>
  <c r="R27" i="140"/>
  <c r="AJ27" i="140"/>
  <c r="AN26" i="140"/>
  <c r="BB26" i="140"/>
  <c r="BB25" i="140"/>
  <c r="BB12" i="140"/>
  <c r="AL26" i="140"/>
  <c r="AZ26" i="140"/>
  <c r="R26" i="140"/>
  <c r="A26" i="140"/>
  <c r="BI26" i="140"/>
  <c r="BI25" i="140"/>
  <c r="AV25" i="140"/>
  <c r="AV12" i="140"/>
  <c r="AT25" i="140"/>
  <c r="AR25" i="140"/>
  <c r="AR12" i="140"/>
  <c r="AN25" i="140"/>
  <c r="AN12" i="140"/>
  <c r="AF25" i="140"/>
  <c r="AD25" i="140"/>
  <c r="AD12" i="140"/>
  <c r="AB25" i="140"/>
  <c r="AB12" i="140"/>
  <c r="V25" i="140"/>
  <c r="V12" i="140"/>
  <c r="T25" i="140"/>
  <c r="T12" i="140"/>
  <c r="N25" i="140"/>
  <c r="N12" i="140"/>
  <c r="L25" i="140"/>
  <c r="L12" i="140"/>
  <c r="J25" i="140"/>
  <c r="J12" i="140"/>
  <c r="H25" i="140"/>
  <c r="BD21" i="140"/>
  <c r="AP21" i="140"/>
  <c r="X21" i="140"/>
  <c r="BD20" i="140"/>
  <c r="AP20" i="140"/>
  <c r="X20" i="140"/>
  <c r="AT19" i="140"/>
  <c r="AR19" i="140"/>
  <c r="AB19" i="140"/>
  <c r="V19" i="140"/>
  <c r="N19" i="140"/>
  <c r="L19" i="140"/>
  <c r="J19" i="140"/>
  <c r="BB15" i="140"/>
  <c r="AV15" i="140"/>
  <c r="AT15" i="140"/>
  <c r="AR15" i="140"/>
  <c r="AF15" i="140"/>
  <c r="AD15" i="140"/>
  <c r="AB15" i="140"/>
  <c r="T15" i="140"/>
  <c r="R15" i="140"/>
  <c r="N15" i="140"/>
  <c r="J15" i="140"/>
  <c r="H15" i="140"/>
  <c r="AV14" i="140"/>
  <c r="AT14" i="140"/>
  <c r="AF14" i="140"/>
  <c r="AD14" i="140"/>
  <c r="AB14" i="140"/>
  <c r="T14" i="140"/>
  <c r="R14" i="140"/>
  <c r="N14" i="140"/>
  <c r="J14" i="140"/>
  <c r="H14" i="140"/>
  <c r="AT13" i="140"/>
  <c r="AR13" i="140"/>
  <c r="AD13" i="140"/>
  <c r="AB13" i="140"/>
  <c r="V13" i="140"/>
  <c r="N13" i="140"/>
  <c r="L13" i="140"/>
  <c r="J13" i="140"/>
  <c r="BI12" i="140"/>
  <c r="AT12" i="140"/>
  <c r="AF12" i="140"/>
  <c r="H12" i="140"/>
  <c r="BF10" i="140"/>
  <c r="AN121" i="139"/>
  <c r="BB121" i="139"/>
  <c r="AL121" i="139"/>
  <c r="AZ121" i="139"/>
  <c r="AJ121" i="139"/>
  <c r="X121" i="139"/>
  <c r="AN120" i="139"/>
  <c r="BB120" i="139"/>
  <c r="AL120" i="139"/>
  <c r="AZ120" i="139"/>
  <c r="R120" i="139"/>
  <c r="AJ120" i="139"/>
  <c r="AN119" i="139"/>
  <c r="BB119" i="139"/>
  <c r="AL119" i="139"/>
  <c r="AZ119" i="139"/>
  <c r="R119" i="139"/>
  <c r="X119" i="139"/>
  <c r="AN118" i="139"/>
  <c r="BB118" i="139"/>
  <c r="AJ118" i="139"/>
  <c r="AX118" i="139"/>
  <c r="T118" i="139"/>
  <c r="AN117" i="139"/>
  <c r="BB117" i="139"/>
  <c r="AJ117" i="139"/>
  <c r="AX117" i="139"/>
  <c r="T117" i="139"/>
  <c r="AL117" i="139"/>
  <c r="A117" i="139"/>
  <c r="BI117" i="139"/>
  <c r="BI116" i="139"/>
  <c r="AV116" i="139"/>
  <c r="AT116" i="139"/>
  <c r="AT19" i="139" s="1"/>
  <c r="AR116" i="139"/>
  <c r="AF116" i="139"/>
  <c r="AF19" i="139"/>
  <c r="AD116" i="139"/>
  <c r="AD19" i="139"/>
  <c r="AB116" i="139"/>
  <c r="AB19" i="139"/>
  <c r="V116" i="139"/>
  <c r="N116" i="139"/>
  <c r="N19" i="139"/>
  <c r="L116" i="139"/>
  <c r="L19" i="139"/>
  <c r="J116" i="139"/>
  <c r="J19" i="139"/>
  <c r="H116" i="139"/>
  <c r="AN114" i="139"/>
  <c r="BB114" i="139"/>
  <c r="AL114" i="139"/>
  <c r="AZ114" i="139"/>
  <c r="AJ114" i="139"/>
  <c r="AX114" i="139"/>
  <c r="AN113" i="139"/>
  <c r="BB113" i="139"/>
  <c r="AL113" i="139"/>
  <c r="AZ113" i="139"/>
  <c r="AJ113" i="139"/>
  <c r="AX113" i="139"/>
  <c r="X113" i="139"/>
  <c r="AN112" i="139"/>
  <c r="BB112" i="139"/>
  <c r="AL112" i="139"/>
  <c r="AZ112" i="139"/>
  <c r="AJ112" i="139"/>
  <c r="AX112" i="139"/>
  <c r="X112" i="139"/>
  <c r="AN111" i="139"/>
  <c r="BB111" i="139"/>
  <c r="AL111" i="139"/>
  <c r="AZ111" i="139"/>
  <c r="AJ111" i="139"/>
  <c r="AX111" i="139"/>
  <c r="X111" i="139"/>
  <c r="AN110" i="139"/>
  <c r="BB110" i="139"/>
  <c r="AL110" i="139"/>
  <c r="AZ110" i="139"/>
  <c r="AJ110" i="139"/>
  <c r="AX110" i="139"/>
  <c r="X110" i="139"/>
  <c r="AN109" i="139"/>
  <c r="BB109" i="139"/>
  <c r="AL109" i="139"/>
  <c r="AZ109" i="139"/>
  <c r="AZ108" i="139"/>
  <c r="AZ15" i="139"/>
  <c r="R109" i="139"/>
  <c r="AJ109" i="139"/>
  <c r="A109" i="139"/>
  <c r="BI109" i="139"/>
  <c r="BI108" i="139"/>
  <c r="AV108" i="139"/>
  <c r="AT108" i="139"/>
  <c r="AT15" i="139"/>
  <c r="AR108" i="139"/>
  <c r="AN108" i="139"/>
  <c r="AF108" i="139"/>
  <c r="AF15" i="139"/>
  <c r="AD108" i="139"/>
  <c r="AD15" i="139"/>
  <c r="AB108" i="139"/>
  <c r="V108" i="139"/>
  <c r="T108" i="139"/>
  <c r="N108" i="139"/>
  <c r="N15" i="139"/>
  <c r="L108" i="139"/>
  <c r="J108" i="139"/>
  <c r="H108" i="139"/>
  <c r="H15" i="139"/>
  <c r="AL105" i="139"/>
  <c r="AZ105" i="139"/>
  <c r="AJ105" i="139"/>
  <c r="AX105" i="139"/>
  <c r="V105" i="139"/>
  <c r="AN105" i="139"/>
  <c r="BB105" i="139"/>
  <c r="AL104" i="139"/>
  <c r="AZ104" i="139"/>
  <c r="AJ104" i="139"/>
  <c r="AX104" i="139"/>
  <c r="V104" i="139"/>
  <c r="AN104" i="139"/>
  <c r="BB104" i="139"/>
  <c r="AL103" i="139"/>
  <c r="AZ103" i="139"/>
  <c r="AJ103" i="139"/>
  <c r="V103" i="139"/>
  <c r="X103" i="139"/>
  <c r="AL102" i="139"/>
  <c r="AZ102" i="139"/>
  <c r="AJ102" i="139"/>
  <c r="AX102" i="139"/>
  <c r="V102" i="139"/>
  <c r="AN102" i="139"/>
  <c r="AL101" i="139"/>
  <c r="AZ101" i="139"/>
  <c r="AJ101" i="139"/>
  <c r="AX101" i="139"/>
  <c r="V101" i="139"/>
  <c r="AN101" i="139"/>
  <c r="BB101" i="139"/>
  <c r="AL100" i="139"/>
  <c r="AZ100" i="139"/>
  <c r="AJ100" i="139"/>
  <c r="V100" i="139"/>
  <c r="AN100" i="139"/>
  <c r="BB100" i="139"/>
  <c r="AL99" i="139"/>
  <c r="AZ99" i="139"/>
  <c r="AJ99" i="139"/>
  <c r="V99" i="139"/>
  <c r="X99" i="139"/>
  <c r="AL98" i="139"/>
  <c r="AZ98" i="139"/>
  <c r="AJ98" i="139"/>
  <c r="AX98" i="139"/>
  <c r="V98" i="139"/>
  <c r="X98" i="139"/>
  <c r="BI97" i="139"/>
  <c r="AL97" i="139"/>
  <c r="AZ97" i="139"/>
  <c r="AJ97" i="139"/>
  <c r="AX97" i="139"/>
  <c r="V97" i="139"/>
  <c r="AN97" i="139"/>
  <c r="BB97" i="139"/>
  <c r="AL96" i="139"/>
  <c r="AZ96" i="139"/>
  <c r="AJ96" i="139"/>
  <c r="AX96" i="139"/>
  <c r="V96" i="139"/>
  <c r="AN96" i="139"/>
  <c r="BB96" i="139"/>
  <c r="AL95" i="139"/>
  <c r="AZ95" i="139"/>
  <c r="AJ95" i="139"/>
  <c r="AX95" i="139"/>
  <c r="V95" i="139"/>
  <c r="AN95" i="139"/>
  <c r="A95" i="139"/>
  <c r="A96" i="139"/>
  <c r="BI94" i="139"/>
  <c r="AV94" i="139"/>
  <c r="AV14" i="139" s="1"/>
  <c r="AV16" i="139" s="1"/>
  <c r="AV22" i="139" s="1"/>
  <c r="AT94" i="139"/>
  <c r="AR94" i="139"/>
  <c r="AR14" i="139"/>
  <c r="AF94" i="139"/>
  <c r="AF14" i="139"/>
  <c r="AD94" i="139"/>
  <c r="AD14" i="139"/>
  <c r="AB94" i="139"/>
  <c r="T94" i="139"/>
  <c r="T14" i="139"/>
  <c r="R94" i="139"/>
  <c r="N94" i="139"/>
  <c r="N14" i="139"/>
  <c r="L94" i="139"/>
  <c r="J94" i="139"/>
  <c r="J14" i="139"/>
  <c r="AN91" i="139"/>
  <c r="BB91" i="139"/>
  <c r="AJ91" i="139"/>
  <c r="AX91" i="139"/>
  <c r="T91" i="139"/>
  <c r="AL91" i="139"/>
  <c r="AZ91" i="139"/>
  <c r="AN90" i="139"/>
  <c r="BB90" i="139"/>
  <c r="AJ90" i="139"/>
  <c r="AX90" i="139"/>
  <c r="T90" i="139"/>
  <c r="AL90" i="139"/>
  <c r="AZ90" i="139"/>
  <c r="AN89" i="139"/>
  <c r="BB89" i="139"/>
  <c r="AJ89" i="139"/>
  <c r="AX89" i="139"/>
  <c r="T89" i="139"/>
  <c r="X89" i="139"/>
  <c r="AN88" i="139"/>
  <c r="BB88" i="139"/>
  <c r="AJ88" i="139"/>
  <c r="AX88" i="139"/>
  <c r="T88" i="139"/>
  <c r="X88" i="139"/>
  <c r="AN87" i="139"/>
  <c r="BB87" i="139"/>
  <c r="AJ87" i="139"/>
  <c r="AX87" i="139"/>
  <c r="T87" i="139"/>
  <c r="X87" i="139"/>
  <c r="AN86" i="139"/>
  <c r="BB86" i="139"/>
  <c r="AJ86" i="139"/>
  <c r="AX86" i="139"/>
  <c r="T86" i="139"/>
  <c r="AL86" i="139"/>
  <c r="AZ86" i="139"/>
  <c r="AN85" i="139"/>
  <c r="BB85" i="139"/>
  <c r="AJ85" i="139"/>
  <c r="AX85" i="139"/>
  <c r="T85" i="139"/>
  <c r="AL85" i="139"/>
  <c r="AZ85" i="139"/>
  <c r="AN84" i="139"/>
  <c r="BB84" i="139"/>
  <c r="AJ84" i="139"/>
  <c r="AX84" i="139"/>
  <c r="T84" i="139"/>
  <c r="X84" i="139"/>
  <c r="AN83" i="139"/>
  <c r="BB83" i="139"/>
  <c r="AJ83" i="139"/>
  <c r="AX83" i="139"/>
  <c r="T83" i="139"/>
  <c r="X83" i="139"/>
  <c r="AN82" i="139"/>
  <c r="BB82" i="139"/>
  <c r="AJ82" i="139"/>
  <c r="AX82" i="139"/>
  <c r="T82" i="139"/>
  <c r="AL82" i="139"/>
  <c r="AZ82" i="139"/>
  <c r="AN81" i="139"/>
  <c r="BB81" i="139"/>
  <c r="AJ81" i="139"/>
  <c r="AX81" i="139"/>
  <c r="T81" i="139"/>
  <c r="AL81" i="139"/>
  <c r="AZ81" i="139"/>
  <c r="AN80" i="139"/>
  <c r="BB80" i="139"/>
  <c r="AJ80" i="139"/>
  <c r="AX80" i="139"/>
  <c r="T80" i="139"/>
  <c r="X80" i="139"/>
  <c r="AN79" i="139"/>
  <c r="BB79" i="139"/>
  <c r="AJ79" i="139"/>
  <c r="AX79" i="139"/>
  <c r="T79" i="139"/>
  <c r="X79" i="139"/>
  <c r="AN78" i="139"/>
  <c r="BB78" i="139"/>
  <c r="AJ78" i="139"/>
  <c r="AX78" i="139"/>
  <c r="T78" i="139"/>
  <c r="AL78" i="139"/>
  <c r="AZ78" i="139"/>
  <c r="AN77" i="139"/>
  <c r="BB77" i="139"/>
  <c r="AJ77" i="139"/>
  <c r="AX77" i="139"/>
  <c r="T77" i="139"/>
  <c r="X77" i="139"/>
  <c r="AN76" i="139"/>
  <c r="BB76" i="139"/>
  <c r="AJ76" i="139"/>
  <c r="AX76" i="139"/>
  <c r="T76" i="139"/>
  <c r="X76" i="139"/>
  <c r="AN75" i="139"/>
  <c r="BB75" i="139"/>
  <c r="AJ75" i="139"/>
  <c r="AX75" i="139"/>
  <c r="T75" i="139"/>
  <c r="AL75" i="139"/>
  <c r="AZ75" i="139"/>
  <c r="AN74" i="139"/>
  <c r="BB74" i="139"/>
  <c r="AJ74" i="139"/>
  <c r="AX74" i="139"/>
  <c r="T74" i="139"/>
  <c r="AL74" i="139"/>
  <c r="AZ74" i="139"/>
  <c r="AN73" i="139"/>
  <c r="BB73" i="139"/>
  <c r="AJ73" i="139"/>
  <c r="AX73" i="139"/>
  <c r="T73" i="139"/>
  <c r="AL73" i="139"/>
  <c r="AN72" i="139"/>
  <c r="BB72" i="139"/>
  <c r="AJ72" i="139"/>
  <c r="AX72" i="139"/>
  <c r="T72" i="139"/>
  <c r="X72" i="139"/>
  <c r="AN71" i="139"/>
  <c r="BB71" i="139"/>
  <c r="AJ71" i="139"/>
  <c r="AX71" i="139"/>
  <c r="T71" i="139"/>
  <c r="X71" i="139"/>
  <c r="AN70" i="139"/>
  <c r="BB70" i="139"/>
  <c r="AJ70" i="139"/>
  <c r="AX70" i="139"/>
  <c r="T70" i="139"/>
  <c r="AN69" i="139"/>
  <c r="BB69" i="139"/>
  <c r="AJ69" i="139"/>
  <c r="AX69" i="139"/>
  <c r="T69" i="139"/>
  <c r="X69" i="139"/>
  <c r="AN68" i="139"/>
  <c r="BB68" i="139"/>
  <c r="AJ68" i="139"/>
  <c r="AX68" i="139"/>
  <c r="T68" i="139"/>
  <c r="AN67" i="139"/>
  <c r="BB67" i="139"/>
  <c r="AL67" i="139"/>
  <c r="AZ67" i="139"/>
  <c r="R67" i="139"/>
  <c r="AJ67" i="139"/>
  <c r="AX67" i="139"/>
  <c r="AN66" i="139"/>
  <c r="BB66" i="139"/>
  <c r="AJ66" i="139"/>
  <c r="AX66" i="139"/>
  <c r="T66" i="139"/>
  <c r="AL66" i="139"/>
  <c r="AZ66" i="139"/>
  <c r="AN65" i="139"/>
  <c r="BB65" i="139"/>
  <c r="AJ65" i="139"/>
  <c r="AX65" i="139"/>
  <c r="T65" i="139"/>
  <c r="AL65" i="139"/>
  <c r="AZ65" i="139"/>
  <c r="AN64" i="139"/>
  <c r="BB64" i="139"/>
  <c r="AJ64" i="139"/>
  <c r="AX64" i="139"/>
  <c r="T64" i="139"/>
  <c r="X64" i="139"/>
  <c r="AN63" i="139"/>
  <c r="BB63" i="139"/>
  <c r="AJ63" i="139"/>
  <c r="T63" i="139"/>
  <c r="X63" i="139"/>
  <c r="AN62" i="139"/>
  <c r="BB62" i="139"/>
  <c r="AJ62" i="139"/>
  <c r="AX62" i="139"/>
  <c r="T62" i="139"/>
  <c r="X62" i="139"/>
  <c r="AN61" i="139"/>
  <c r="BB61" i="139"/>
  <c r="AJ61" i="139"/>
  <c r="AX61" i="139"/>
  <c r="T61" i="139"/>
  <c r="AL61" i="139"/>
  <c r="AZ61" i="139"/>
  <c r="AN60" i="139"/>
  <c r="BB60" i="139"/>
  <c r="AJ60" i="139"/>
  <c r="AX60" i="139"/>
  <c r="T60" i="139"/>
  <c r="X60" i="139"/>
  <c r="AN59" i="139"/>
  <c r="BB59" i="139"/>
  <c r="AJ59" i="139"/>
  <c r="T59" i="139"/>
  <c r="X59" i="139"/>
  <c r="AN58" i="139"/>
  <c r="BB58" i="139"/>
  <c r="AJ58" i="139"/>
  <c r="AX58" i="139"/>
  <c r="T58" i="139"/>
  <c r="X58" i="139"/>
  <c r="AN57" i="139"/>
  <c r="BB57" i="139"/>
  <c r="AJ57" i="139"/>
  <c r="AX57" i="139"/>
  <c r="T57" i="139"/>
  <c r="AL57" i="139"/>
  <c r="AZ57" i="139"/>
  <c r="AN56" i="139"/>
  <c r="BB56" i="139"/>
  <c r="AJ56" i="139"/>
  <c r="AX56" i="139"/>
  <c r="T56" i="139"/>
  <c r="AL56" i="139"/>
  <c r="AZ56" i="139"/>
  <c r="AN55" i="139"/>
  <c r="BB55" i="139"/>
  <c r="AJ55" i="139"/>
  <c r="T55" i="139"/>
  <c r="X55" i="139"/>
  <c r="AN54" i="139"/>
  <c r="BB54" i="139"/>
  <c r="AJ54" i="139"/>
  <c r="AX54" i="139"/>
  <c r="T54" i="139"/>
  <c r="AL54" i="139"/>
  <c r="AP54" i="139"/>
  <c r="AN53" i="139"/>
  <c r="BB53" i="139"/>
  <c r="AJ53" i="139"/>
  <c r="AX53" i="139"/>
  <c r="T53" i="139"/>
  <c r="AL53" i="139"/>
  <c r="AZ53" i="139"/>
  <c r="AN52" i="139"/>
  <c r="BB52" i="139"/>
  <c r="AJ52" i="139"/>
  <c r="AX52" i="139"/>
  <c r="T52" i="139"/>
  <c r="AL52" i="139"/>
  <c r="AZ52" i="139"/>
  <c r="AN51" i="139"/>
  <c r="BB51" i="139"/>
  <c r="AJ51" i="139"/>
  <c r="T51" i="139"/>
  <c r="X51" i="139"/>
  <c r="AN50" i="139"/>
  <c r="BB50" i="139"/>
  <c r="AJ50" i="139"/>
  <c r="AX50" i="139"/>
  <c r="T50" i="139"/>
  <c r="AL50" i="139"/>
  <c r="AN49" i="139"/>
  <c r="BB49" i="139"/>
  <c r="AJ49" i="139"/>
  <c r="AX49" i="139"/>
  <c r="T49" i="139"/>
  <c r="AL49" i="139"/>
  <c r="AZ49" i="139"/>
  <c r="BD49" i="139" s="1"/>
  <c r="BF49" i="139" s="1"/>
  <c r="AN48" i="139"/>
  <c r="BB48" i="139"/>
  <c r="AJ48" i="139"/>
  <c r="AX48" i="139"/>
  <c r="T48" i="139"/>
  <c r="AL48" i="139"/>
  <c r="AZ48" i="139"/>
  <c r="AN47" i="139"/>
  <c r="BB47" i="139"/>
  <c r="AJ47" i="139"/>
  <c r="T47" i="139"/>
  <c r="X47" i="139"/>
  <c r="AN46" i="139"/>
  <c r="BB46" i="139"/>
  <c r="AJ46" i="139"/>
  <c r="AX46" i="139"/>
  <c r="T46" i="139"/>
  <c r="AL46" i="139"/>
  <c r="AN45" i="139"/>
  <c r="BB45" i="139"/>
  <c r="AJ45" i="139"/>
  <c r="AX45" i="139"/>
  <c r="T45" i="139"/>
  <c r="AL45" i="139"/>
  <c r="AZ45" i="139"/>
  <c r="BD45" i="139" s="1"/>
  <c r="BF45" i="139" s="1"/>
  <c r="AN44" i="139"/>
  <c r="BB44" i="139"/>
  <c r="AJ44" i="139"/>
  <c r="AX44" i="139"/>
  <c r="T44" i="139"/>
  <c r="X44" i="139"/>
  <c r="AN43" i="139"/>
  <c r="BB43" i="139"/>
  <c r="AJ43" i="139"/>
  <c r="T43" i="139"/>
  <c r="X43" i="139"/>
  <c r="AN42" i="139"/>
  <c r="BB42" i="139"/>
  <c r="AL42" i="139"/>
  <c r="AZ42" i="139"/>
  <c r="R42" i="139"/>
  <c r="AJ42" i="139"/>
  <c r="AX42" i="139"/>
  <c r="AN41" i="139"/>
  <c r="BB41" i="139"/>
  <c r="AJ41" i="139"/>
  <c r="AX41" i="139"/>
  <c r="T41" i="139"/>
  <c r="AN40" i="139"/>
  <c r="BB40" i="139"/>
  <c r="AJ40" i="139"/>
  <c r="AX40" i="139"/>
  <c r="T40" i="139"/>
  <c r="AL40" i="139"/>
  <c r="AZ40" i="139"/>
  <c r="AN39" i="139"/>
  <c r="BB39" i="139"/>
  <c r="AJ39" i="139"/>
  <c r="AX39" i="139"/>
  <c r="T39" i="139"/>
  <c r="AN38" i="139"/>
  <c r="BB38" i="139"/>
  <c r="AJ38" i="139"/>
  <c r="AX38" i="139"/>
  <c r="T38" i="139"/>
  <c r="AL38" i="139"/>
  <c r="AZ38" i="139"/>
  <c r="AN37" i="139"/>
  <c r="BB37" i="139"/>
  <c r="AJ37" i="139"/>
  <c r="AX37" i="139"/>
  <c r="T37" i="139"/>
  <c r="AL37" i="139"/>
  <c r="AZ37" i="139"/>
  <c r="AN36" i="139"/>
  <c r="BB36" i="139"/>
  <c r="AJ36" i="139"/>
  <c r="AX36" i="139"/>
  <c r="T36" i="139"/>
  <c r="AL36" i="139"/>
  <c r="AZ36" i="139"/>
  <c r="AN35" i="139"/>
  <c r="BB35" i="139"/>
  <c r="AJ35" i="139"/>
  <c r="T35" i="139"/>
  <c r="X35" i="139"/>
  <c r="A35" i="139"/>
  <c r="BI35" i="139"/>
  <c r="BI34" i="139"/>
  <c r="AV34" i="139"/>
  <c r="AV13" i="139"/>
  <c r="AT34" i="139"/>
  <c r="AT13" i="139" s="1"/>
  <c r="AT16" i="139" s="1"/>
  <c r="AR34" i="139"/>
  <c r="AR13" i="139"/>
  <c r="AF34" i="139"/>
  <c r="AD34" i="139"/>
  <c r="AD13" i="139"/>
  <c r="AB34" i="139"/>
  <c r="AB13" i="139"/>
  <c r="V34" i="139"/>
  <c r="V13" i="139"/>
  <c r="N34" i="139"/>
  <c r="N13" i="139"/>
  <c r="L34" i="139"/>
  <c r="L13" i="139"/>
  <c r="J34" i="139"/>
  <c r="J13" i="139"/>
  <c r="H34" i="139"/>
  <c r="H13" i="139"/>
  <c r="AN30" i="139"/>
  <c r="BB30" i="139"/>
  <c r="AL30" i="139"/>
  <c r="AZ30" i="139"/>
  <c r="AJ30" i="139"/>
  <c r="AX30" i="139"/>
  <c r="X30" i="139"/>
  <c r="AN29" i="139"/>
  <c r="BB29" i="139"/>
  <c r="AL29" i="139"/>
  <c r="AZ29" i="139"/>
  <c r="AJ29" i="139"/>
  <c r="AX29" i="139"/>
  <c r="X29" i="139"/>
  <c r="AN28" i="139"/>
  <c r="BB28" i="139"/>
  <c r="AL28" i="139"/>
  <c r="AZ28" i="139"/>
  <c r="R28" i="139"/>
  <c r="X28" i="139"/>
  <c r="AN27" i="139"/>
  <c r="BB27" i="139"/>
  <c r="AL27" i="139"/>
  <c r="AZ27" i="139"/>
  <c r="R27" i="139"/>
  <c r="AJ27" i="139"/>
  <c r="AX27" i="139"/>
  <c r="AN26" i="139"/>
  <c r="BB26" i="139"/>
  <c r="AL26" i="139"/>
  <c r="AZ26" i="139"/>
  <c r="R26" i="139"/>
  <c r="X26" i="139"/>
  <c r="A26" i="139"/>
  <c r="BI26" i="139"/>
  <c r="BI25" i="139"/>
  <c r="AV25" i="139"/>
  <c r="AV12" i="139"/>
  <c r="AT25" i="139"/>
  <c r="AT12" i="139"/>
  <c r="AR25" i="139"/>
  <c r="AR12" i="139"/>
  <c r="AF25" i="139"/>
  <c r="AF12" i="139"/>
  <c r="AD25" i="139"/>
  <c r="AD12" i="139"/>
  <c r="AB25" i="139"/>
  <c r="AB12" i="139"/>
  <c r="V25" i="139"/>
  <c r="V12" i="139"/>
  <c r="T25" i="139"/>
  <c r="T12" i="139"/>
  <c r="N25" i="139"/>
  <c r="N12" i="139"/>
  <c r="L25" i="139"/>
  <c r="L12" i="139"/>
  <c r="J25" i="139"/>
  <c r="J12" i="139"/>
  <c r="H12" i="139"/>
  <c r="BD21" i="139"/>
  <c r="AP21" i="139"/>
  <c r="X21" i="139"/>
  <c r="BD20" i="139"/>
  <c r="AP20" i="139"/>
  <c r="X20" i="139"/>
  <c r="AV19" i="139"/>
  <c r="AR19" i="139"/>
  <c r="V19" i="139"/>
  <c r="H19" i="139"/>
  <c r="AV15" i="139"/>
  <c r="AR15" i="139"/>
  <c r="AN15" i="139"/>
  <c r="AB15" i="139"/>
  <c r="V15" i="139"/>
  <c r="T15" i="139"/>
  <c r="L15" i="139"/>
  <c r="J15" i="139"/>
  <c r="AT14" i="139"/>
  <c r="AB14" i="139"/>
  <c r="R14" i="139"/>
  <c r="L14" i="139"/>
  <c r="H14" i="139"/>
  <c r="AF13" i="139"/>
  <c r="BI12" i="139"/>
  <c r="BF10" i="139"/>
  <c r="R116" i="139"/>
  <c r="R19" i="139"/>
  <c r="AL37" i="140"/>
  <c r="AZ37" i="140"/>
  <c r="BD63" i="140"/>
  <c r="AP109" i="140"/>
  <c r="X116" i="140"/>
  <c r="AP62" i="140"/>
  <c r="BD75" i="140"/>
  <c r="X78" i="140"/>
  <c r="X83" i="140"/>
  <c r="R25" i="140"/>
  <c r="R12" i="140"/>
  <c r="X27" i="140"/>
  <c r="AJ28" i="140"/>
  <c r="AP28" i="140"/>
  <c r="AL43" i="140"/>
  <c r="AP43" i="140"/>
  <c r="AL44" i="140"/>
  <c r="AZ44" i="140"/>
  <c r="X58" i="140"/>
  <c r="X59" i="140"/>
  <c r="AL61" i="140"/>
  <c r="AZ61" i="140"/>
  <c r="X66" i="140"/>
  <c r="V93" i="140"/>
  <c r="V14" i="140"/>
  <c r="AX66" i="140"/>
  <c r="BD66" i="140"/>
  <c r="BF66" i="140"/>
  <c r="AP66" i="140"/>
  <c r="X15" i="140"/>
  <c r="L16" i="140"/>
  <c r="L22" i="140"/>
  <c r="AT16" i="140"/>
  <c r="AT22" i="140"/>
  <c r="T16" i="140"/>
  <c r="AL25" i="140"/>
  <c r="AL12" i="140"/>
  <c r="BD37" i="140"/>
  <c r="BF37" i="140"/>
  <c r="X38" i="140"/>
  <c r="AL65" i="140"/>
  <c r="AZ65" i="140"/>
  <c r="X70" i="140"/>
  <c r="AL73" i="140"/>
  <c r="AZ73" i="140"/>
  <c r="AL85" i="140"/>
  <c r="AP85" i="140"/>
  <c r="J16" i="140"/>
  <c r="J22" i="140"/>
  <c r="BD38" i="140"/>
  <c r="BF38" i="140"/>
  <c r="AL39" i="140"/>
  <c r="AZ39" i="140"/>
  <c r="AL40" i="140"/>
  <c r="AZ40" i="140"/>
  <c r="BD70" i="140"/>
  <c r="BF70" i="140"/>
  <c r="AL89" i="140"/>
  <c r="AP89" i="140"/>
  <c r="BD73" i="140"/>
  <c r="AR16" i="140"/>
  <c r="AR22" i="140"/>
  <c r="AL52" i="140"/>
  <c r="AZ52" i="140"/>
  <c r="BD52" i="140"/>
  <c r="BF52" i="140"/>
  <c r="AL57" i="140"/>
  <c r="AZ57" i="140"/>
  <c r="AP58" i="140"/>
  <c r="X62" i="140"/>
  <c r="X63" i="140"/>
  <c r="AL76" i="140"/>
  <c r="AP76" i="140"/>
  <c r="AL77" i="140"/>
  <c r="AZ77" i="140"/>
  <c r="AL80" i="140"/>
  <c r="AZ80" i="140"/>
  <c r="BD80" i="140"/>
  <c r="BF80" i="140"/>
  <c r="AZ81" i="140"/>
  <c r="AP81" i="140"/>
  <c r="AZ87" i="140"/>
  <c r="AP87" i="140"/>
  <c r="AZ49" i="140"/>
  <c r="BD49" i="140"/>
  <c r="BF49" i="140"/>
  <c r="AP49" i="140"/>
  <c r="AZ74" i="140"/>
  <c r="BD74" i="140"/>
  <c r="BF74" i="140"/>
  <c r="AP74" i="140"/>
  <c r="AP83" i="140"/>
  <c r="AZ83" i="140"/>
  <c r="AB16" i="140"/>
  <c r="AB22" i="140"/>
  <c r="X13" i="140"/>
  <c r="BD78" i="140"/>
  <c r="BF78" i="140"/>
  <c r="A27" i="140"/>
  <c r="A28" i="140"/>
  <c r="A29" i="140"/>
  <c r="X41" i="140"/>
  <c r="X45" i="140"/>
  <c r="X53" i="140"/>
  <c r="X74" i="140"/>
  <c r="AP78" i="140"/>
  <c r="X81" i="140"/>
  <c r="BD83" i="140"/>
  <c r="BF83" i="140"/>
  <c r="X87" i="140"/>
  <c r="X97" i="140"/>
  <c r="X101" i="140"/>
  <c r="AP111" i="140"/>
  <c r="AP116" i="140"/>
  <c r="X14" i="140"/>
  <c r="N16" i="140"/>
  <c r="N22" i="140"/>
  <c r="AF16" i="140"/>
  <c r="AF22" i="140"/>
  <c r="A14" i="140"/>
  <c r="BI14" i="140"/>
  <c r="AD16" i="140"/>
  <c r="AD22" i="140"/>
  <c r="A35" i="140"/>
  <c r="AJ41" i="140"/>
  <c r="AP45" i="140"/>
  <c r="X46" i="140"/>
  <c r="BD53" i="140"/>
  <c r="BF53" i="140"/>
  <c r="X54" i="140"/>
  <c r="X79" i="140"/>
  <c r="BD81" i="140"/>
  <c r="BF81" i="140"/>
  <c r="BD87" i="140"/>
  <c r="BF87" i="140"/>
  <c r="X94" i="140"/>
  <c r="BD97" i="140"/>
  <c r="BF97" i="140"/>
  <c r="X99" i="140"/>
  <c r="AZ109" i="140"/>
  <c r="BB115" i="140"/>
  <c r="BB19" i="140"/>
  <c r="V16" i="140"/>
  <c r="V22" i="140"/>
  <c r="AV16" i="140"/>
  <c r="AV22" i="140"/>
  <c r="AP29" i="140"/>
  <c r="AP30" i="140"/>
  <c r="BD42" i="140"/>
  <c r="BF42" i="140"/>
  <c r="BD46" i="140"/>
  <c r="BF46" i="140"/>
  <c r="AP48" i="140"/>
  <c r="BD54" i="140"/>
  <c r="BF54" i="140"/>
  <c r="AL55" i="140"/>
  <c r="AZ55" i="140"/>
  <c r="BD55" i="140"/>
  <c r="BF55" i="140"/>
  <c r="AL56" i="140"/>
  <c r="AZ56" i="140"/>
  <c r="AL60" i="140"/>
  <c r="AZ60" i="140"/>
  <c r="BD60" i="140"/>
  <c r="BF60" i="140"/>
  <c r="AL64" i="140"/>
  <c r="AZ64" i="140"/>
  <c r="BD64" i="140"/>
  <c r="BF64" i="140"/>
  <c r="AL69" i="140"/>
  <c r="AZ69" i="140"/>
  <c r="AP70" i="140"/>
  <c r="AP73" i="140"/>
  <c r="BD79" i="140"/>
  <c r="BF79" i="140"/>
  <c r="AZ85" i="140"/>
  <c r="BD85" i="140"/>
  <c r="BF85" i="140"/>
  <c r="BD99" i="140"/>
  <c r="X107" i="140"/>
  <c r="AZ111" i="140"/>
  <c r="BD111" i="140"/>
  <c r="BF112" i="140"/>
  <c r="AP113" i="140"/>
  <c r="AZ116" i="140"/>
  <c r="BD118" i="140"/>
  <c r="BD120" i="140"/>
  <c r="AP46" i="139"/>
  <c r="AL69" i="139"/>
  <c r="AZ69" i="139"/>
  <c r="BD69" i="139"/>
  <c r="BF69" i="139"/>
  <c r="AL71" i="139"/>
  <c r="AZ71" i="139"/>
  <c r="BD71" i="139"/>
  <c r="BF71" i="139"/>
  <c r="AL77" i="139"/>
  <c r="AL79" i="139"/>
  <c r="AZ79" i="139"/>
  <c r="X85" i="139"/>
  <c r="AP77" i="139"/>
  <c r="AJ28" i="139"/>
  <c r="AX28" i="139"/>
  <c r="BD28" i="139" s="1"/>
  <c r="BF28" i="139" s="1"/>
  <c r="X46" i="139"/>
  <c r="X48" i="139"/>
  <c r="X54" i="139"/>
  <c r="X56" i="139"/>
  <c r="BD40" i="139"/>
  <c r="BF40" i="139" s="1"/>
  <c r="X40" i="139"/>
  <c r="X67" i="139"/>
  <c r="AL94" i="139"/>
  <c r="AL14" i="139"/>
  <c r="BD27" i="139"/>
  <c r="BF27" i="139" s="1"/>
  <c r="AP120" i="139"/>
  <c r="AN34" i="139"/>
  <c r="AN13" i="139"/>
  <c r="X90" i="139"/>
  <c r="BD105" i="139"/>
  <c r="BF105" i="139"/>
  <c r="AP50" i="139"/>
  <c r="AL62" i="139"/>
  <c r="AP62" i="139"/>
  <c r="AL64" i="139"/>
  <c r="AZ64" i="139"/>
  <c r="BD64" i="139" s="1"/>
  <c r="BF64" i="139" s="1"/>
  <c r="AP73" i="139"/>
  <c r="AL87" i="139"/>
  <c r="AP87" i="139"/>
  <c r="BD90" i="139"/>
  <c r="BF90" i="139"/>
  <c r="X96" i="139"/>
  <c r="X101" i="139"/>
  <c r="AP111" i="139"/>
  <c r="T34" i="139"/>
  <c r="T13" i="139"/>
  <c r="T16" i="139"/>
  <c r="AP56" i="139"/>
  <c r="BD110" i="139"/>
  <c r="BF111" i="139"/>
  <c r="A118" i="139"/>
  <c r="BI118" i="139"/>
  <c r="A14" i="139"/>
  <c r="A15" i="139"/>
  <c r="N16" i="139"/>
  <c r="N22" i="139"/>
  <c r="AD16" i="139"/>
  <c r="AD22" i="139"/>
  <c r="X82" i="139"/>
  <c r="BI95" i="139"/>
  <c r="AN99" i="139"/>
  <c r="BB99" i="139"/>
  <c r="BB94" i="139" s="1"/>
  <c r="BB14" i="139" s="1"/>
  <c r="X120" i="139"/>
  <c r="A110" i="139"/>
  <c r="A111" i="139"/>
  <c r="A112" i="139"/>
  <c r="H16" i="140"/>
  <c r="H22" i="140"/>
  <c r="BB34" i="139"/>
  <c r="BB13" i="139"/>
  <c r="AF16" i="139"/>
  <c r="AF22" i="139"/>
  <c r="A27" i="139"/>
  <c r="A28" i="139"/>
  <c r="A29" i="139"/>
  <c r="AJ34" i="139"/>
  <c r="AJ13" i="139"/>
  <c r="X36" i="139"/>
  <c r="X38" i="139"/>
  <c r="AP38" i="139"/>
  <c r="AL44" i="139"/>
  <c r="AZ44" i="139"/>
  <c r="BD48" i="139"/>
  <c r="BF48" i="139" s="1"/>
  <c r="X50" i="139"/>
  <c r="X52" i="139"/>
  <c r="AP52" i="139"/>
  <c r="AL58" i="139"/>
  <c r="AP58" i="139"/>
  <c r="AL60" i="139"/>
  <c r="AZ60" i="139"/>
  <c r="BD60" i="139" s="1"/>
  <c r="BF60" i="139" s="1"/>
  <c r="BD61" i="139"/>
  <c r="BF61" i="139" s="1"/>
  <c r="X66" i="139"/>
  <c r="BD67" i="139"/>
  <c r="BF67" i="139"/>
  <c r="X73" i="139"/>
  <c r="X75" i="139"/>
  <c r="AP75" i="139"/>
  <c r="X81" i="139"/>
  <c r="BD82" i="139"/>
  <c r="BF82" i="139" s="1"/>
  <c r="AL83" i="139"/>
  <c r="AZ83" i="139"/>
  <c r="BD83" i="139" s="1"/>
  <c r="BF83" i="139" s="1"/>
  <c r="AL89" i="139"/>
  <c r="AZ89" i="139"/>
  <c r="BD89" i="139"/>
  <c r="BF89" i="139" s="1"/>
  <c r="X91" i="139"/>
  <c r="X100" i="139"/>
  <c r="BD101" i="139"/>
  <c r="BF101" i="139" s="1"/>
  <c r="X105" i="139"/>
  <c r="AL108" i="139"/>
  <c r="AL15" i="139"/>
  <c r="X109" i="139"/>
  <c r="X108" i="139"/>
  <c r="AP110" i="139"/>
  <c r="BD113" i="139"/>
  <c r="BB116" i="139"/>
  <c r="BB19" i="139"/>
  <c r="AN116" i="139"/>
  <c r="AN19" i="139"/>
  <c r="AJ119" i="139"/>
  <c r="AP119" i="139"/>
  <c r="AZ94" i="139"/>
  <c r="AZ14" i="139"/>
  <c r="L16" i="139"/>
  <c r="L22" i="139"/>
  <c r="AB16" i="139"/>
  <c r="AB22" i="139"/>
  <c r="AR16" i="139"/>
  <c r="AR22" i="139" s="1"/>
  <c r="X27" i="139"/>
  <c r="X25" i="139"/>
  <c r="R34" i="139"/>
  <c r="R13" i="139"/>
  <c r="X13" i="139"/>
  <c r="A36" i="139"/>
  <c r="A37" i="139"/>
  <c r="BI37" i="139"/>
  <c r="X42" i="139"/>
  <c r="BD53" i="139"/>
  <c r="BF53" i="139"/>
  <c r="BD78" i="139"/>
  <c r="BF78" i="139"/>
  <c r="BD79" i="139"/>
  <c r="BF79" i="139"/>
  <c r="BD85" i="139"/>
  <c r="BF85" i="139" s="1"/>
  <c r="X86" i="139"/>
  <c r="BD96" i="139"/>
  <c r="BF96" i="139"/>
  <c r="X97" i="139"/>
  <c r="AP101" i="139"/>
  <c r="X102" i="139"/>
  <c r="X104" i="139"/>
  <c r="BD111" i="139"/>
  <c r="BF112" i="139"/>
  <c r="AP112" i="139"/>
  <c r="X117" i="139"/>
  <c r="AP121" i="139"/>
  <c r="J16" i="139"/>
  <c r="J22" i="139"/>
  <c r="AN25" i="139"/>
  <c r="AN12" i="139"/>
  <c r="BB25" i="139"/>
  <c r="BB12" i="139"/>
  <c r="AP40" i="139"/>
  <c r="AP48" i="139"/>
  <c r="AP86" i="139"/>
  <c r="BD97" i="139"/>
  <c r="BF97" i="139"/>
  <c r="BD112" i="139"/>
  <c r="BF113" i="139"/>
  <c r="AP113" i="139"/>
  <c r="H16" i="139"/>
  <c r="H22" i="139"/>
  <c r="AX27" i="140"/>
  <c r="AP27" i="140"/>
  <c r="AZ35" i="140"/>
  <c r="BD35" i="140"/>
  <c r="BF35" i="140"/>
  <c r="AP35" i="140"/>
  <c r="X12" i="140"/>
  <c r="BD50" i="140"/>
  <c r="BF50" i="140"/>
  <c r="AX30" i="140"/>
  <c r="BD30" i="140"/>
  <c r="BF30" i="140"/>
  <c r="AP50" i="140"/>
  <c r="BF59" i="140"/>
  <c r="BF63" i="140"/>
  <c r="AP65" i="140"/>
  <c r="AX65" i="140"/>
  <c r="AP67" i="140"/>
  <c r="AL71" i="140"/>
  <c r="X71" i="140"/>
  <c r="BF75" i="140"/>
  <c r="X26" i="140"/>
  <c r="X25" i="140"/>
  <c r="X35" i="140"/>
  <c r="AL36" i="140"/>
  <c r="AZ36" i="140"/>
  <c r="AP37" i="140"/>
  <c r="AP38" i="140"/>
  <c r="AX40" i="140"/>
  <c r="BD40" i="140"/>
  <c r="BF40" i="140"/>
  <c r="AL47" i="140"/>
  <c r="X50" i="140"/>
  <c r="AP53" i="140"/>
  <c r="AP54" i="140"/>
  <c r="AX58" i="140"/>
  <c r="BD58" i="140"/>
  <c r="BF58" i="140"/>
  <c r="AX62" i="140"/>
  <c r="BD62" i="140"/>
  <c r="BF62" i="140"/>
  <c r="X67" i="140"/>
  <c r="X72" i="140"/>
  <c r="AL72" i="140"/>
  <c r="AZ27" i="140"/>
  <c r="AZ25" i="140"/>
  <c r="AZ12" i="140"/>
  <c r="AX28" i="140"/>
  <c r="BD28" i="140"/>
  <c r="BF28" i="140"/>
  <c r="AJ26" i="140"/>
  <c r="AJ33" i="140"/>
  <c r="AJ13" i="140"/>
  <c r="AZ34" i="140"/>
  <c r="AP34" i="140"/>
  <c r="BD39" i="140"/>
  <c r="BF39" i="140"/>
  <c r="AP42" i="140"/>
  <c r="BD44" i="140"/>
  <c r="BF44" i="140"/>
  <c r="AL51" i="140"/>
  <c r="AX56" i="140"/>
  <c r="BD56" i="140"/>
  <c r="BF56" i="140"/>
  <c r="AP56" i="140"/>
  <c r="BD67" i="140"/>
  <c r="BF67" i="140"/>
  <c r="X68" i="140"/>
  <c r="AL68" i="140"/>
  <c r="AZ68" i="140"/>
  <c r="BD68" i="140"/>
  <c r="BF68" i="140"/>
  <c r="BF73" i="140"/>
  <c r="X82" i="140"/>
  <c r="AL82" i="140"/>
  <c r="AZ82" i="140"/>
  <c r="AL84" i="140"/>
  <c r="AZ84" i="140"/>
  <c r="X84" i="140"/>
  <c r="BB94" i="140"/>
  <c r="BD94" i="140"/>
  <c r="AP94" i="140"/>
  <c r="X96" i="140"/>
  <c r="AN96" i="140"/>
  <c r="BB96" i="140"/>
  <c r="AP101" i="140"/>
  <c r="AZ101" i="140"/>
  <c r="AZ93" i="140"/>
  <c r="AZ14" i="140"/>
  <c r="A109" i="140"/>
  <c r="BI108" i="140"/>
  <c r="AP110" i="140"/>
  <c r="AZ110" i="140"/>
  <c r="BD110" i="140"/>
  <c r="BF111" i="140"/>
  <c r="BF120" i="140"/>
  <c r="BF119" i="140"/>
  <c r="BF118" i="140"/>
  <c r="AX29" i="140"/>
  <c r="BD29" i="140"/>
  <c r="BF29" i="140"/>
  <c r="BB33" i="140"/>
  <c r="BB13" i="140"/>
  <c r="AX45" i="140"/>
  <c r="BD45" i="140"/>
  <c r="BF45" i="140"/>
  <c r="AX57" i="140"/>
  <c r="AX61" i="140"/>
  <c r="BD61" i="140"/>
  <c r="BF61" i="140"/>
  <c r="AN33" i="140"/>
  <c r="AN13" i="140"/>
  <c r="X34" i="140"/>
  <c r="AX36" i="140"/>
  <c r="AP39" i="140"/>
  <c r="X42" i="140"/>
  <c r="AP44" i="140"/>
  <c r="AP46" i="140"/>
  <c r="AX48" i="140"/>
  <c r="BD48" i="140"/>
  <c r="BF48" i="140"/>
  <c r="AX69" i="140"/>
  <c r="BD96" i="140"/>
  <c r="BF96" i="140"/>
  <c r="X100" i="140"/>
  <c r="AN100" i="140"/>
  <c r="BB100" i="140"/>
  <c r="BD100" i="140"/>
  <c r="BF100" i="140"/>
  <c r="AP103" i="140"/>
  <c r="AX117" i="140"/>
  <c r="AP75" i="140"/>
  <c r="BD77" i="140"/>
  <c r="BF77" i="140"/>
  <c r="AP82" i="140"/>
  <c r="AX82" i="140"/>
  <c r="AX84" i="140"/>
  <c r="BF99" i="140"/>
  <c r="AX102" i="140"/>
  <c r="BD109" i="140"/>
  <c r="AP118" i="140"/>
  <c r="AP59" i="140"/>
  <c r="AP63" i="140"/>
  <c r="X75" i="140"/>
  <c r="AP77" i="140"/>
  <c r="AP79" i="140"/>
  <c r="BI95" i="140"/>
  <c r="A97" i="140"/>
  <c r="BD103" i="140"/>
  <c r="BF103" i="140"/>
  <c r="AZ108" i="140"/>
  <c r="AL107" i="140"/>
  <c r="AL15" i="140"/>
  <c r="AP112" i="140"/>
  <c r="AZ112" i="140"/>
  <c r="BD112" i="140"/>
  <c r="AP60" i="140"/>
  <c r="AP64" i="140"/>
  <c r="AL88" i="140"/>
  <c r="AZ88" i="140"/>
  <c r="BD88" i="140"/>
  <c r="BF88" i="140"/>
  <c r="X88" i="140"/>
  <c r="AN95" i="140"/>
  <c r="BB95" i="140"/>
  <c r="BD95" i="140"/>
  <c r="BF95" i="140"/>
  <c r="AP97" i="140"/>
  <c r="AL93" i="140"/>
  <c r="AL14" i="140"/>
  <c r="AP99" i="140"/>
  <c r="AN104" i="140"/>
  <c r="BB104" i="140"/>
  <c r="BD104" i="140"/>
  <c r="BF104" i="140"/>
  <c r="AX108" i="140"/>
  <c r="AJ107" i="140"/>
  <c r="AJ15" i="140"/>
  <c r="AP108" i="140"/>
  <c r="BD116" i="140"/>
  <c r="BI116" i="140"/>
  <c r="AJ119" i="140"/>
  <c r="AJ115" i="140"/>
  <c r="AJ19" i="140"/>
  <c r="X119" i="140"/>
  <c r="X115" i="140"/>
  <c r="AP80" i="140"/>
  <c r="A118" i="140"/>
  <c r="BI117" i="140"/>
  <c r="AL86" i="140"/>
  <c r="AZ86" i="140"/>
  <c r="BD86" i="140"/>
  <c r="BF86" i="140"/>
  <c r="AL90" i="140"/>
  <c r="AZ90" i="140"/>
  <c r="BD90" i="140"/>
  <c r="BF90" i="140"/>
  <c r="AJ93" i="140"/>
  <c r="AJ14" i="140"/>
  <c r="AP100" i="140"/>
  <c r="T115" i="140"/>
  <c r="T19" i="140"/>
  <c r="X19" i="140"/>
  <c r="AN115" i="140"/>
  <c r="AN19" i="140"/>
  <c r="AL117" i="140"/>
  <c r="AP117" i="140"/>
  <c r="AP120" i="140"/>
  <c r="BI94" i="140"/>
  <c r="AN98" i="140"/>
  <c r="BB98" i="140"/>
  <c r="BD98" i="140"/>
  <c r="BF98" i="140"/>
  <c r="AN102" i="140"/>
  <c r="BB102" i="140"/>
  <c r="AZ25" i="139"/>
  <c r="AZ12" i="139"/>
  <c r="BI14" i="139"/>
  <c r="BD29" i="139"/>
  <c r="BF29" i="139"/>
  <c r="BD30" i="139"/>
  <c r="BF30" i="139"/>
  <c r="BI28" i="139"/>
  <c r="BD36" i="139"/>
  <c r="BF36" i="139" s="1"/>
  <c r="BD37" i="139"/>
  <c r="BF37" i="139"/>
  <c r="BD38" i="139"/>
  <c r="BF38" i="139"/>
  <c r="BI13" i="139"/>
  <c r="AJ26" i="139"/>
  <c r="AP27" i="139"/>
  <c r="AX35" i="139"/>
  <c r="AP36" i="139"/>
  <c r="BD56" i="139"/>
  <c r="BF56" i="139" s="1"/>
  <c r="R25" i="139"/>
  <c r="R12" i="139"/>
  <c r="AL25" i="139"/>
  <c r="AL12" i="139"/>
  <c r="AP28" i="139"/>
  <c r="AP29" i="139"/>
  <c r="AP30" i="139"/>
  <c r="AL35" i="139"/>
  <c r="X37" i="139"/>
  <c r="AP37" i="139"/>
  <c r="BD42" i="139"/>
  <c r="BF42" i="139"/>
  <c r="AP42" i="139"/>
  <c r="BD44" i="139"/>
  <c r="BF44" i="139" s="1"/>
  <c r="BD57" i="139"/>
  <c r="BF57" i="139"/>
  <c r="X39" i="139"/>
  <c r="AL39" i="139"/>
  <c r="AZ39" i="139"/>
  <c r="BD39" i="139" s="1"/>
  <c r="BF39" i="139" s="1"/>
  <c r="AL41" i="139"/>
  <c r="AZ41" i="139"/>
  <c r="BD41" i="139"/>
  <c r="BF41" i="139" s="1"/>
  <c r="X41" i="139"/>
  <c r="BF121" i="139"/>
  <c r="BF119" i="139"/>
  <c r="BF120" i="139"/>
  <c r="BD52" i="139"/>
  <c r="BF52" i="139" s="1"/>
  <c r="BD65" i="139"/>
  <c r="BF65" i="139"/>
  <c r="AX43" i="139"/>
  <c r="AZ46" i="139"/>
  <c r="BD46" i="139" s="1"/>
  <c r="BF46" i="139" s="1"/>
  <c r="AX47" i="139"/>
  <c r="AZ50" i="139"/>
  <c r="BD50" i="139" s="1"/>
  <c r="BF50" i="139" s="1"/>
  <c r="AX51" i="139"/>
  <c r="AZ54" i="139"/>
  <c r="BD54" i="139" s="1"/>
  <c r="BF54" i="139" s="1"/>
  <c r="AX55" i="139"/>
  <c r="AX59" i="139"/>
  <c r="AX63" i="139"/>
  <c r="AP102" i="139"/>
  <c r="BB102" i="139"/>
  <c r="BD102" i="139"/>
  <c r="BF102" i="139"/>
  <c r="AL43" i="139"/>
  <c r="AZ43" i="139"/>
  <c r="BD43" i="139" s="1"/>
  <c r="BF43" i="139" s="1"/>
  <c r="X45" i="139"/>
  <c r="AP45" i="139"/>
  <c r="AL47" i="139"/>
  <c r="AZ47" i="139"/>
  <c r="X49" i="139"/>
  <c r="AP49" i="139"/>
  <c r="AL51" i="139"/>
  <c r="AZ51" i="139"/>
  <c r="X53" i="139"/>
  <c r="AP53" i="139"/>
  <c r="AL55" i="139"/>
  <c r="AZ55" i="139"/>
  <c r="BD55" i="139" s="1"/>
  <c r="BF55" i="139" s="1"/>
  <c r="X57" i="139"/>
  <c r="AP57" i="139"/>
  <c r="AL59" i="139"/>
  <c r="AZ59" i="139"/>
  <c r="X61" i="139"/>
  <c r="AP61" i="139"/>
  <c r="AL63" i="139"/>
  <c r="AZ63" i="139"/>
  <c r="BD63" i="139" s="1"/>
  <c r="BF63" i="139" s="1"/>
  <c r="X65" i="139"/>
  <c r="AP65" i="139"/>
  <c r="BD66" i="139"/>
  <c r="BF66" i="139"/>
  <c r="AP67" i="139"/>
  <c r="X68" i="139"/>
  <c r="AL68" i="139"/>
  <c r="AZ68" i="139"/>
  <c r="BD68" i="139" s="1"/>
  <c r="BF68" i="139" s="1"/>
  <c r="AL70" i="139"/>
  <c r="AZ70" i="139"/>
  <c r="BD70" i="139" s="1"/>
  <c r="BF70" i="139" s="1"/>
  <c r="X70" i="139"/>
  <c r="A98" i="139"/>
  <c r="BI96" i="139"/>
  <c r="BB95" i="139"/>
  <c r="BD95" i="139"/>
  <c r="AP66" i="139"/>
  <c r="BD74" i="139"/>
  <c r="BF74" i="139"/>
  <c r="BD75" i="139"/>
  <c r="BF75" i="139"/>
  <c r="BD81" i="139"/>
  <c r="BF81" i="139" s="1"/>
  <c r="BD86" i="139"/>
  <c r="BF86" i="139" s="1"/>
  <c r="BD91" i="139"/>
  <c r="BF91" i="139"/>
  <c r="AL72" i="139"/>
  <c r="AZ72" i="139"/>
  <c r="BD72" i="139" s="1"/>
  <c r="BF72" i="139" s="1"/>
  <c r="X74" i="139"/>
  <c r="AP74" i="139"/>
  <c r="AL76" i="139"/>
  <c r="AZ76" i="139"/>
  <c r="BD76" i="139"/>
  <c r="BF76" i="139"/>
  <c r="X78" i="139"/>
  <c r="AP78" i="139"/>
  <c r="AP81" i="139"/>
  <c r="AJ94" i="139"/>
  <c r="AJ14" i="139"/>
  <c r="AP95" i="139"/>
  <c r="AP100" i="139"/>
  <c r="BI111" i="139"/>
  <c r="AZ73" i="139"/>
  <c r="BD73" i="139" s="1"/>
  <c r="BF73" i="139" s="1"/>
  <c r="AZ77" i="139"/>
  <c r="BD77" i="139" s="1"/>
  <c r="BF77" i="139" s="1"/>
  <c r="AL84" i="139"/>
  <c r="AZ84" i="139"/>
  <c r="BD84" i="139" s="1"/>
  <c r="BF84" i="139" s="1"/>
  <c r="AP91" i="139"/>
  <c r="AP96" i="139"/>
  <c r="AN98" i="139"/>
  <c r="AP104" i="139"/>
  <c r="BB108" i="139"/>
  <c r="BB15" i="139"/>
  <c r="X118" i="139"/>
  <c r="AL118" i="139"/>
  <c r="T116" i="139"/>
  <c r="T19" i="139"/>
  <c r="X19" i="139"/>
  <c r="AX120" i="139"/>
  <c r="BD120" i="139"/>
  <c r="AP82" i="139"/>
  <c r="AP85" i="139"/>
  <c r="AP90" i="139"/>
  <c r="AX100" i="139"/>
  <c r="BD100" i="139"/>
  <c r="BF100" i="139" s="1"/>
  <c r="AN103" i="139"/>
  <c r="BB103" i="139"/>
  <c r="BD103" i="139" s="1"/>
  <c r="BF103" i="139" s="1"/>
  <c r="AX109" i="139"/>
  <c r="AJ108" i="139"/>
  <c r="AJ15" i="139"/>
  <c r="AP109" i="139"/>
  <c r="AZ117" i="139"/>
  <c r="AP117" i="139"/>
  <c r="AL80" i="139"/>
  <c r="AZ80" i="139"/>
  <c r="BD80" i="139"/>
  <c r="BF80" i="139" s="1"/>
  <c r="AL88" i="139"/>
  <c r="AZ88" i="139"/>
  <c r="BD88" i="139" s="1"/>
  <c r="BF88" i="139" s="1"/>
  <c r="X95" i="139"/>
  <c r="V94" i="139"/>
  <c r="V14" i="139"/>
  <c r="V16" i="139"/>
  <c r="V22" i="139"/>
  <c r="AP97" i="139"/>
  <c r="BD104" i="139"/>
  <c r="BF104" i="139"/>
  <c r="AP105" i="139"/>
  <c r="AX121" i="139"/>
  <c r="BD121" i="139"/>
  <c r="AX99" i="139"/>
  <c r="AX103" i="139"/>
  <c r="R108" i="139"/>
  <c r="R15" i="139"/>
  <c r="X15" i="139"/>
  <c r="AP114" i="139"/>
  <c r="X116" i="139"/>
  <c r="AP69" i="139"/>
  <c r="BF110" i="139"/>
  <c r="AP71" i="139"/>
  <c r="AP89" i="139"/>
  <c r="AP79" i="139"/>
  <c r="AP44" i="139"/>
  <c r="AZ62" i="139"/>
  <c r="BD62" i="139"/>
  <c r="BF62" i="139" s="1"/>
  <c r="AP61" i="140"/>
  <c r="BI13" i="140"/>
  <c r="AP52" i="140"/>
  <c r="A15" i="140"/>
  <c r="BI15" i="140"/>
  <c r="AP95" i="140"/>
  <c r="AP104" i="140"/>
  <c r="AZ43" i="140"/>
  <c r="BD43" i="140"/>
  <c r="BF43" i="140"/>
  <c r="BD65" i="140"/>
  <c r="BF65" i="140"/>
  <c r="AP102" i="140"/>
  <c r="AP55" i="140"/>
  <c r="BD57" i="140"/>
  <c r="BF57" i="140"/>
  <c r="AP96" i="140"/>
  <c r="AP93" i="140"/>
  <c r="AP57" i="140"/>
  <c r="AZ76" i="140"/>
  <c r="BD76" i="140"/>
  <c r="BF76" i="140"/>
  <c r="X93" i="140"/>
  <c r="AP40" i="140"/>
  <c r="BI27" i="140"/>
  <c r="AZ89" i="140"/>
  <c r="BD89" i="140"/>
  <c r="BF89" i="140"/>
  <c r="AP69" i="140"/>
  <c r="BI35" i="140"/>
  <c r="A36" i="140"/>
  <c r="BD84" i="140"/>
  <c r="BF84" i="140"/>
  <c r="AP84" i="140"/>
  <c r="BD69" i="140"/>
  <c r="BF69" i="140"/>
  <c r="BI28" i="140"/>
  <c r="AP88" i="140"/>
  <c r="AP15" i="140"/>
  <c r="AP98" i="140"/>
  <c r="AP68" i="140"/>
  <c r="BD101" i="140"/>
  <c r="BF101" i="140"/>
  <c r="BD102" i="140"/>
  <c r="BF102" i="140"/>
  <c r="BD82" i="140"/>
  <c r="BF82" i="140"/>
  <c r="AX41" i="140"/>
  <c r="BD41" i="140"/>
  <c r="BF41" i="140"/>
  <c r="AP41" i="140"/>
  <c r="AZ87" i="139"/>
  <c r="BD87" i="139"/>
  <c r="BF87" i="139"/>
  <c r="BI27" i="139"/>
  <c r="AP39" i="139"/>
  <c r="A38" i="139"/>
  <c r="BI38" i="139"/>
  <c r="AZ58" i="139"/>
  <c r="BD58" i="139"/>
  <c r="BF58" i="139"/>
  <c r="BI36" i="139"/>
  <c r="AP15" i="139"/>
  <c r="BI110" i="139"/>
  <c r="AP99" i="139"/>
  <c r="AP64" i="139"/>
  <c r="X94" i="139"/>
  <c r="AP41" i="139"/>
  <c r="A119" i="139"/>
  <c r="AX119" i="139"/>
  <c r="BD119" i="139"/>
  <c r="AP68" i="139"/>
  <c r="AJ116" i="139"/>
  <c r="AJ19" i="139"/>
  <c r="AP108" i="139"/>
  <c r="X34" i="139"/>
  <c r="AP76" i="139"/>
  <c r="AN94" i="139"/>
  <c r="AN14" i="139"/>
  <c r="AP14" i="139"/>
  <c r="AP83" i="139"/>
  <c r="AP60" i="139"/>
  <c r="A110" i="140"/>
  <c r="BI109" i="140"/>
  <c r="AP47" i="140"/>
  <c r="AZ47" i="140"/>
  <c r="BD47" i="140"/>
  <c r="BF47" i="140"/>
  <c r="AP51" i="140"/>
  <c r="AZ51" i="140"/>
  <c r="BD51" i="140"/>
  <c r="BF51" i="140"/>
  <c r="T22" i="140"/>
  <c r="AZ117" i="140"/>
  <c r="AZ115" i="140"/>
  <c r="AZ19" i="140"/>
  <c r="AL115" i="140"/>
  <c r="AL19" i="140"/>
  <c r="AP19" i="140"/>
  <c r="AP90" i="140"/>
  <c r="BF116" i="140"/>
  <c r="AZ107" i="140"/>
  <c r="AZ15" i="140"/>
  <c r="AX93" i="140"/>
  <c r="AX14" i="140"/>
  <c r="X33" i="140"/>
  <c r="AN93" i="140"/>
  <c r="AN14" i="140"/>
  <c r="AN16" i="140"/>
  <c r="AN22" i="140"/>
  <c r="A30" i="140"/>
  <c r="BI30" i="140"/>
  <c r="BI29" i="140"/>
  <c r="BD34" i="140"/>
  <c r="X16" i="140"/>
  <c r="X22" i="140"/>
  <c r="AP86" i="140"/>
  <c r="A98" i="140"/>
  <c r="BI97" i="140"/>
  <c r="BD108" i="140"/>
  <c r="AX107" i="140"/>
  <c r="AX15" i="140"/>
  <c r="BD15" i="140"/>
  <c r="BF94" i="140"/>
  <c r="BD36" i="140"/>
  <c r="BF36" i="140"/>
  <c r="AL33" i="140"/>
  <c r="AL13" i="140"/>
  <c r="AL16" i="140"/>
  <c r="AL22" i="140"/>
  <c r="AP72" i="140"/>
  <c r="AZ72" i="140"/>
  <c r="BD72" i="140"/>
  <c r="BF72" i="140"/>
  <c r="AX33" i="140"/>
  <c r="AX13" i="140"/>
  <c r="A119" i="140"/>
  <c r="BI118" i="140"/>
  <c r="AX119" i="140"/>
  <c r="AP119" i="140"/>
  <c r="AP115" i="140"/>
  <c r="AP107" i="140"/>
  <c r="BF110" i="140"/>
  <c r="BF109" i="140"/>
  <c r="AP36" i="140"/>
  <c r="BB93" i="140"/>
  <c r="BB14" i="140"/>
  <c r="BB16" i="140"/>
  <c r="BB22" i="140"/>
  <c r="AX26" i="140"/>
  <c r="AJ25" i="140"/>
  <c r="AJ12" i="140"/>
  <c r="AP26" i="140"/>
  <c r="AP25" i="140"/>
  <c r="AZ71" i="140"/>
  <c r="BD71" i="140"/>
  <c r="BF71" i="140"/>
  <c r="AP71" i="140"/>
  <c r="R16" i="140"/>
  <c r="R22" i="140"/>
  <c r="BD27" i="140"/>
  <c r="BF27" i="140"/>
  <c r="AP72" i="139"/>
  <c r="AP103" i="139"/>
  <c r="AP70" i="139"/>
  <c r="AP26" i="139"/>
  <c r="AP25" i="139"/>
  <c r="AX26" i="139"/>
  <c r="BD26" i="139" s="1"/>
  <c r="AJ25" i="139"/>
  <c r="AJ12" i="139"/>
  <c r="BI29" i="139"/>
  <c r="A30" i="139"/>
  <c r="BI30" i="139"/>
  <c r="BD117" i="139"/>
  <c r="BI98" i="139"/>
  <c r="A99" i="139"/>
  <c r="BD47" i="139"/>
  <c r="BF47" i="139" s="1"/>
  <c r="AP63" i="139"/>
  <c r="AP47" i="139"/>
  <c r="X12" i="139"/>
  <c r="R16" i="139"/>
  <c r="R22" i="139"/>
  <c r="X14" i="139"/>
  <c r="AP118" i="139"/>
  <c r="AP116" i="139"/>
  <c r="AZ118" i="139"/>
  <c r="BD118" i="139" s="1"/>
  <c r="AP80" i="139"/>
  <c r="AP84" i="139"/>
  <c r="AP51" i="139"/>
  <c r="AZ35" i="139"/>
  <c r="AL34" i="139"/>
  <c r="AL13" i="139"/>
  <c r="AP13" i="139"/>
  <c r="A39" i="139"/>
  <c r="BB98" i="139"/>
  <c r="BD98" i="139" s="1"/>
  <c r="AP98" i="139"/>
  <c r="AX94" i="139"/>
  <c r="AX14" i="139"/>
  <c r="BF95" i="139"/>
  <c r="AL116" i="139"/>
  <c r="AL19" i="139"/>
  <c r="BD109" i="139"/>
  <c r="BD108" i="139" s="1"/>
  <c r="AX108" i="139"/>
  <c r="AX15" i="139" s="1"/>
  <c r="BD15" i="139" s="1"/>
  <c r="AP88" i="139"/>
  <c r="A113" i="139"/>
  <c r="BI113" i="139"/>
  <c r="BI112" i="139"/>
  <c r="BD59" i="139"/>
  <c r="BF59" i="139"/>
  <c r="BD51" i="139"/>
  <c r="BF51" i="139" s="1"/>
  <c r="AP59" i="139"/>
  <c r="AP43" i="139"/>
  <c r="AP55" i="139"/>
  <c r="AX34" i="139"/>
  <c r="AX13" i="139"/>
  <c r="AP35" i="139"/>
  <c r="A16" i="139"/>
  <c r="BI15" i="139"/>
  <c r="T22" i="139"/>
  <c r="AN16" i="139"/>
  <c r="AN22" i="139"/>
  <c r="AP33" i="140"/>
  <c r="A16" i="140"/>
  <c r="A18" i="140"/>
  <c r="BD117" i="140"/>
  <c r="BF117" i="140"/>
  <c r="BF115" i="140"/>
  <c r="BF19" i="140"/>
  <c r="AP13" i="140"/>
  <c r="A37" i="140"/>
  <c r="BI36" i="140"/>
  <c r="BF93" i="140"/>
  <c r="BF14" i="140"/>
  <c r="BD93" i="140"/>
  <c r="AX116" i="139"/>
  <c r="AX19" i="139"/>
  <c r="AP19" i="139"/>
  <c r="AP94" i="139"/>
  <c r="A120" i="139"/>
  <c r="BI119" i="139"/>
  <c r="AL16" i="139"/>
  <c r="AL22" i="139"/>
  <c r="BF108" i="140"/>
  <c r="BF107" i="140"/>
  <c r="BF15" i="140"/>
  <c r="BD107" i="140"/>
  <c r="AP12" i="140"/>
  <c r="AJ16" i="140"/>
  <c r="AJ22" i="140"/>
  <c r="BD119" i="140"/>
  <c r="BD115" i="140"/>
  <c r="AX115" i="140"/>
  <c r="AX19" i="140"/>
  <c r="BD19" i="140"/>
  <c r="AP14" i="140"/>
  <c r="A111" i="140"/>
  <c r="BI110" i="140"/>
  <c r="BD26" i="140"/>
  <c r="AX25" i="140"/>
  <c r="AX12" i="140"/>
  <c r="BD14" i="140"/>
  <c r="BF34" i="140"/>
  <c r="BF33" i="140"/>
  <c r="BF13" i="140"/>
  <c r="BD33" i="140"/>
  <c r="BI119" i="140"/>
  <c r="A120" i="140"/>
  <c r="BI120" i="140"/>
  <c r="A99" i="140"/>
  <c r="BI98" i="140"/>
  <c r="AZ33" i="140"/>
  <c r="AZ13" i="140"/>
  <c r="AZ16" i="140"/>
  <c r="AZ22" i="140"/>
  <c r="BF117" i="139"/>
  <c r="AP34" i="139"/>
  <c r="AJ16" i="139"/>
  <c r="AJ22" i="139"/>
  <c r="AP12" i="139"/>
  <c r="AP16" i="139"/>
  <c r="AZ116" i="139"/>
  <c r="AZ19" i="139"/>
  <c r="BD19" i="139" s="1"/>
  <c r="BI16" i="139"/>
  <c r="A18" i="139"/>
  <c r="BI39" i="139"/>
  <c r="A40" i="139"/>
  <c r="X16" i="139"/>
  <c r="X22" i="139"/>
  <c r="A100" i="139"/>
  <c r="BI99" i="139"/>
  <c r="BD35" i="139"/>
  <c r="AP22" i="139"/>
  <c r="C46" i="83"/>
  <c r="BI16" i="140"/>
  <c r="A38" i="140"/>
  <c r="BI37" i="140"/>
  <c r="A121" i="139"/>
  <c r="BI121" i="139"/>
  <c r="BI120" i="139"/>
  <c r="A100" i="140"/>
  <c r="BI99" i="140"/>
  <c r="BD12" i="140"/>
  <c r="BD16" i="140"/>
  <c r="BD22" i="140"/>
  <c r="AX16" i="140"/>
  <c r="AX22" i="140"/>
  <c r="A112" i="140"/>
  <c r="BI112" i="140"/>
  <c r="BI111" i="140"/>
  <c r="BD25" i="140"/>
  <c r="BF26" i="140"/>
  <c r="BF25" i="140"/>
  <c r="BF12" i="140"/>
  <c r="BD13" i="140"/>
  <c r="AP16" i="140"/>
  <c r="AP22" i="140"/>
  <c r="BI18" i="140"/>
  <c r="A19" i="140"/>
  <c r="A19" i="139"/>
  <c r="BI18" i="139"/>
  <c r="A101" i="139"/>
  <c r="BI100" i="139"/>
  <c r="A41" i="139"/>
  <c r="BI40" i="139"/>
  <c r="BI38" i="140"/>
  <c r="A39" i="140"/>
  <c r="BF16" i="140"/>
  <c r="BF22" i="140"/>
  <c r="A20" i="140"/>
  <c r="BI19" i="140"/>
  <c r="BI100" i="140"/>
  <c r="A101" i="140"/>
  <c r="A20" i="139"/>
  <c r="BI19" i="139"/>
  <c r="BI41" i="139"/>
  <c r="A42" i="139"/>
  <c r="BI101" i="139"/>
  <c r="A102" i="139"/>
  <c r="A40" i="140"/>
  <c r="BI39" i="140"/>
  <c r="A104" i="140"/>
  <c r="BI104" i="140"/>
  <c r="A102" i="140"/>
  <c r="BI101" i="140"/>
  <c r="A21" i="140"/>
  <c r="BI20" i="140"/>
  <c r="A43" i="139"/>
  <c r="BI42" i="139"/>
  <c r="A105" i="139"/>
  <c r="BI105" i="139"/>
  <c r="BI102" i="139"/>
  <c r="A103" i="139"/>
  <c r="A21" i="139"/>
  <c r="BI20" i="139"/>
  <c r="A41" i="140"/>
  <c r="BI40" i="140"/>
  <c r="A22" i="140"/>
  <c r="BI22" i="140"/>
  <c r="BI21" i="140"/>
  <c r="A103" i="140"/>
  <c r="BI103" i="140"/>
  <c r="BI102" i="140"/>
  <c r="BI21" i="139"/>
  <c r="A22" i="139"/>
  <c r="BI22" i="139"/>
  <c r="A104" i="139"/>
  <c r="BI104" i="139"/>
  <c r="BI103" i="139"/>
  <c r="A44" i="139"/>
  <c r="BI43" i="139"/>
  <c r="A42" i="140"/>
  <c r="BI41" i="140"/>
  <c r="A45" i="139"/>
  <c r="BI44" i="139"/>
  <c r="A43" i="140"/>
  <c r="BI42" i="140"/>
  <c r="BI45" i="139"/>
  <c r="A46" i="139"/>
  <c r="A44" i="140"/>
  <c r="BI43" i="140"/>
  <c r="A47" i="139"/>
  <c r="BI46" i="139"/>
  <c r="A45" i="140"/>
  <c r="BI44" i="140"/>
  <c r="A48" i="139"/>
  <c r="BI47" i="139"/>
  <c r="A46" i="140"/>
  <c r="BI45" i="140"/>
  <c r="A49" i="139"/>
  <c r="BI48" i="139"/>
  <c r="BI46" i="140"/>
  <c r="A47" i="140"/>
  <c r="BI49" i="139"/>
  <c r="A50" i="139"/>
  <c r="A48" i="140"/>
  <c r="BI47" i="140"/>
  <c r="A51" i="139"/>
  <c r="BI50" i="139"/>
  <c r="A49" i="140"/>
  <c r="BI48" i="140"/>
  <c r="A52" i="139"/>
  <c r="BI51" i="139"/>
  <c r="A50" i="140"/>
  <c r="BI49" i="140"/>
  <c r="A53" i="139"/>
  <c r="BI52" i="139"/>
  <c r="BI50" i="140"/>
  <c r="A51" i="140"/>
  <c r="BI53" i="139"/>
  <c r="A54" i="139"/>
  <c r="A52" i="140"/>
  <c r="BI51" i="140"/>
  <c r="A55" i="139"/>
  <c r="BI54" i="139"/>
  <c r="A53" i="140"/>
  <c r="BI52" i="140"/>
  <c r="A56" i="139"/>
  <c r="BI55" i="139"/>
  <c r="A54" i="140"/>
  <c r="BI53" i="140"/>
  <c r="A57" i="139"/>
  <c r="BI56" i="139"/>
  <c r="BI54" i="140"/>
  <c r="A55" i="140"/>
  <c r="BI57" i="139"/>
  <c r="A58" i="139"/>
  <c r="BI55" i="140"/>
  <c r="A56" i="140"/>
  <c r="A59" i="139"/>
  <c r="BI58" i="139"/>
  <c r="A57" i="140"/>
  <c r="BI56" i="140"/>
  <c r="A60" i="139"/>
  <c r="BI59" i="139"/>
  <c r="A58" i="140"/>
  <c r="BI57" i="140"/>
  <c r="A61" i="139"/>
  <c r="BI60" i="139"/>
  <c r="A59" i="140"/>
  <c r="BI58" i="140"/>
  <c r="BI61" i="139"/>
  <c r="A62" i="139"/>
  <c r="BI59" i="140"/>
  <c r="A60" i="140"/>
  <c r="A63" i="139"/>
  <c r="BI62" i="139"/>
  <c r="A61" i="140"/>
  <c r="BI60" i="140"/>
  <c r="A64" i="139"/>
  <c r="BI63" i="139"/>
  <c r="A62" i="140"/>
  <c r="BI61" i="140"/>
  <c r="A65" i="139"/>
  <c r="BI64" i="139"/>
  <c r="A63" i="140"/>
  <c r="BI62" i="140"/>
  <c r="BI65" i="139"/>
  <c r="A66" i="139"/>
  <c r="BI63" i="140"/>
  <c r="A64" i="140"/>
  <c r="BI66" i="139"/>
  <c r="A67" i="139"/>
  <c r="A65" i="140"/>
  <c r="BI64" i="140"/>
  <c r="A68" i="139"/>
  <c r="BI67" i="139"/>
  <c r="A66" i="140"/>
  <c r="BI65" i="140"/>
  <c r="BI68" i="139"/>
  <c r="A69" i="139"/>
  <c r="A67" i="140"/>
  <c r="BI66" i="140"/>
  <c r="A70" i="139"/>
  <c r="BI69" i="139"/>
  <c r="A68" i="140"/>
  <c r="BI67" i="140"/>
  <c r="BI70" i="139"/>
  <c r="A71" i="139"/>
  <c r="A69" i="140"/>
  <c r="BI68" i="140"/>
  <c r="BI71" i="139"/>
  <c r="A72" i="139"/>
  <c r="A70" i="140"/>
  <c r="BI69" i="140"/>
  <c r="A73" i="139"/>
  <c r="BI72" i="139"/>
  <c r="A71" i="140"/>
  <c r="BI70" i="140"/>
  <c r="A74" i="139"/>
  <c r="BI73" i="139"/>
  <c r="BI71" i="140"/>
  <c r="A72" i="140"/>
  <c r="A75" i="139"/>
  <c r="BI74" i="139"/>
  <c r="BI72" i="140"/>
  <c r="A73" i="140"/>
  <c r="BI75" i="139"/>
  <c r="A76" i="139"/>
  <c r="A74" i="140"/>
  <c r="BI73" i="140"/>
  <c r="A77" i="139"/>
  <c r="BI76" i="139"/>
  <c r="A75" i="140"/>
  <c r="BI74" i="140"/>
  <c r="A78" i="139"/>
  <c r="BI77" i="139"/>
  <c r="BI75" i="140"/>
  <c r="A76" i="140"/>
  <c r="A79" i="139"/>
  <c r="BI78" i="139"/>
  <c r="A77" i="140"/>
  <c r="BI76" i="140"/>
  <c r="BI79" i="139"/>
  <c r="A80" i="139"/>
  <c r="A78" i="140"/>
  <c r="BI77" i="140"/>
  <c r="A81" i="139"/>
  <c r="BI80" i="139"/>
  <c r="A79" i="140"/>
  <c r="BI78" i="140"/>
  <c r="A82" i="139"/>
  <c r="BI81" i="139"/>
  <c r="BI79" i="140"/>
  <c r="A80" i="140"/>
  <c r="BI82" i="139"/>
  <c r="A83" i="139"/>
  <c r="BI80" i="140"/>
  <c r="A81" i="140"/>
  <c r="A84" i="139"/>
  <c r="BI83" i="139"/>
  <c r="A82" i="140"/>
  <c r="BI81" i="140"/>
  <c r="BI84" i="139"/>
  <c r="A85" i="139"/>
  <c r="BI82" i="140"/>
  <c r="A83" i="140"/>
  <c r="A86" i="139"/>
  <c r="BI85" i="139"/>
  <c r="A84" i="140"/>
  <c r="BI83" i="140"/>
  <c r="BI86" i="139"/>
  <c r="A87" i="139"/>
  <c r="BI84" i="140"/>
  <c r="A85" i="140"/>
  <c r="BI87" i="139"/>
  <c r="A88" i="139"/>
  <c r="A86" i="140"/>
  <c r="BI85" i="140"/>
  <c r="A89" i="139"/>
  <c r="BI88" i="139"/>
  <c r="BI86" i="140"/>
  <c r="A87" i="140"/>
  <c r="A90" i="139"/>
  <c r="BI89" i="139"/>
  <c r="A88" i="140"/>
  <c r="BI87" i="140"/>
  <c r="BI90" i="139"/>
  <c r="A91" i="139"/>
  <c r="BI91" i="139"/>
  <c r="A89" i="140"/>
  <c r="BI88" i="140"/>
  <c r="J23" i="105"/>
  <c r="J22" i="105"/>
  <c r="J21" i="105"/>
  <c r="J20" i="105"/>
  <c r="J19" i="105"/>
  <c r="J18" i="105"/>
  <c r="J17" i="105"/>
  <c r="J16" i="105"/>
  <c r="J15" i="105"/>
  <c r="J14" i="105"/>
  <c r="J13" i="105"/>
  <c r="L23" i="105"/>
  <c r="L22" i="105"/>
  <c r="L21" i="105"/>
  <c r="L20" i="105"/>
  <c r="L19" i="105"/>
  <c r="L18" i="105"/>
  <c r="L17" i="105"/>
  <c r="L16" i="105"/>
  <c r="L15" i="105"/>
  <c r="L14" i="105"/>
  <c r="L13" i="105"/>
  <c r="I23" i="105"/>
  <c r="I22" i="105"/>
  <c r="I21" i="105"/>
  <c r="I20" i="105"/>
  <c r="I19" i="105"/>
  <c r="I18" i="105"/>
  <c r="I17" i="105"/>
  <c r="I16" i="105"/>
  <c r="I15" i="105"/>
  <c r="I14" i="105"/>
  <c r="I13" i="105"/>
  <c r="H23" i="105"/>
  <c r="H22" i="105"/>
  <c r="H21" i="105"/>
  <c r="H20" i="105"/>
  <c r="H19" i="105"/>
  <c r="H18" i="105"/>
  <c r="H17" i="105"/>
  <c r="H16" i="105"/>
  <c r="H15" i="105"/>
  <c r="H14" i="105"/>
  <c r="H13" i="105"/>
  <c r="F23" i="105"/>
  <c r="F22" i="105"/>
  <c r="F21" i="105"/>
  <c r="F20" i="105"/>
  <c r="F19" i="105"/>
  <c r="F18" i="105"/>
  <c r="F17" i="105"/>
  <c r="F16" i="105"/>
  <c r="F15" i="105"/>
  <c r="F14" i="105"/>
  <c r="F13" i="105"/>
  <c r="E23" i="105"/>
  <c r="E22" i="105"/>
  <c r="E21" i="105"/>
  <c r="E20" i="105"/>
  <c r="E19" i="105"/>
  <c r="E18" i="105"/>
  <c r="E17" i="105"/>
  <c r="E16" i="105"/>
  <c r="E15" i="105"/>
  <c r="E14" i="105"/>
  <c r="E13" i="105"/>
  <c r="C23" i="105"/>
  <c r="C22" i="105"/>
  <c r="C21" i="105"/>
  <c r="C20" i="105"/>
  <c r="C19" i="105"/>
  <c r="C18" i="105"/>
  <c r="C17" i="105"/>
  <c r="C16" i="105"/>
  <c r="C26" i="105" s="1"/>
  <c r="F37" i="105" s="1"/>
  <c r="C15" i="105"/>
  <c r="C14" i="105"/>
  <c r="C13" i="105"/>
  <c r="A90" i="140"/>
  <c r="BI90" i="140"/>
  <c r="BI89" i="140"/>
  <c r="E94" i="104"/>
  <c r="D94" i="104"/>
  <c r="C94" i="104"/>
  <c r="J42" i="104"/>
  <c r="I42" i="104"/>
  <c r="H42" i="104"/>
  <c r="G42" i="104"/>
  <c r="F42" i="104"/>
  <c r="E42" i="104"/>
  <c r="D42" i="104"/>
  <c r="C42" i="104"/>
  <c r="M64" i="85"/>
  <c r="J64" i="85"/>
  <c r="I64" i="85"/>
  <c r="H64" i="85"/>
  <c r="G64" i="85"/>
  <c r="F64" i="85"/>
  <c r="E64" i="85"/>
  <c r="A48" i="85"/>
  <c r="M48" i="85"/>
  <c r="M47" i="85"/>
  <c r="F41" i="85"/>
  <c r="A26" i="85"/>
  <c r="A27" i="85"/>
  <c r="M25" i="85"/>
  <c r="J23" i="85"/>
  <c r="G23" i="85"/>
  <c r="E23" i="85"/>
  <c r="I22" i="85"/>
  <c r="K22" i="85" s="1"/>
  <c r="I21" i="85"/>
  <c r="K21" i="85" s="1"/>
  <c r="I20" i="85"/>
  <c r="K20" i="85" s="1"/>
  <c r="I19" i="85"/>
  <c r="K19" i="85" s="1"/>
  <c r="I18" i="85"/>
  <c r="K18" i="85" s="1"/>
  <c r="I17" i="85"/>
  <c r="K17" i="85" s="1"/>
  <c r="I16" i="85"/>
  <c r="K16" i="85" s="1"/>
  <c r="I15" i="85"/>
  <c r="K15" i="85" s="1"/>
  <c r="I14" i="85"/>
  <c r="K14" i="85" s="1"/>
  <c r="I13" i="85"/>
  <c r="K13" i="85" s="1"/>
  <c r="F28" i="85" s="1"/>
  <c r="F38" i="85" s="1"/>
  <c r="I12" i="85"/>
  <c r="K12" i="85" s="1"/>
  <c r="I11" i="85"/>
  <c r="K11" i="85" s="1"/>
  <c r="I10" i="85"/>
  <c r="K10" i="85" s="1"/>
  <c r="I9" i="85"/>
  <c r="K9" i="85" s="1"/>
  <c r="A6" i="85"/>
  <c r="A7" i="85"/>
  <c r="A8" i="85"/>
  <c r="M5" i="85"/>
  <c r="M6" i="85"/>
  <c r="A49" i="85"/>
  <c r="A50" i="85"/>
  <c r="A51" i="85"/>
  <c r="A28" i="85"/>
  <c r="M27" i="85"/>
  <c r="A9" i="85"/>
  <c r="M8" i="85"/>
  <c r="M26" i="85"/>
  <c r="M7" i="85"/>
  <c r="M50" i="85"/>
  <c r="M49" i="85"/>
  <c r="A10" i="85"/>
  <c r="M9" i="85"/>
  <c r="A29" i="85"/>
  <c r="M28" i="85"/>
  <c r="A52" i="85"/>
  <c r="M51" i="85"/>
  <c r="A53" i="85"/>
  <c r="M52" i="85"/>
  <c r="A30" i="85"/>
  <c r="M29" i="85"/>
  <c r="A11" i="85"/>
  <c r="M10" i="85"/>
  <c r="M11" i="85"/>
  <c r="A12" i="85"/>
  <c r="A31" i="85"/>
  <c r="M30" i="85"/>
  <c r="A54" i="85"/>
  <c r="M53" i="85"/>
  <c r="A55" i="85"/>
  <c r="M54" i="85"/>
  <c r="M31" i="85"/>
  <c r="A32" i="85"/>
  <c r="A13" i="85"/>
  <c r="M12" i="85"/>
  <c r="A14" i="85"/>
  <c r="M13" i="85"/>
  <c r="A33" i="85"/>
  <c r="M32" i="85"/>
  <c r="M55" i="85"/>
  <c r="A56" i="85"/>
  <c r="A57" i="85"/>
  <c r="M56" i="85"/>
  <c r="M33" i="85"/>
  <c r="A34" i="85"/>
  <c r="A15" i="85"/>
  <c r="M14" i="85"/>
  <c r="A16" i="85"/>
  <c r="M15" i="85"/>
  <c r="M34" i="85"/>
  <c r="A35" i="85"/>
  <c r="A58" i="85"/>
  <c r="M57" i="85"/>
  <c r="M58" i="85"/>
  <c r="A59" i="85"/>
  <c r="A36" i="85"/>
  <c r="M35" i="85"/>
  <c r="A17" i="85"/>
  <c r="M16" i="85"/>
  <c r="A18" i="85"/>
  <c r="M17" i="85"/>
  <c r="M36" i="85"/>
  <c r="A38" i="85"/>
  <c r="M59" i="85"/>
  <c r="A60" i="85"/>
  <c r="A61" i="85"/>
  <c r="M60" i="85"/>
  <c r="A39" i="85"/>
  <c r="M38" i="85"/>
  <c r="A19" i="85"/>
  <c r="M18" i="85"/>
  <c r="A20" i="85"/>
  <c r="M19" i="85"/>
  <c r="M39" i="85"/>
  <c r="A40" i="85"/>
  <c r="A62" i="85"/>
  <c r="M61" i="85"/>
  <c r="A63" i="85"/>
  <c r="M63" i="85"/>
  <c r="M62" i="85"/>
  <c r="A41" i="85"/>
  <c r="M40" i="85"/>
  <c r="A21" i="85"/>
  <c r="M20" i="85"/>
  <c r="A22" i="85"/>
  <c r="M21" i="85"/>
  <c r="A42" i="85"/>
  <c r="M41" i="85"/>
  <c r="A43" i="85"/>
  <c r="M42" i="85"/>
  <c r="A23" i="85"/>
  <c r="M23" i="85"/>
  <c r="M22" i="85"/>
  <c r="M43" i="85"/>
  <c r="A44" i="85"/>
  <c r="A45" i="85"/>
  <c r="M45" i="85"/>
  <c r="M44" i="85"/>
  <c r="D92" i="80"/>
  <c r="F93" i="80"/>
  <c r="G93" i="80"/>
  <c r="H93" i="80"/>
  <c r="A92" i="80"/>
  <c r="A93" i="80"/>
  <c r="A94" i="80"/>
  <c r="A95" i="80"/>
  <c r="E65" i="80"/>
  <c r="D65" i="80"/>
  <c r="A64" i="80"/>
  <c r="A65" i="80"/>
  <c r="G116" i="80"/>
  <c r="G115" i="80"/>
  <c r="G114" i="80"/>
  <c r="G113" i="80"/>
  <c r="G112" i="80"/>
  <c r="G111" i="80"/>
  <c r="G110" i="80"/>
  <c r="G109" i="80"/>
  <c r="G108" i="80"/>
  <c r="G117" i="80"/>
  <c r="G66" i="83"/>
  <c r="G65" i="83"/>
  <c r="G64" i="83"/>
  <c r="G63" i="83"/>
  <c r="G62" i="83"/>
  <c r="G61" i="83"/>
  <c r="G60" i="83"/>
  <c r="G59" i="83"/>
  <c r="G58" i="83"/>
  <c r="G57" i="83"/>
  <c r="G80" i="78"/>
  <c r="G81" i="78"/>
  <c r="A80" i="78"/>
  <c r="A81" i="78"/>
  <c r="E16" i="91"/>
  <c r="F317" i="108"/>
  <c r="F255" i="108"/>
  <c r="F223" i="108"/>
  <c r="F191" i="108"/>
  <c r="F129" i="108"/>
  <c r="L58" i="108"/>
  <c r="A59" i="108"/>
  <c r="L59" i="108"/>
  <c r="A60" i="108"/>
  <c r="A62" i="108"/>
  <c r="L62" i="108"/>
  <c r="A63" i="108"/>
  <c r="L60" i="108"/>
  <c r="A64" i="108"/>
  <c r="L64" i="108"/>
  <c r="L63" i="108"/>
  <c r="C11" i="125"/>
  <c r="K14" i="104"/>
  <c r="AB50" i="137"/>
  <c r="AA50" i="137"/>
  <c r="Z50" i="137"/>
  <c r="Y50" i="137"/>
  <c r="X50" i="137"/>
  <c r="W50" i="137"/>
  <c r="V50" i="137"/>
  <c r="U50" i="137"/>
  <c r="T50" i="137"/>
  <c r="S50" i="137"/>
  <c r="AB49" i="137"/>
  <c r="AA49" i="137"/>
  <c r="Z49" i="137"/>
  <c r="Y49" i="137"/>
  <c r="X49" i="137"/>
  <c r="W49" i="137"/>
  <c r="V49" i="137"/>
  <c r="U49" i="137"/>
  <c r="T49" i="137"/>
  <c r="S49" i="137"/>
  <c r="AB48" i="137"/>
  <c r="AA48" i="137"/>
  <c r="Z48" i="137"/>
  <c r="Y48" i="137"/>
  <c r="X48" i="137"/>
  <c r="W48" i="137"/>
  <c r="V48" i="137"/>
  <c r="U48" i="137"/>
  <c r="T48" i="137"/>
  <c r="S48" i="137"/>
  <c r="AB47" i="137"/>
  <c r="AA47" i="137"/>
  <c r="Z47" i="137"/>
  <c r="Y47" i="137"/>
  <c r="X47" i="137"/>
  <c r="W47" i="137"/>
  <c r="V47" i="137"/>
  <c r="U47" i="137"/>
  <c r="T47" i="137"/>
  <c r="S47" i="137"/>
  <c r="AB46" i="137"/>
  <c r="AA46" i="137"/>
  <c r="Z46" i="137"/>
  <c r="Y46" i="137"/>
  <c r="X46" i="137"/>
  <c r="W46" i="137"/>
  <c r="V46" i="137"/>
  <c r="U46" i="137"/>
  <c r="T46" i="137"/>
  <c r="S46" i="137"/>
  <c r="AB45" i="137"/>
  <c r="AA45" i="137"/>
  <c r="Z45" i="137"/>
  <c r="Y45" i="137"/>
  <c r="X45" i="137"/>
  <c r="W45" i="137"/>
  <c r="V45" i="137"/>
  <c r="U45" i="137"/>
  <c r="T45" i="137"/>
  <c r="S45" i="137"/>
  <c r="AB44" i="137"/>
  <c r="AA44" i="137"/>
  <c r="Z44" i="137"/>
  <c r="Y44" i="137"/>
  <c r="X44" i="137"/>
  <c r="W44" i="137"/>
  <c r="V44" i="137"/>
  <c r="U44" i="137"/>
  <c r="T44" i="137"/>
  <c r="S44" i="137"/>
  <c r="AB43" i="137"/>
  <c r="AA43" i="137"/>
  <c r="Z43" i="137"/>
  <c r="Y43" i="137"/>
  <c r="X43" i="137"/>
  <c r="W43" i="137"/>
  <c r="V43" i="137"/>
  <c r="U43" i="137"/>
  <c r="T43" i="137"/>
  <c r="S43" i="137"/>
  <c r="AB42" i="137"/>
  <c r="AA42" i="137"/>
  <c r="Z42" i="137"/>
  <c r="Y42" i="137"/>
  <c r="X42" i="137"/>
  <c r="W42" i="137"/>
  <c r="V42" i="137"/>
  <c r="U42" i="137"/>
  <c r="T42" i="137"/>
  <c r="S42" i="137"/>
  <c r="AB41" i="137"/>
  <c r="AA41" i="137"/>
  <c r="Z41" i="137"/>
  <c r="Y41" i="137"/>
  <c r="X41" i="137"/>
  <c r="W41" i="137"/>
  <c r="V41" i="137"/>
  <c r="U41" i="137"/>
  <c r="T41" i="137"/>
  <c r="S41" i="137"/>
  <c r="AB40" i="137"/>
  <c r="AA40" i="137"/>
  <c r="Z40" i="137"/>
  <c r="Y40" i="137"/>
  <c r="X40" i="137"/>
  <c r="W40" i="137"/>
  <c r="V40" i="137"/>
  <c r="U40" i="137"/>
  <c r="T40" i="137"/>
  <c r="S40" i="137"/>
  <c r="AB39" i="137"/>
  <c r="AA39" i="137"/>
  <c r="Z39" i="137"/>
  <c r="Y39" i="137"/>
  <c r="X39" i="137"/>
  <c r="W39" i="137"/>
  <c r="V39" i="137"/>
  <c r="U39" i="137"/>
  <c r="T39" i="137"/>
  <c r="S39" i="137"/>
  <c r="AB38" i="137"/>
  <c r="AA38" i="137"/>
  <c r="Z38" i="137"/>
  <c r="Y38" i="137"/>
  <c r="X38" i="137"/>
  <c r="W38" i="137"/>
  <c r="V38" i="137"/>
  <c r="U38" i="137"/>
  <c r="T38" i="137"/>
  <c r="S38" i="137"/>
  <c r="AB75" i="137"/>
  <c r="AA75" i="137"/>
  <c r="Z75" i="137"/>
  <c r="Y75" i="137"/>
  <c r="X75" i="137"/>
  <c r="W75" i="137"/>
  <c r="V75" i="137"/>
  <c r="U75" i="137"/>
  <c r="T75" i="137"/>
  <c r="S75" i="137"/>
  <c r="AB74" i="137"/>
  <c r="AA74" i="137"/>
  <c r="Z74" i="137"/>
  <c r="Y74" i="137"/>
  <c r="X74" i="137"/>
  <c r="W74" i="137"/>
  <c r="V74" i="137"/>
  <c r="U74" i="137"/>
  <c r="T74" i="137"/>
  <c r="S74" i="137"/>
  <c r="AB73" i="137"/>
  <c r="AA73" i="137"/>
  <c r="Z73" i="137"/>
  <c r="Y73" i="137"/>
  <c r="X73" i="137"/>
  <c r="W73" i="137"/>
  <c r="V73" i="137"/>
  <c r="U73" i="137"/>
  <c r="T73" i="137"/>
  <c r="S73" i="137"/>
  <c r="AB72" i="137"/>
  <c r="AA72" i="137"/>
  <c r="Z72" i="137"/>
  <c r="Y72" i="137"/>
  <c r="X72" i="137"/>
  <c r="W72" i="137"/>
  <c r="V72" i="137"/>
  <c r="U72" i="137"/>
  <c r="T72" i="137"/>
  <c r="S72" i="137"/>
  <c r="AB71" i="137"/>
  <c r="AA71" i="137"/>
  <c r="Z71" i="137"/>
  <c r="Y71" i="137"/>
  <c r="X71" i="137"/>
  <c r="W71" i="137"/>
  <c r="V71" i="137"/>
  <c r="U71" i="137"/>
  <c r="T71" i="137"/>
  <c r="S71" i="137"/>
  <c r="AB70" i="137"/>
  <c r="AA70" i="137"/>
  <c r="Z70" i="137"/>
  <c r="Y70" i="137"/>
  <c r="X70" i="137"/>
  <c r="W70" i="137"/>
  <c r="V70" i="137"/>
  <c r="U70" i="137"/>
  <c r="T70" i="137"/>
  <c r="S70" i="137"/>
  <c r="AB69" i="137"/>
  <c r="AA69" i="137"/>
  <c r="Z69" i="137"/>
  <c r="Y69" i="137"/>
  <c r="X69" i="137"/>
  <c r="W69" i="137"/>
  <c r="V69" i="137"/>
  <c r="U69" i="137"/>
  <c r="T69" i="137"/>
  <c r="S69" i="137"/>
  <c r="AB68" i="137"/>
  <c r="AA68" i="137"/>
  <c r="Z68" i="137"/>
  <c r="Y68" i="137"/>
  <c r="X68" i="137"/>
  <c r="W68" i="137"/>
  <c r="V68" i="137"/>
  <c r="U68" i="137"/>
  <c r="T68" i="137"/>
  <c r="S68" i="137"/>
  <c r="AB67" i="137"/>
  <c r="AA67" i="137"/>
  <c r="Z67" i="137"/>
  <c r="Y67" i="137"/>
  <c r="X67" i="137"/>
  <c r="W67" i="137"/>
  <c r="V67" i="137"/>
  <c r="U67" i="137"/>
  <c r="T67" i="137"/>
  <c r="S67" i="137"/>
  <c r="AB66" i="137"/>
  <c r="AA66" i="137"/>
  <c r="Z66" i="137"/>
  <c r="Y66" i="137"/>
  <c r="X66" i="137"/>
  <c r="W66" i="137"/>
  <c r="V66" i="137"/>
  <c r="U66" i="137"/>
  <c r="T66" i="137"/>
  <c r="S66" i="137"/>
  <c r="AB65" i="137"/>
  <c r="AA65" i="137"/>
  <c r="Z65" i="137"/>
  <c r="Y65" i="137"/>
  <c r="X65" i="137"/>
  <c r="W65" i="137"/>
  <c r="V65" i="137"/>
  <c r="U65" i="137"/>
  <c r="T65" i="137"/>
  <c r="S65" i="137"/>
  <c r="AB64" i="137"/>
  <c r="AA64" i="137"/>
  <c r="Z64" i="137"/>
  <c r="Y64" i="137"/>
  <c r="X64" i="137"/>
  <c r="W64" i="137"/>
  <c r="V64" i="137"/>
  <c r="U64" i="137"/>
  <c r="T64" i="137"/>
  <c r="S64" i="137"/>
  <c r="AB63" i="137"/>
  <c r="AA63" i="137"/>
  <c r="Z63" i="137"/>
  <c r="Y63" i="137"/>
  <c r="X63" i="137"/>
  <c r="W63" i="137"/>
  <c r="V63" i="137"/>
  <c r="U63" i="137"/>
  <c r="T63" i="137"/>
  <c r="S63" i="137"/>
  <c r="F74" i="47"/>
  <c r="H36" i="47"/>
  <c r="D1" i="125"/>
  <c r="D1" i="126"/>
  <c r="E25" i="126"/>
  <c r="E31" i="126"/>
  <c r="E24" i="126"/>
  <c r="A26" i="126"/>
  <c r="A27" i="126"/>
  <c r="E8" i="126"/>
  <c r="E7" i="126"/>
  <c r="A11" i="126"/>
  <c r="E11" i="126"/>
  <c r="A28" i="126"/>
  <c r="E27" i="126"/>
  <c r="E26" i="126"/>
  <c r="A12" i="126"/>
  <c r="A29" i="126"/>
  <c r="E28" i="126"/>
  <c r="A13" i="126"/>
  <c r="E12" i="126"/>
  <c r="C18" i="126"/>
  <c r="C20" i="126"/>
  <c r="D31" i="126"/>
  <c r="D28" i="126"/>
  <c r="D29" i="126"/>
  <c r="D26" i="126"/>
  <c r="D30" i="126"/>
  <c r="D27" i="126"/>
  <c r="D25" i="126"/>
  <c r="A30" i="126"/>
  <c r="E30" i="126"/>
  <c r="E29" i="126"/>
  <c r="A14" i="126"/>
  <c r="E13" i="126"/>
  <c r="H42" i="1"/>
  <c r="A15" i="126"/>
  <c r="E14" i="126"/>
  <c r="A16" i="126"/>
  <c r="E15" i="126"/>
  <c r="A17" i="126"/>
  <c r="E16" i="126"/>
  <c r="A18" i="126"/>
  <c r="E17" i="126"/>
  <c r="E18" i="126"/>
  <c r="A20" i="126"/>
  <c r="E20" i="126"/>
  <c r="A10" i="108"/>
  <c r="A11" i="108"/>
  <c r="E44" i="86"/>
  <c r="E36" i="86"/>
  <c r="E30" i="86"/>
  <c r="E20" i="86"/>
  <c r="E14" i="86"/>
  <c r="E10" i="86"/>
  <c r="C69" i="47"/>
  <c r="E5" i="125"/>
  <c r="C10" i="90"/>
  <c r="F44" i="86"/>
  <c r="F10" i="86" s="1"/>
  <c r="E111" i="1" s="1"/>
  <c r="F36" i="86"/>
  <c r="F30" i="86"/>
  <c r="F20" i="86"/>
  <c r="F14" i="86"/>
  <c r="I36" i="47"/>
  <c r="J36" i="47"/>
  <c r="J42" i="1"/>
  <c r="I42" i="1"/>
  <c r="J77" i="1"/>
  <c r="I77" i="1"/>
  <c r="J76" i="1"/>
  <c r="I76" i="1"/>
  <c r="E77" i="1"/>
  <c r="E76" i="1"/>
  <c r="E9" i="125"/>
  <c r="E8" i="125"/>
  <c r="A10" i="125"/>
  <c r="A11" i="125"/>
  <c r="H76" i="1"/>
  <c r="H77" i="1"/>
  <c r="I78" i="1"/>
  <c r="J78" i="1"/>
  <c r="A12" i="125"/>
  <c r="E11" i="125"/>
  <c r="E10" i="125"/>
  <c r="H16" i="106"/>
  <c r="J96" i="1"/>
  <c r="I96" i="1"/>
  <c r="A13" i="125"/>
  <c r="E12" i="125"/>
  <c r="A14" i="125"/>
  <c r="E13" i="125"/>
  <c r="Q4" i="84"/>
  <c r="Q5" i="84"/>
  <c r="A11" i="84"/>
  <c r="H11" i="84"/>
  <c r="G11" i="84"/>
  <c r="E11" i="84"/>
  <c r="D11" i="84"/>
  <c r="A15" i="125"/>
  <c r="E14" i="125"/>
  <c r="A16" i="125"/>
  <c r="E15" i="125"/>
  <c r="AD61" i="138"/>
  <c r="AD60" i="138"/>
  <c r="AD50" i="138"/>
  <c r="AD49" i="138"/>
  <c r="AD38" i="138"/>
  <c r="AD37" i="138"/>
  <c r="AD26" i="138"/>
  <c r="AD25" i="138"/>
  <c r="AB15" i="138"/>
  <c r="AA15" i="138"/>
  <c r="Z15" i="138"/>
  <c r="Y15" i="138"/>
  <c r="X15" i="138"/>
  <c r="W15" i="138"/>
  <c r="V15" i="138"/>
  <c r="U15" i="138"/>
  <c r="T15" i="138"/>
  <c r="S15" i="138"/>
  <c r="R15" i="138"/>
  <c r="Q15" i="138"/>
  <c r="P15" i="138"/>
  <c r="O15" i="138"/>
  <c r="N15" i="138"/>
  <c r="M15" i="138"/>
  <c r="L15" i="138"/>
  <c r="K15" i="138"/>
  <c r="J15" i="138"/>
  <c r="I15" i="138"/>
  <c r="H15" i="138"/>
  <c r="G15" i="138"/>
  <c r="F15" i="138"/>
  <c r="AD14" i="138"/>
  <c r="AB14" i="138"/>
  <c r="AA14" i="138"/>
  <c r="Z14" i="138"/>
  <c r="Y14" i="138"/>
  <c r="X14" i="138"/>
  <c r="W14" i="138"/>
  <c r="V14" i="138"/>
  <c r="U14" i="138"/>
  <c r="T14" i="138"/>
  <c r="S14" i="138"/>
  <c r="R14" i="138"/>
  <c r="Q14" i="138"/>
  <c r="P14" i="138"/>
  <c r="O14" i="138"/>
  <c r="N14" i="138"/>
  <c r="M14" i="138"/>
  <c r="L14" i="138"/>
  <c r="K14" i="138"/>
  <c r="J14" i="138"/>
  <c r="I14" i="138"/>
  <c r="H14" i="138"/>
  <c r="G14" i="138"/>
  <c r="F14" i="138"/>
  <c r="A14" i="138"/>
  <c r="A15" i="138"/>
  <c r="AD15" i="138"/>
  <c r="AD13" i="138"/>
  <c r="AC13" i="138"/>
  <c r="E106" i="1"/>
  <c r="AD12" i="138"/>
  <c r="A129" i="137"/>
  <c r="F130" i="137"/>
  <c r="AD128" i="137"/>
  <c r="AD127" i="137"/>
  <c r="D117" i="137"/>
  <c r="A116" i="137"/>
  <c r="AD115" i="137"/>
  <c r="AD114" i="137"/>
  <c r="D103" i="137"/>
  <c r="A102" i="137"/>
  <c r="I103" i="137"/>
  <c r="AD101" i="137"/>
  <c r="AD100" i="137"/>
  <c r="D89" i="137"/>
  <c r="A88" i="137"/>
  <c r="A89" i="137"/>
  <c r="AD89" i="137"/>
  <c r="AD87" i="137"/>
  <c r="AD86" i="137"/>
  <c r="R75" i="137"/>
  <c r="Q75" i="137"/>
  <c r="P75" i="137"/>
  <c r="O75" i="137"/>
  <c r="N75" i="137"/>
  <c r="M75" i="137"/>
  <c r="L75" i="137"/>
  <c r="K75" i="137"/>
  <c r="J75" i="137"/>
  <c r="I75" i="137"/>
  <c r="H75" i="137"/>
  <c r="G75" i="137"/>
  <c r="F75" i="137"/>
  <c r="R74" i="137"/>
  <c r="Q74" i="137"/>
  <c r="P74" i="137"/>
  <c r="O74" i="137"/>
  <c r="N74" i="137"/>
  <c r="M74" i="137"/>
  <c r="L74" i="137"/>
  <c r="K74" i="137"/>
  <c r="J74" i="137"/>
  <c r="I74" i="137"/>
  <c r="H74" i="137"/>
  <c r="G74" i="137"/>
  <c r="F74" i="137"/>
  <c r="R73" i="137"/>
  <c r="Q73" i="137"/>
  <c r="P73" i="137"/>
  <c r="O73" i="137"/>
  <c r="N73" i="137"/>
  <c r="M73" i="137"/>
  <c r="L73" i="137"/>
  <c r="K73" i="137"/>
  <c r="J73" i="137"/>
  <c r="I73" i="137"/>
  <c r="H73" i="137"/>
  <c r="G73" i="137"/>
  <c r="F73" i="137"/>
  <c r="R72" i="137"/>
  <c r="Q72" i="137"/>
  <c r="P72" i="137"/>
  <c r="O72" i="137"/>
  <c r="N72" i="137"/>
  <c r="M72" i="137"/>
  <c r="L72" i="137"/>
  <c r="K72" i="137"/>
  <c r="J72" i="137"/>
  <c r="I72" i="137"/>
  <c r="H72" i="137"/>
  <c r="G72" i="137"/>
  <c r="F72" i="137"/>
  <c r="R71" i="137"/>
  <c r="Q71" i="137"/>
  <c r="P71" i="137"/>
  <c r="O71" i="137"/>
  <c r="N71" i="137"/>
  <c r="M71" i="137"/>
  <c r="L71" i="137"/>
  <c r="K71" i="137"/>
  <c r="J71" i="137"/>
  <c r="I71" i="137"/>
  <c r="H71" i="137"/>
  <c r="G71" i="137"/>
  <c r="F71" i="137"/>
  <c r="R70" i="137"/>
  <c r="Q70" i="137"/>
  <c r="P70" i="137"/>
  <c r="O70" i="137"/>
  <c r="N70" i="137"/>
  <c r="M70" i="137"/>
  <c r="L70" i="137"/>
  <c r="K70" i="137"/>
  <c r="J70" i="137"/>
  <c r="I70" i="137"/>
  <c r="H70" i="137"/>
  <c r="G70" i="137"/>
  <c r="F70" i="137"/>
  <c r="R69" i="137"/>
  <c r="Q69" i="137"/>
  <c r="P69" i="137"/>
  <c r="O69" i="137"/>
  <c r="N69" i="137"/>
  <c r="M69" i="137"/>
  <c r="L69" i="137"/>
  <c r="K69" i="137"/>
  <c r="J69" i="137"/>
  <c r="I69" i="137"/>
  <c r="H69" i="137"/>
  <c r="G69" i="137"/>
  <c r="F69" i="137"/>
  <c r="R68" i="137"/>
  <c r="Q68" i="137"/>
  <c r="P68" i="137"/>
  <c r="O68" i="137"/>
  <c r="N68" i="137"/>
  <c r="M68" i="137"/>
  <c r="L68" i="137"/>
  <c r="K68" i="137"/>
  <c r="J68" i="137"/>
  <c r="I68" i="137"/>
  <c r="H68" i="137"/>
  <c r="G68" i="137"/>
  <c r="F68" i="137"/>
  <c r="R67" i="137"/>
  <c r="Q67" i="137"/>
  <c r="P67" i="137"/>
  <c r="O67" i="137"/>
  <c r="N67" i="137"/>
  <c r="M67" i="137"/>
  <c r="L67" i="137"/>
  <c r="K67" i="137"/>
  <c r="J67" i="137"/>
  <c r="I67" i="137"/>
  <c r="H67" i="137"/>
  <c r="G67" i="137"/>
  <c r="F67" i="137"/>
  <c r="R66" i="137"/>
  <c r="Q66" i="137"/>
  <c r="P66" i="137"/>
  <c r="O66" i="137"/>
  <c r="N66" i="137"/>
  <c r="M66" i="137"/>
  <c r="L66" i="137"/>
  <c r="K66" i="137"/>
  <c r="J66" i="137"/>
  <c r="I66" i="137"/>
  <c r="H66" i="137"/>
  <c r="G66" i="137"/>
  <c r="F66" i="137"/>
  <c r="R65" i="137"/>
  <c r="Q65" i="137"/>
  <c r="P65" i="137"/>
  <c r="O65" i="137"/>
  <c r="N65" i="137"/>
  <c r="M65" i="137"/>
  <c r="L65" i="137"/>
  <c r="K65" i="137"/>
  <c r="J65" i="137"/>
  <c r="I65" i="137"/>
  <c r="H65" i="137"/>
  <c r="G65" i="137"/>
  <c r="F65" i="137"/>
  <c r="R64" i="137"/>
  <c r="Q64" i="137"/>
  <c r="P64" i="137"/>
  <c r="O64" i="137"/>
  <c r="N64" i="137"/>
  <c r="M64" i="137"/>
  <c r="L64" i="137"/>
  <c r="K64" i="137"/>
  <c r="J64" i="137"/>
  <c r="I64" i="137"/>
  <c r="H64" i="137"/>
  <c r="G64" i="137"/>
  <c r="F64" i="137"/>
  <c r="A64" i="137"/>
  <c r="A65" i="137"/>
  <c r="AD63" i="137"/>
  <c r="AB76" i="137"/>
  <c r="Y76" i="137"/>
  <c r="X76" i="137"/>
  <c r="U76" i="137"/>
  <c r="T76" i="137"/>
  <c r="R63" i="137"/>
  <c r="Q63" i="137"/>
  <c r="P63" i="137"/>
  <c r="O63" i="137"/>
  <c r="N63" i="137"/>
  <c r="M63" i="137"/>
  <c r="L63" i="137"/>
  <c r="K63" i="137"/>
  <c r="J63" i="137"/>
  <c r="I63" i="137"/>
  <c r="H63" i="137"/>
  <c r="G63" i="137"/>
  <c r="F63" i="137"/>
  <c r="AD62" i="137"/>
  <c r="AB51" i="137"/>
  <c r="R50" i="137"/>
  <c r="Q50" i="137"/>
  <c r="P50" i="137"/>
  <c r="O50" i="137"/>
  <c r="N50" i="137"/>
  <c r="M50" i="137"/>
  <c r="L50" i="137"/>
  <c r="K50" i="137"/>
  <c r="J50" i="137"/>
  <c r="I50" i="137"/>
  <c r="H50" i="137"/>
  <c r="G50" i="137"/>
  <c r="F50" i="137"/>
  <c r="R49" i="137"/>
  <c r="Q49" i="137"/>
  <c r="P49" i="137"/>
  <c r="O49" i="137"/>
  <c r="N49" i="137"/>
  <c r="M49" i="137"/>
  <c r="L49" i="137"/>
  <c r="K49" i="137"/>
  <c r="J49" i="137"/>
  <c r="I49" i="137"/>
  <c r="H49" i="137"/>
  <c r="G49" i="137"/>
  <c r="F49" i="137"/>
  <c r="R48" i="137"/>
  <c r="Q48" i="137"/>
  <c r="P48" i="137"/>
  <c r="O48" i="137"/>
  <c r="N48" i="137"/>
  <c r="M48" i="137"/>
  <c r="L48" i="137"/>
  <c r="K48" i="137"/>
  <c r="J48" i="137"/>
  <c r="I48" i="137"/>
  <c r="H48" i="137"/>
  <c r="G48" i="137"/>
  <c r="F48" i="137"/>
  <c r="R47" i="137"/>
  <c r="Q47" i="137"/>
  <c r="P47" i="137"/>
  <c r="O47" i="137"/>
  <c r="N47" i="137"/>
  <c r="M47" i="137"/>
  <c r="L47" i="137"/>
  <c r="K47" i="137"/>
  <c r="J47" i="137"/>
  <c r="I47" i="137"/>
  <c r="H47" i="137"/>
  <c r="G47" i="137"/>
  <c r="F47" i="137"/>
  <c r="R46" i="137"/>
  <c r="Q46" i="137"/>
  <c r="P46" i="137"/>
  <c r="O46" i="137"/>
  <c r="N46" i="137"/>
  <c r="M46" i="137"/>
  <c r="L46" i="137"/>
  <c r="K46" i="137"/>
  <c r="J46" i="137"/>
  <c r="I46" i="137"/>
  <c r="H46" i="137"/>
  <c r="G46" i="137"/>
  <c r="F46" i="137"/>
  <c r="R45" i="137"/>
  <c r="Q45" i="137"/>
  <c r="P45" i="137"/>
  <c r="O45" i="137"/>
  <c r="N45" i="137"/>
  <c r="M45" i="137"/>
  <c r="L45" i="137"/>
  <c r="K45" i="137"/>
  <c r="J45" i="137"/>
  <c r="I45" i="137"/>
  <c r="H45" i="137"/>
  <c r="G45" i="137"/>
  <c r="F45" i="137"/>
  <c r="R44" i="137"/>
  <c r="Q44" i="137"/>
  <c r="P44" i="137"/>
  <c r="O44" i="137"/>
  <c r="N44" i="137"/>
  <c r="M44" i="137"/>
  <c r="L44" i="137"/>
  <c r="K44" i="137"/>
  <c r="J44" i="137"/>
  <c r="I44" i="137"/>
  <c r="H44" i="137"/>
  <c r="G44" i="137"/>
  <c r="F44" i="137"/>
  <c r="R43" i="137"/>
  <c r="Q43" i="137"/>
  <c r="P43" i="137"/>
  <c r="O43" i="137"/>
  <c r="N43" i="137"/>
  <c r="M43" i="137"/>
  <c r="L43" i="137"/>
  <c r="K43" i="137"/>
  <c r="J43" i="137"/>
  <c r="I43" i="137"/>
  <c r="H43" i="137"/>
  <c r="G43" i="137"/>
  <c r="F43" i="137"/>
  <c r="R42" i="137"/>
  <c r="Q42" i="137"/>
  <c r="P42" i="137"/>
  <c r="O42" i="137"/>
  <c r="N42" i="137"/>
  <c r="M42" i="137"/>
  <c r="L42" i="137"/>
  <c r="K42" i="137"/>
  <c r="J42" i="137"/>
  <c r="I42" i="137"/>
  <c r="H42" i="137"/>
  <c r="G42" i="137"/>
  <c r="F42" i="137"/>
  <c r="R41" i="137"/>
  <c r="Q41" i="137"/>
  <c r="P41" i="137"/>
  <c r="O41" i="137"/>
  <c r="N41" i="137"/>
  <c r="M41" i="137"/>
  <c r="L41" i="137"/>
  <c r="K41" i="137"/>
  <c r="J41" i="137"/>
  <c r="I41" i="137"/>
  <c r="H41" i="137"/>
  <c r="G41" i="137"/>
  <c r="F41" i="137"/>
  <c r="R40" i="137"/>
  <c r="Q40" i="137"/>
  <c r="P40" i="137"/>
  <c r="O40" i="137"/>
  <c r="N40" i="137"/>
  <c r="M40" i="137"/>
  <c r="L40" i="137"/>
  <c r="K40" i="137"/>
  <c r="AC40" i="137" s="1"/>
  <c r="J40" i="137"/>
  <c r="I40" i="137"/>
  <c r="H40" i="137"/>
  <c r="G40" i="137"/>
  <c r="F40" i="137"/>
  <c r="R39" i="137"/>
  <c r="Q39" i="137"/>
  <c r="P39" i="137"/>
  <c r="O39" i="137"/>
  <c r="N39" i="137"/>
  <c r="M39" i="137"/>
  <c r="L39" i="137"/>
  <c r="K39" i="137"/>
  <c r="J39" i="137"/>
  <c r="I39" i="137"/>
  <c r="H39" i="137"/>
  <c r="G39" i="137"/>
  <c r="F39" i="137"/>
  <c r="A39" i="137"/>
  <c r="AD39" i="137"/>
  <c r="AD38" i="137"/>
  <c r="Z51" i="137"/>
  <c r="X51" i="137"/>
  <c r="V51" i="137"/>
  <c r="T51" i="137"/>
  <c r="R38" i="137"/>
  <c r="Q38" i="137"/>
  <c r="P38" i="137"/>
  <c r="O38" i="137"/>
  <c r="N38" i="137"/>
  <c r="M38" i="137"/>
  <c r="L38" i="137"/>
  <c r="K38" i="137"/>
  <c r="J38" i="137"/>
  <c r="I38" i="137"/>
  <c r="H38" i="137"/>
  <c r="G38" i="137"/>
  <c r="F38" i="137"/>
  <c r="AD37" i="137"/>
  <c r="AB26" i="137"/>
  <c r="AA26" i="137"/>
  <c r="Z26" i="137"/>
  <c r="Y26" i="137"/>
  <c r="X26" i="137"/>
  <c r="W26" i="137"/>
  <c r="V26" i="137"/>
  <c r="U26" i="137"/>
  <c r="T26" i="137"/>
  <c r="S26" i="137"/>
  <c r="R26" i="137"/>
  <c r="Q26" i="137"/>
  <c r="P26" i="137"/>
  <c r="O26" i="137"/>
  <c r="N26" i="137"/>
  <c r="M26" i="137"/>
  <c r="L26" i="137"/>
  <c r="K26" i="137"/>
  <c r="J26" i="137"/>
  <c r="I26" i="137"/>
  <c r="H26" i="137"/>
  <c r="G26" i="137"/>
  <c r="F26" i="137"/>
  <c r="E26" i="137"/>
  <c r="D26" i="137"/>
  <c r="AC25" i="137"/>
  <c r="E19" i="1"/>
  <c r="AC24" i="137"/>
  <c r="AC23" i="137"/>
  <c r="AC22" i="137"/>
  <c r="AC21" i="137"/>
  <c r="AC20" i="137"/>
  <c r="AC19" i="137"/>
  <c r="AC18" i="137"/>
  <c r="AC17" i="137"/>
  <c r="AC16" i="137"/>
  <c r="AC15" i="137"/>
  <c r="AC14" i="137"/>
  <c r="A14" i="137"/>
  <c r="A15" i="137"/>
  <c r="AD13" i="137"/>
  <c r="AC13" i="137"/>
  <c r="AD12" i="137"/>
  <c r="A129" i="136"/>
  <c r="AD129" i="136"/>
  <c r="AD128" i="136"/>
  <c r="AD127" i="136"/>
  <c r="D117" i="136"/>
  <c r="A116" i="136"/>
  <c r="A117" i="136"/>
  <c r="AD117" i="136"/>
  <c r="AD115" i="136"/>
  <c r="AD114" i="136"/>
  <c r="D103" i="136"/>
  <c r="A102" i="136"/>
  <c r="A103" i="136"/>
  <c r="AD103" i="136"/>
  <c r="AD101" i="136"/>
  <c r="AD100" i="136"/>
  <c r="D89" i="136"/>
  <c r="A88" i="136"/>
  <c r="G89" i="136"/>
  <c r="AD87" i="136"/>
  <c r="AD86" i="136"/>
  <c r="AB75" i="136"/>
  <c r="AA75" i="136"/>
  <c r="Z75" i="136"/>
  <c r="Y75" i="136"/>
  <c r="X75" i="136"/>
  <c r="W75" i="136"/>
  <c r="V75" i="136"/>
  <c r="U75" i="136"/>
  <c r="T75" i="136"/>
  <c r="S75" i="136"/>
  <c r="R75" i="136"/>
  <c r="Q75" i="136"/>
  <c r="P75" i="136"/>
  <c r="O75" i="136"/>
  <c r="N75" i="136"/>
  <c r="M75" i="136"/>
  <c r="L75" i="136"/>
  <c r="K75" i="136"/>
  <c r="J75" i="136"/>
  <c r="I75" i="136"/>
  <c r="H75" i="136"/>
  <c r="G75" i="136"/>
  <c r="F75" i="136"/>
  <c r="AB74" i="136"/>
  <c r="AA74" i="136"/>
  <c r="Z74" i="136"/>
  <c r="Y74" i="136"/>
  <c r="X74" i="136"/>
  <c r="W74" i="136"/>
  <c r="V74" i="136"/>
  <c r="U74" i="136"/>
  <c r="T74" i="136"/>
  <c r="S74" i="136"/>
  <c r="R74" i="136"/>
  <c r="Q74" i="136"/>
  <c r="P74" i="136"/>
  <c r="O74" i="136"/>
  <c r="N74" i="136"/>
  <c r="M74" i="136"/>
  <c r="L74" i="136"/>
  <c r="K74" i="136"/>
  <c r="J74" i="136"/>
  <c r="I74" i="136"/>
  <c r="H74" i="136"/>
  <c r="G74" i="136"/>
  <c r="F74" i="136"/>
  <c r="AB73" i="136"/>
  <c r="AA73" i="136"/>
  <c r="Z73" i="136"/>
  <c r="Y73" i="136"/>
  <c r="X73" i="136"/>
  <c r="W73" i="136"/>
  <c r="V73" i="136"/>
  <c r="U73" i="136"/>
  <c r="T73" i="136"/>
  <c r="S73" i="136"/>
  <c r="R73" i="136"/>
  <c r="Q73" i="136"/>
  <c r="P73" i="136"/>
  <c r="O73" i="136"/>
  <c r="N73" i="136"/>
  <c r="M73" i="136"/>
  <c r="L73" i="136"/>
  <c r="K73" i="136"/>
  <c r="J73" i="136"/>
  <c r="I73" i="136"/>
  <c r="H73" i="136"/>
  <c r="G73" i="136"/>
  <c r="F73" i="136"/>
  <c r="AB72" i="136"/>
  <c r="AA72" i="136"/>
  <c r="Z72" i="136"/>
  <c r="Y72" i="136"/>
  <c r="X72" i="136"/>
  <c r="W72" i="136"/>
  <c r="V72" i="136"/>
  <c r="U72" i="136"/>
  <c r="T72" i="136"/>
  <c r="S72" i="136"/>
  <c r="R72" i="136"/>
  <c r="Q72" i="136"/>
  <c r="P72" i="136"/>
  <c r="O72" i="136"/>
  <c r="N72" i="136"/>
  <c r="M72" i="136"/>
  <c r="L72" i="136"/>
  <c r="K72" i="136"/>
  <c r="J72" i="136"/>
  <c r="I72" i="136"/>
  <c r="H72" i="136"/>
  <c r="G72" i="136"/>
  <c r="F72" i="136"/>
  <c r="AB71" i="136"/>
  <c r="AA71" i="136"/>
  <c r="Z71" i="136"/>
  <c r="Y71" i="136"/>
  <c r="X71" i="136"/>
  <c r="W71" i="136"/>
  <c r="V71" i="136"/>
  <c r="U71" i="136"/>
  <c r="T71" i="136"/>
  <c r="S71" i="136"/>
  <c r="R71" i="136"/>
  <c r="Q71" i="136"/>
  <c r="P71" i="136"/>
  <c r="O71" i="136"/>
  <c r="N71" i="136"/>
  <c r="M71" i="136"/>
  <c r="L71" i="136"/>
  <c r="K71" i="136"/>
  <c r="J71" i="136"/>
  <c r="I71" i="136"/>
  <c r="H71" i="136"/>
  <c r="G71" i="136"/>
  <c r="F71" i="136"/>
  <c r="AB70" i="136"/>
  <c r="AA70" i="136"/>
  <c r="Z70" i="136"/>
  <c r="Y70" i="136"/>
  <c r="X70" i="136"/>
  <c r="W70" i="136"/>
  <c r="V70" i="136"/>
  <c r="U70" i="136"/>
  <c r="T70" i="136"/>
  <c r="S70" i="136"/>
  <c r="R70" i="136"/>
  <c r="Q70" i="136"/>
  <c r="P70" i="136"/>
  <c r="O70" i="136"/>
  <c r="N70" i="136"/>
  <c r="M70" i="136"/>
  <c r="L70" i="136"/>
  <c r="K70" i="136"/>
  <c r="J70" i="136"/>
  <c r="I70" i="136"/>
  <c r="H70" i="136"/>
  <c r="G70" i="136"/>
  <c r="F70" i="136"/>
  <c r="AB69" i="136"/>
  <c r="AA69" i="136"/>
  <c r="Z69" i="136"/>
  <c r="Y69" i="136"/>
  <c r="X69" i="136"/>
  <c r="W69" i="136"/>
  <c r="V69" i="136"/>
  <c r="U69" i="136"/>
  <c r="T69" i="136"/>
  <c r="S69" i="136"/>
  <c r="R69" i="136"/>
  <c r="Q69" i="136"/>
  <c r="P69" i="136"/>
  <c r="O69" i="136"/>
  <c r="N69" i="136"/>
  <c r="M69" i="136"/>
  <c r="L69" i="136"/>
  <c r="K69" i="136"/>
  <c r="J69" i="136"/>
  <c r="I69" i="136"/>
  <c r="H69" i="136"/>
  <c r="G69" i="136"/>
  <c r="F69" i="136"/>
  <c r="AB68" i="136"/>
  <c r="AA68" i="136"/>
  <c r="Z68" i="136"/>
  <c r="Y68" i="136"/>
  <c r="X68" i="136"/>
  <c r="W68" i="136"/>
  <c r="V68" i="136"/>
  <c r="U68" i="136"/>
  <c r="T68" i="136"/>
  <c r="S68" i="136"/>
  <c r="R68" i="136"/>
  <c r="Q68" i="136"/>
  <c r="P68" i="136"/>
  <c r="O68" i="136"/>
  <c r="N68" i="136"/>
  <c r="M68" i="136"/>
  <c r="L68" i="136"/>
  <c r="K68" i="136"/>
  <c r="J68" i="136"/>
  <c r="I68" i="136"/>
  <c r="H68" i="136"/>
  <c r="G68" i="136"/>
  <c r="F68" i="136"/>
  <c r="AB67" i="136"/>
  <c r="AA67" i="136"/>
  <c r="Z67" i="136"/>
  <c r="Y67" i="136"/>
  <c r="X67" i="136"/>
  <c r="W67" i="136"/>
  <c r="V67" i="136"/>
  <c r="U67" i="136"/>
  <c r="T67" i="136"/>
  <c r="S67" i="136"/>
  <c r="R67" i="136"/>
  <c r="Q67" i="136"/>
  <c r="P67" i="136"/>
  <c r="O67" i="136"/>
  <c r="N67" i="136"/>
  <c r="M67" i="136"/>
  <c r="L67" i="136"/>
  <c r="K67" i="136"/>
  <c r="J67" i="136"/>
  <c r="I67" i="136"/>
  <c r="H67" i="136"/>
  <c r="G67" i="136"/>
  <c r="F67" i="136"/>
  <c r="AB66" i="136"/>
  <c r="AA66" i="136"/>
  <c r="Z66" i="136"/>
  <c r="Y66" i="136"/>
  <c r="X66" i="136"/>
  <c r="W66" i="136"/>
  <c r="V66" i="136"/>
  <c r="U66" i="136"/>
  <c r="T66" i="136"/>
  <c r="S66" i="136"/>
  <c r="R66" i="136"/>
  <c r="Q66" i="136"/>
  <c r="P66" i="136"/>
  <c r="O66" i="136"/>
  <c r="N66" i="136"/>
  <c r="M66" i="136"/>
  <c r="L66" i="136"/>
  <c r="K66" i="136"/>
  <c r="J66" i="136"/>
  <c r="I66" i="136"/>
  <c r="H66" i="136"/>
  <c r="G66" i="136"/>
  <c r="F66" i="136"/>
  <c r="AB65" i="136"/>
  <c r="AA65" i="136"/>
  <c r="Z65" i="136"/>
  <c r="Y65" i="136"/>
  <c r="X65" i="136"/>
  <c r="W65" i="136"/>
  <c r="V65" i="136"/>
  <c r="U65" i="136"/>
  <c r="T65" i="136"/>
  <c r="S65" i="136"/>
  <c r="R65" i="136"/>
  <c r="Q65" i="136"/>
  <c r="P65" i="136"/>
  <c r="O65" i="136"/>
  <c r="N65" i="136"/>
  <c r="M65" i="136"/>
  <c r="L65" i="136"/>
  <c r="K65" i="136"/>
  <c r="J65" i="136"/>
  <c r="I65" i="136"/>
  <c r="H65" i="136"/>
  <c r="G65" i="136"/>
  <c r="F65" i="136"/>
  <c r="AB64" i="136"/>
  <c r="AA64" i="136"/>
  <c r="Z64" i="136"/>
  <c r="Y64" i="136"/>
  <c r="X64" i="136"/>
  <c r="W64" i="136"/>
  <c r="V64" i="136"/>
  <c r="U64" i="136"/>
  <c r="T64" i="136"/>
  <c r="S64" i="136"/>
  <c r="R64" i="136"/>
  <c r="Q64" i="136"/>
  <c r="P64" i="136"/>
  <c r="O64" i="136"/>
  <c r="N64" i="136"/>
  <c r="M64" i="136"/>
  <c r="L64" i="136"/>
  <c r="K64" i="136"/>
  <c r="J64" i="136"/>
  <c r="I64" i="136"/>
  <c r="H64" i="136"/>
  <c r="G64" i="136"/>
  <c r="F64" i="136"/>
  <c r="A64" i="136"/>
  <c r="AD64" i="136"/>
  <c r="AD63" i="136"/>
  <c r="AB63" i="136"/>
  <c r="AA63" i="136"/>
  <c r="Z63" i="136"/>
  <c r="Y63" i="136"/>
  <c r="X63" i="136"/>
  <c r="W63" i="136"/>
  <c r="V63" i="136"/>
  <c r="U63" i="136"/>
  <c r="T63" i="136"/>
  <c r="S63" i="136"/>
  <c r="R63" i="136"/>
  <c r="Q63" i="136"/>
  <c r="P63" i="136"/>
  <c r="O63" i="136"/>
  <c r="N63" i="136"/>
  <c r="M63" i="136"/>
  <c r="L63" i="136"/>
  <c r="K63" i="136"/>
  <c r="K76" i="136" s="1"/>
  <c r="J63" i="136"/>
  <c r="I63" i="136"/>
  <c r="H63" i="136"/>
  <c r="G63" i="136"/>
  <c r="F63" i="136"/>
  <c r="AD62" i="136"/>
  <c r="AB50" i="136"/>
  <c r="AA50" i="136"/>
  <c r="Z50" i="136"/>
  <c r="Y50" i="136"/>
  <c r="X50" i="136"/>
  <c r="W50" i="136"/>
  <c r="V50" i="136"/>
  <c r="U50" i="136"/>
  <c r="T50" i="136"/>
  <c r="S50" i="136"/>
  <c r="R50" i="136"/>
  <c r="Q50" i="136"/>
  <c r="P50" i="136"/>
  <c r="O50" i="136"/>
  <c r="N50" i="136"/>
  <c r="M50" i="136"/>
  <c r="L50" i="136"/>
  <c r="K50" i="136"/>
  <c r="AC50" i="136" s="1"/>
  <c r="I8" i="1" s="1"/>
  <c r="J50" i="136"/>
  <c r="I50" i="136"/>
  <c r="H50" i="136"/>
  <c r="G50" i="136"/>
  <c r="F50" i="136"/>
  <c r="AB49" i="136"/>
  <c r="AA49" i="136"/>
  <c r="Z49" i="136"/>
  <c r="Y49" i="136"/>
  <c r="X49" i="136"/>
  <c r="W49" i="136"/>
  <c r="V49" i="136"/>
  <c r="U49" i="136"/>
  <c r="T49" i="136"/>
  <c r="S49" i="136"/>
  <c r="R49" i="136"/>
  <c r="Q49" i="136"/>
  <c r="P49" i="136"/>
  <c r="O49" i="136"/>
  <c r="N49" i="136"/>
  <c r="M49" i="136"/>
  <c r="L49" i="136"/>
  <c r="K49" i="136"/>
  <c r="J49" i="136"/>
  <c r="I49" i="136"/>
  <c r="H49" i="136"/>
  <c r="G49" i="136"/>
  <c r="F49" i="136"/>
  <c r="AB48" i="136"/>
  <c r="AA48" i="136"/>
  <c r="Z48" i="136"/>
  <c r="Y48" i="136"/>
  <c r="X48" i="136"/>
  <c r="W48" i="136"/>
  <c r="V48" i="136"/>
  <c r="U48" i="136"/>
  <c r="T48" i="136"/>
  <c r="S48" i="136"/>
  <c r="R48" i="136"/>
  <c r="Q48" i="136"/>
  <c r="P48" i="136"/>
  <c r="O48" i="136"/>
  <c r="N48" i="136"/>
  <c r="M48" i="136"/>
  <c r="L48" i="136"/>
  <c r="K48" i="136"/>
  <c r="J48" i="136"/>
  <c r="I48" i="136"/>
  <c r="H48" i="136"/>
  <c r="G48" i="136"/>
  <c r="F48" i="136"/>
  <c r="AB47" i="136"/>
  <c r="AA47" i="136"/>
  <c r="Z47" i="136"/>
  <c r="Y47" i="136"/>
  <c r="X47" i="136"/>
  <c r="W47" i="136"/>
  <c r="V47" i="136"/>
  <c r="U47" i="136"/>
  <c r="T47" i="136"/>
  <c r="S47" i="136"/>
  <c r="R47" i="136"/>
  <c r="Q47" i="136"/>
  <c r="P47" i="136"/>
  <c r="O47" i="136"/>
  <c r="N47" i="136"/>
  <c r="M47" i="136"/>
  <c r="L47" i="136"/>
  <c r="K47" i="136"/>
  <c r="J47" i="136"/>
  <c r="I47" i="136"/>
  <c r="H47" i="136"/>
  <c r="G47" i="136"/>
  <c r="F47" i="136"/>
  <c r="AB46" i="136"/>
  <c r="AA46" i="136"/>
  <c r="Z46" i="136"/>
  <c r="Y46" i="136"/>
  <c r="X46" i="136"/>
  <c r="W46" i="136"/>
  <c r="V46" i="136"/>
  <c r="U46" i="136"/>
  <c r="T46" i="136"/>
  <c r="S46" i="136"/>
  <c r="R46" i="136"/>
  <c r="Q46" i="136"/>
  <c r="P46" i="136"/>
  <c r="O46" i="136"/>
  <c r="N46" i="136"/>
  <c r="M46" i="136"/>
  <c r="L46" i="136"/>
  <c r="K46" i="136"/>
  <c r="J46" i="136"/>
  <c r="I46" i="136"/>
  <c r="H46" i="136"/>
  <c r="G46" i="136"/>
  <c r="F46" i="136"/>
  <c r="AB45" i="136"/>
  <c r="AA45" i="136"/>
  <c r="Z45" i="136"/>
  <c r="Y45" i="136"/>
  <c r="X45" i="136"/>
  <c r="W45" i="136"/>
  <c r="V45" i="136"/>
  <c r="U45" i="136"/>
  <c r="T45" i="136"/>
  <c r="S45" i="136"/>
  <c r="R45" i="136"/>
  <c r="Q45" i="136"/>
  <c r="P45" i="136"/>
  <c r="O45" i="136"/>
  <c r="N45" i="136"/>
  <c r="M45" i="136"/>
  <c r="L45" i="136"/>
  <c r="K45" i="136"/>
  <c r="J45" i="136"/>
  <c r="I45" i="136"/>
  <c r="H45" i="136"/>
  <c r="G45" i="136"/>
  <c r="F45" i="136"/>
  <c r="AB44" i="136"/>
  <c r="AA44" i="136"/>
  <c r="Z44" i="136"/>
  <c r="Y44" i="136"/>
  <c r="X44" i="136"/>
  <c r="W44" i="136"/>
  <c r="V44" i="136"/>
  <c r="U44" i="136"/>
  <c r="T44" i="136"/>
  <c r="S44" i="136"/>
  <c r="R44" i="136"/>
  <c r="Q44" i="136"/>
  <c r="P44" i="136"/>
  <c r="O44" i="136"/>
  <c r="N44" i="136"/>
  <c r="M44" i="136"/>
  <c r="L44" i="136"/>
  <c r="K44" i="136"/>
  <c r="J44" i="136"/>
  <c r="I44" i="136"/>
  <c r="H44" i="136"/>
  <c r="G44" i="136"/>
  <c r="F44" i="136"/>
  <c r="AB43" i="136"/>
  <c r="AA43" i="136"/>
  <c r="Z43" i="136"/>
  <c r="Y43" i="136"/>
  <c r="X43" i="136"/>
  <c r="W43" i="136"/>
  <c r="V43" i="136"/>
  <c r="U43" i="136"/>
  <c r="T43" i="136"/>
  <c r="S43" i="136"/>
  <c r="R43" i="136"/>
  <c r="Q43" i="136"/>
  <c r="P43" i="136"/>
  <c r="O43" i="136"/>
  <c r="N43" i="136"/>
  <c r="M43" i="136"/>
  <c r="L43" i="136"/>
  <c r="K43" i="136"/>
  <c r="J43" i="136"/>
  <c r="I43" i="136"/>
  <c r="H43" i="136"/>
  <c r="G43" i="136"/>
  <c r="F43" i="136"/>
  <c r="AB42" i="136"/>
  <c r="AA42" i="136"/>
  <c r="Z42" i="136"/>
  <c r="Y42" i="136"/>
  <c r="X42" i="136"/>
  <c r="W42" i="136"/>
  <c r="V42" i="136"/>
  <c r="U42" i="136"/>
  <c r="T42" i="136"/>
  <c r="S42" i="136"/>
  <c r="R42" i="136"/>
  <c r="Q42" i="136"/>
  <c r="P42" i="136"/>
  <c r="O42" i="136"/>
  <c r="N42" i="136"/>
  <c r="M42" i="136"/>
  <c r="L42" i="136"/>
  <c r="K42" i="136"/>
  <c r="J42" i="136"/>
  <c r="I42" i="136"/>
  <c r="H42" i="136"/>
  <c r="G42" i="136"/>
  <c r="F42" i="136"/>
  <c r="AB41" i="136"/>
  <c r="AA41" i="136"/>
  <c r="Z41" i="136"/>
  <c r="Y41" i="136"/>
  <c r="X41" i="136"/>
  <c r="W41" i="136"/>
  <c r="V41" i="136"/>
  <c r="U41" i="136"/>
  <c r="T41" i="136"/>
  <c r="S41" i="136"/>
  <c r="R41" i="136"/>
  <c r="Q41" i="136"/>
  <c r="P41" i="136"/>
  <c r="O41" i="136"/>
  <c r="N41" i="136"/>
  <c r="M41" i="136"/>
  <c r="L41" i="136"/>
  <c r="K41" i="136"/>
  <c r="J41" i="136"/>
  <c r="I41" i="136"/>
  <c r="H41" i="136"/>
  <c r="G41" i="136"/>
  <c r="F41" i="136"/>
  <c r="AB40" i="136"/>
  <c r="AA40" i="136"/>
  <c r="Z40" i="136"/>
  <c r="Y40" i="136"/>
  <c r="X40" i="136"/>
  <c r="W40" i="136"/>
  <c r="V40" i="136"/>
  <c r="U40" i="136"/>
  <c r="T40" i="136"/>
  <c r="S40" i="136"/>
  <c r="R40" i="136"/>
  <c r="Q40" i="136"/>
  <c r="P40" i="136"/>
  <c r="O40" i="136"/>
  <c r="N40" i="136"/>
  <c r="M40" i="136"/>
  <c r="L40" i="136"/>
  <c r="K40" i="136"/>
  <c r="J40" i="136"/>
  <c r="I40" i="136"/>
  <c r="H40" i="136"/>
  <c r="G40" i="136"/>
  <c r="F40" i="136"/>
  <c r="AB39" i="136"/>
  <c r="AA39" i="136"/>
  <c r="Z39" i="136"/>
  <c r="Y39" i="136"/>
  <c r="X39" i="136"/>
  <c r="W39" i="136"/>
  <c r="V39" i="136"/>
  <c r="U39" i="136"/>
  <c r="T39" i="136"/>
  <c r="S39" i="136"/>
  <c r="R39" i="136"/>
  <c r="Q39" i="136"/>
  <c r="P39" i="136"/>
  <c r="O39" i="136"/>
  <c r="N39" i="136"/>
  <c r="M39" i="136"/>
  <c r="L39" i="136"/>
  <c r="K39" i="136"/>
  <c r="J39" i="136"/>
  <c r="I39" i="136"/>
  <c r="H39" i="136"/>
  <c r="G39" i="136"/>
  <c r="F39" i="136"/>
  <c r="A39" i="136"/>
  <c r="AD39" i="136"/>
  <c r="AD38" i="136"/>
  <c r="AB38" i="136"/>
  <c r="AA38" i="136"/>
  <c r="Z38" i="136"/>
  <c r="Y38" i="136"/>
  <c r="X38" i="136"/>
  <c r="W38" i="136"/>
  <c r="V38" i="136"/>
  <c r="U38" i="136"/>
  <c r="T38" i="136"/>
  <c r="S38" i="136"/>
  <c r="R38" i="136"/>
  <c r="Q38" i="136"/>
  <c r="P38" i="136"/>
  <c r="O38" i="136"/>
  <c r="N38" i="136"/>
  <c r="M38" i="136"/>
  <c r="L38" i="136"/>
  <c r="K38" i="136"/>
  <c r="J38" i="136"/>
  <c r="I38" i="136"/>
  <c r="H38" i="136"/>
  <c r="G38" i="136"/>
  <c r="F38" i="136"/>
  <c r="AD37" i="136"/>
  <c r="AB26" i="136"/>
  <c r="AA26" i="136"/>
  <c r="Z26" i="136"/>
  <c r="Y26" i="136"/>
  <c r="X26" i="136"/>
  <c r="W26" i="136"/>
  <c r="V26" i="136"/>
  <c r="U26" i="136"/>
  <c r="T26" i="136"/>
  <c r="S26" i="136"/>
  <c r="R26" i="136"/>
  <c r="Q26" i="136"/>
  <c r="P26" i="136"/>
  <c r="O26" i="136"/>
  <c r="N26" i="136"/>
  <c r="M26" i="136"/>
  <c r="L26" i="136"/>
  <c r="K26" i="136"/>
  <c r="J26" i="136"/>
  <c r="I26" i="136"/>
  <c r="H26" i="136"/>
  <c r="G26" i="136"/>
  <c r="F26" i="136"/>
  <c r="E26" i="136"/>
  <c r="D26" i="136"/>
  <c r="AC25" i="136"/>
  <c r="E8" i="1"/>
  <c r="AC24" i="136"/>
  <c r="AC23" i="136"/>
  <c r="AC22" i="136"/>
  <c r="AC21" i="136"/>
  <c r="AC20" i="136"/>
  <c r="AC19" i="136"/>
  <c r="AC18" i="136"/>
  <c r="AC17" i="136"/>
  <c r="AC16" i="136"/>
  <c r="AC15" i="136"/>
  <c r="AC14" i="136"/>
  <c r="A14" i="136"/>
  <c r="A15" i="136"/>
  <c r="A16" i="136"/>
  <c r="A17" i="136"/>
  <c r="A18" i="136"/>
  <c r="A19" i="136"/>
  <c r="A20" i="136"/>
  <c r="A21" i="136"/>
  <c r="A22" i="136"/>
  <c r="A23" i="136"/>
  <c r="A24" i="136"/>
  <c r="A25" i="136"/>
  <c r="A26" i="136"/>
  <c r="AD26" i="136"/>
  <c r="AD13" i="136"/>
  <c r="AC13" i="136"/>
  <c r="AD12" i="136"/>
  <c r="I85" i="135"/>
  <c r="I84" i="135"/>
  <c r="A62" i="135"/>
  <c r="A63" i="135"/>
  <c r="A64" i="135"/>
  <c r="I61" i="135"/>
  <c r="I60" i="135"/>
  <c r="A39" i="135"/>
  <c r="I39" i="135"/>
  <c r="A38" i="135"/>
  <c r="I38" i="135"/>
  <c r="I37" i="135"/>
  <c r="I36" i="135"/>
  <c r="D27" i="135"/>
  <c r="F27" i="135"/>
  <c r="G25" i="135"/>
  <c r="D50" i="135"/>
  <c r="G24" i="135"/>
  <c r="D73" i="135"/>
  <c r="G23" i="135"/>
  <c r="D72" i="135"/>
  <c r="F72" i="135"/>
  <c r="G22" i="135"/>
  <c r="G21" i="135"/>
  <c r="D46" i="135"/>
  <c r="G20" i="135"/>
  <c r="D45" i="135"/>
  <c r="G19" i="135"/>
  <c r="D68" i="135"/>
  <c r="F68" i="135"/>
  <c r="G18" i="135"/>
  <c r="G17" i="135"/>
  <c r="D66" i="135"/>
  <c r="G16" i="135"/>
  <c r="D65" i="135"/>
  <c r="G15" i="135"/>
  <c r="D64" i="135"/>
  <c r="F64" i="135"/>
  <c r="G14" i="135"/>
  <c r="D63" i="135"/>
  <c r="F63" i="135"/>
  <c r="G13" i="135"/>
  <c r="D62" i="135"/>
  <c r="A13" i="135"/>
  <c r="A14" i="135"/>
  <c r="I12" i="135"/>
  <c r="G12" i="135"/>
  <c r="D61" i="135"/>
  <c r="I11" i="135"/>
  <c r="A34" i="78"/>
  <c r="A35" i="78"/>
  <c r="G33" i="78"/>
  <c r="G26" i="135"/>
  <c r="D37" i="135"/>
  <c r="C10" i="125"/>
  <c r="D44" i="135"/>
  <c r="A40" i="135"/>
  <c r="I40" i="135"/>
  <c r="D48" i="135"/>
  <c r="I62" i="135"/>
  <c r="G64" i="135"/>
  <c r="G72" i="135"/>
  <c r="I13" i="135"/>
  <c r="D40" i="135"/>
  <c r="A117" i="137"/>
  <c r="AD117" i="137"/>
  <c r="I117" i="137"/>
  <c r="D41" i="135"/>
  <c r="I63" i="135"/>
  <c r="D69" i="135"/>
  <c r="G69" i="135"/>
  <c r="I117" i="136"/>
  <c r="I76" i="136"/>
  <c r="Q76" i="136"/>
  <c r="U76" i="136"/>
  <c r="Y76" i="136"/>
  <c r="I103" i="136"/>
  <c r="AD116" i="136"/>
  <c r="AD19" i="136"/>
  <c r="J51" i="136"/>
  <c r="R51" i="136"/>
  <c r="V51" i="136"/>
  <c r="Z51" i="136"/>
  <c r="H51" i="137"/>
  <c r="P51" i="137"/>
  <c r="O76" i="137"/>
  <c r="H76" i="137"/>
  <c r="P76" i="137"/>
  <c r="A40" i="137"/>
  <c r="A41" i="137"/>
  <c r="A42" i="137"/>
  <c r="I76" i="137"/>
  <c r="Q76" i="137"/>
  <c r="AD64" i="137"/>
  <c r="AC26" i="137"/>
  <c r="E19" i="47"/>
  <c r="AD14" i="137"/>
  <c r="F51" i="137"/>
  <c r="J51" i="137"/>
  <c r="R51" i="137"/>
  <c r="AD129" i="137"/>
  <c r="G89" i="137"/>
  <c r="AD15" i="136"/>
  <c r="AD22" i="136"/>
  <c r="AD24" i="136"/>
  <c r="F51" i="136"/>
  <c r="AD18" i="136"/>
  <c r="AD20" i="136"/>
  <c r="AD102" i="136"/>
  <c r="AC26" i="136"/>
  <c r="E8" i="47"/>
  <c r="AD14" i="136"/>
  <c r="AD16" i="136"/>
  <c r="AD23" i="136"/>
  <c r="I51" i="136"/>
  <c r="Q51" i="136"/>
  <c r="U51" i="136"/>
  <c r="Y51" i="136"/>
  <c r="A89" i="136"/>
  <c r="AD89" i="136"/>
  <c r="M51" i="136"/>
  <c r="N51" i="137"/>
  <c r="M76" i="137"/>
  <c r="M76" i="136"/>
  <c r="N51" i="136"/>
  <c r="L51" i="137"/>
  <c r="L76" i="137"/>
  <c r="A17" i="125"/>
  <c r="E16" i="125"/>
  <c r="F62" i="135"/>
  <c r="G62" i="135"/>
  <c r="H62" i="135"/>
  <c r="E62" i="135"/>
  <c r="E65" i="135"/>
  <c r="F65" i="135"/>
  <c r="H65" i="135"/>
  <c r="G65" i="135"/>
  <c r="E73" i="135"/>
  <c r="F73" i="135"/>
  <c r="G73" i="135"/>
  <c r="H73" i="135"/>
  <c r="G61" i="135"/>
  <c r="H61" i="135"/>
  <c r="F66" i="135"/>
  <c r="G66" i="135"/>
  <c r="E66" i="135"/>
  <c r="H66" i="135"/>
  <c r="A15" i="135"/>
  <c r="I14" i="135"/>
  <c r="I64" i="135"/>
  <c r="A65" i="135"/>
  <c r="A16" i="137"/>
  <c r="AD15" i="137"/>
  <c r="G63" i="135"/>
  <c r="H63" i="135"/>
  <c r="D43" i="135"/>
  <c r="D67" i="135"/>
  <c r="D47" i="135"/>
  <c r="D71" i="135"/>
  <c r="D38" i="135"/>
  <c r="A41" i="135"/>
  <c r="D42" i="135"/>
  <c r="E63" i="135"/>
  <c r="D70" i="135"/>
  <c r="D74" i="135"/>
  <c r="G27" i="135"/>
  <c r="D49" i="135"/>
  <c r="H64" i="135"/>
  <c r="E64" i="135"/>
  <c r="H68" i="135"/>
  <c r="E68" i="135"/>
  <c r="H72" i="135"/>
  <c r="E72" i="135"/>
  <c r="D39" i="135"/>
  <c r="G68" i="135"/>
  <c r="AD17" i="136"/>
  <c r="AD21" i="136"/>
  <c r="AD25" i="136"/>
  <c r="G51" i="136"/>
  <c r="K51" i="136"/>
  <c r="O51" i="136"/>
  <c r="S51" i="136"/>
  <c r="W51" i="136"/>
  <c r="AA51" i="136"/>
  <c r="G76" i="137"/>
  <c r="S76" i="137"/>
  <c r="W76" i="137"/>
  <c r="AA76" i="137"/>
  <c r="H51" i="136"/>
  <c r="L51" i="136"/>
  <c r="P51" i="136"/>
  <c r="T51" i="136"/>
  <c r="X51" i="136"/>
  <c r="AB51" i="136"/>
  <c r="A40" i="136"/>
  <c r="H76" i="136"/>
  <c r="L76" i="136"/>
  <c r="P76" i="136"/>
  <c r="T76" i="136"/>
  <c r="X76" i="136"/>
  <c r="AB76" i="136"/>
  <c r="I51" i="137"/>
  <c r="M51" i="137"/>
  <c r="Q51" i="137"/>
  <c r="U51" i="137"/>
  <c r="Y51" i="137"/>
  <c r="F76" i="136"/>
  <c r="J76" i="136"/>
  <c r="N76" i="136"/>
  <c r="R76" i="136"/>
  <c r="V76" i="136"/>
  <c r="Z76" i="136"/>
  <c r="G51" i="137"/>
  <c r="O51" i="137"/>
  <c r="S51" i="137"/>
  <c r="W51" i="137"/>
  <c r="AA51" i="137"/>
  <c r="F76" i="137"/>
  <c r="J76" i="137"/>
  <c r="N76" i="137"/>
  <c r="R76" i="137"/>
  <c r="V76" i="137"/>
  <c r="Z76" i="137"/>
  <c r="A66" i="137"/>
  <c r="AD65" i="137"/>
  <c r="G76" i="136"/>
  <c r="O76" i="136"/>
  <c r="S76" i="136"/>
  <c r="W76" i="136"/>
  <c r="AA76" i="136"/>
  <c r="AD116" i="137"/>
  <c r="A65" i="136"/>
  <c r="AD88" i="136"/>
  <c r="A130" i="136"/>
  <c r="AD130" i="136"/>
  <c r="F130" i="136"/>
  <c r="A103" i="137"/>
  <c r="AD103" i="137"/>
  <c r="AD88" i="137"/>
  <c r="A130" i="137"/>
  <c r="AD130" i="137"/>
  <c r="AD102" i="137"/>
  <c r="G34" i="78"/>
  <c r="G35" i="78"/>
  <c r="A36" i="78"/>
  <c r="H69" i="135"/>
  <c r="F69" i="135"/>
  <c r="E69" i="135"/>
  <c r="D51" i="135"/>
  <c r="AD40" i="137"/>
  <c r="AD41" i="137"/>
  <c r="E17" i="125"/>
  <c r="AD66" i="137"/>
  <c r="A67" i="137"/>
  <c r="F74" i="135"/>
  <c r="G74" i="135"/>
  <c r="E74" i="135"/>
  <c r="H74" i="135"/>
  <c r="AD42" i="137"/>
  <c r="A43" i="137"/>
  <c r="G71" i="135"/>
  <c r="H71" i="135"/>
  <c r="E71" i="135"/>
  <c r="F71" i="135"/>
  <c r="A42" i="135"/>
  <c r="I41" i="135"/>
  <c r="G67" i="135"/>
  <c r="H67" i="135"/>
  <c r="F67" i="135"/>
  <c r="E67" i="135"/>
  <c r="A16" i="135"/>
  <c r="I15" i="135"/>
  <c r="D75" i="135"/>
  <c r="AD65" i="136"/>
  <c r="A66" i="136"/>
  <c r="AD40" i="136"/>
  <c r="A41" i="136"/>
  <c r="F70" i="135"/>
  <c r="G70" i="135"/>
  <c r="H70" i="135"/>
  <c r="E70" i="135"/>
  <c r="A17" i="137"/>
  <c r="AD16" i="137"/>
  <c r="I65" i="135"/>
  <c r="A66" i="135"/>
  <c r="A37" i="78"/>
  <c r="G36" i="78"/>
  <c r="E37" i="135" a="1"/>
  <c r="E37" i="135"/>
  <c r="D45" i="136"/>
  <c r="G75" i="135"/>
  <c r="G85" i="135"/>
  <c r="H75" i="135"/>
  <c r="H85" i="135"/>
  <c r="A67" i="135"/>
  <c r="I66" i="135"/>
  <c r="AD67" i="137"/>
  <c r="A68" i="137"/>
  <c r="A42" i="136"/>
  <c r="AD41" i="136"/>
  <c r="A43" i="135"/>
  <c r="I42" i="135"/>
  <c r="A18" i="137"/>
  <c r="AD17" i="137"/>
  <c r="A67" i="136"/>
  <c r="AD66" i="136"/>
  <c r="I16" i="135"/>
  <c r="A17" i="135"/>
  <c r="AD43" i="137"/>
  <c r="A44" i="137"/>
  <c r="A38" i="78"/>
  <c r="G37" i="78"/>
  <c r="D46" i="136"/>
  <c r="E50" i="136"/>
  <c r="D44" i="136"/>
  <c r="AC44" i="136" s="1"/>
  <c r="E41" i="136"/>
  <c r="D40" i="136"/>
  <c r="E42" i="137"/>
  <c r="E50" i="137"/>
  <c r="AC50" i="137" s="1"/>
  <c r="I19" i="1" s="1"/>
  <c r="D39" i="136"/>
  <c r="D45" i="137"/>
  <c r="E14" i="138"/>
  <c r="E48" i="136"/>
  <c r="D50" i="136"/>
  <c r="D42" i="136"/>
  <c r="E38" i="137"/>
  <c r="E44" i="137"/>
  <c r="E41" i="137"/>
  <c r="E42" i="136"/>
  <c r="E39" i="137"/>
  <c r="D46" i="137"/>
  <c r="E61" i="135"/>
  <c r="E75" i="135"/>
  <c r="E85" i="135" s="1"/>
  <c r="E46" i="137"/>
  <c r="E39" i="136"/>
  <c r="AC39" i="136" s="1"/>
  <c r="D44" i="137"/>
  <c r="D40" i="137"/>
  <c r="E46" i="136"/>
  <c r="D39" i="137"/>
  <c r="AC39" i="137" s="1"/>
  <c r="D41" i="136"/>
  <c r="D48" i="137"/>
  <c r="AC48" i="137"/>
  <c r="D42" i="137"/>
  <c r="AC42" i="137" s="1"/>
  <c r="D50" i="137"/>
  <c r="D48" i="136"/>
  <c r="AC48" i="136" s="1"/>
  <c r="D41" i="137"/>
  <c r="D49" i="137"/>
  <c r="D38" i="136"/>
  <c r="E44" i="136"/>
  <c r="E45" i="137"/>
  <c r="E40" i="137"/>
  <c r="E48" i="137"/>
  <c r="E45" i="136"/>
  <c r="E49" i="137"/>
  <c r="AC49" i="137" s="1"/>
  <c r="E47" i="136"/>
  <c r="E43" i="137"/>
  <c r="D14" i="138"/>
  <c r="AC14" i="138" s="1"/>
  <c r="I106" i="1" s="1"/>
  <c r="F37" i="135"/>
  <c r="E74" i="137" s="1"/>
  <c r="A68" i="135"/>
  <c r="I67" i="135"/>
  <c r="A18" i="135"/>
  <c r="I17" i="135"/>
  <c r="A19" i="137"/>
  <c r="AD18" i="137"/>
  <c r="A69" i="137"/>
  <c r="AD68" i="137"/>
  <c r="A43" i="136"/>
  <c r="AD42" i="136"/>
  <c r="A45" i="137"/>
  <c r="AD44" i="137"/>
  <c r="A68" i="136"/>
  <c r="AD67" i="136"/>
  <c r="I43" i="135"/>
  <c r="A44" i="135"/>
  <c r="A39" i="78"/>
  <c r="G38" i="78"/>
  <c r="D72" i="137"/>
  <c r="E72" i="136"/>
  <c r="E70" i="136"/>
  <c r="AC41" i="137"/>
  <c r="D68" i="137"/>
  <c r="D65" i="137"/>
  <c r="D73" i="136"/>
  <c r="E66" i="137"/>
  <c r="E69" i="137"/>
  <c r="E73" i="137"/>
  <c r="E87" i="137"/>
  <c r="D63" i="137"/>
  <c r="E75" i="137"/>
  <c r="D63" i="136"/>
  <c r="AC44" i="137"/>
  <c r="D70" i="137"/>
  <c r="E71" i="137"/>
  <c r="E64" i="136"/>
  <c r="D74" i="137"/>
  <c r="AC74" i="137" s="1"/>
  <c r="E65" i="136"/>
  <c r="E63" i="137"/>
  <c r="D69" i="136"/>
  <c r="A46" i="137"/>
  <c r="AD45" i="137"/>
  <c r="A19" i="135"/>
  <c r="I18" i="135"/>
  <c r="AD68" i="136"/>
  <c r="A69" i="136"/>
  <c r="AD43" i="136"/>
  <c r="A44" i="136"/>
  <c r="A70" i="137"/>
  <c r="AD69" i="137"/>
  <c r="I44" i="135"/>
  <c r="A45" i="135"/>
  <c r="A20" i="137"/>
  <c r="AD19" i="137"/>
  <c r="I68" i="135"/>
  <c r="A69" i="135"/>
  <c r="A40" i="78"/>
  <c r="G39" i="78"/>
  <c r="AC63" i="137"/>
  <c r="I69" i="135"/>
  <c r="A70" i="135"/>
  <c r="A46" i="135"/>
  <c r="I45" i="135"/>
  <c r="AD44" i="136"/>
  <c r="A45" i="136"/>
  <c r="AD69" i="136"/>
  <c r="A70" i="136"/>
  <c r="I19" i="135"/>
  <c r="A20" i="135"/>
  <c r="A21" i="137"/>
  <c r="AD20" i="137"/>
  <c r="AD70" i="137"/>
  <c r="A71" i="137"/>
  <c r="AD46" i="137"/>
  <c r="A47" i="137"/>
  <c r="A41" i="78"/>
  <c r="G40" i="78"/>
  <c r="AD47" i="137"/>
  <c r="A48" i="137"/>
  <c r="A71" i="136"/>
  <c r="AD70" i="136"/>
  <c r="AD71" i="137"/>
  <c r="A72" i="137"/>
  <c r="I20" i="135"/>
  <c r="A21" i="135"/>
  <c r="A46" i="136"/>
  <c r="AD45" i="136"/>
  <c r="A71" i="135"/>
  <c r="I70" i="135"/>
  <c r="A22" i="137"/>
  <c r="AD21" i="137"/>
  <c r="A47" i="135"/>
  <c r="I46" i="135"/>
  <c r="A42" i="78"/>
  <c r="G41" i="78"/>
  <c r="H346" i="108"/>
  <c r="H345" i="108"/>
  <c r="H344" i="108"/>
  <c r="H343" i="108"/>
  <c r="H342" i="108"/>
  <c r="H341" i="108"/>
  <c r="H340" i="108"/>
  <c r="H339" i="108"/>
  <c r="H338" i="108"/>
  <c r="H337" i="108"/>
  <c r="H336" i="108"/>
  <c r="H335" i="108"/>
  <c r="H334" i="108"/>
  <c r="H333" i="108"/>
  <c r="H332" i="108"/>
  <c r="H331" i="108"/>
  <c r="H330" i="108"/>
  <c r="H329" i="108"/>
  <c r="H328" i="108"/>
  <c r="H327" i="108"/>
  <c r="H326" i="108"/>
  <c r="H325" i="108"/>
  <c r="H324" i="108"/>
  <c r="H323" i="108"/>
  <c r="H314" i="108"/>
  <c r="H313" i="108"/>
  <c r="H312" i="108"/>
  <c r="H311" i="108"/>
  <c r="H310" i="108"/>
  <c r="H309" i="108"/>
  <c r="H308" i="108"/>
  <c r="H307" i="108"/>
  <c r="H306" i="108"/>
  <c r="H305" i="108"/>
  <c r="H304" i="108"/>
  <c r="H303" i="108"/>
  <c r="H302" i="108"/>
  <c r="H301" i="108"/>
  <c r="H300" i="108"/>
  <c r="H299" i="108"/>
  <c r="H298" i="108"/>
  <c r="H297" i="108"/>
  <c r="H296" i="108"/>
  <c r="H295" i="108"/>
  <c r="H294" i="108"/>
  <c r="H293" i="108"/>
  <c r="H292" i="108"/>
  <c r="H291" i="108"/>
  <c r="H284" i="108"/>
  <c r="H283" i="108"/>
  <c r="H282" i="108"/>
  <c r="H281" i="108"/>
  <c r="H280" i="108"/>
  <c r="H279" i="108"/>
  <c r="H278" i="108"/>
  <c r="H277" i="108"/>
  <c r="H276" i="108"/>
  <c r="H275" i="108"/>
  <c r="H274" i="108"/>
  <c r="H273" i="108"/>
  <c r="H272" i="108"/>
  <c r="H271" i="108"/>
  <c r="H270" i="108"/>
  <c r="H269" i="108"/>
  <c r="H268" i="108"/>
  <c r="H267" i="108"/>
  <c r="H266" i="108"/>
  <c r="H265" i="108"/>
  <c r="H264" i="108"/>
  <c r="H263" i="108"/>
  <c r="H262" i="108"/>
  <c r="H261" i="108"/>
  <c r="H252" i="108"/>
  <c r="H251" i="108"/>
  <c r="H250" i="108"/>
  <c r="H249" i="108"/>
  <c r="H248" i="108"/>
  <c r="H247" i="108"/>
  <c r="H246" i="108"/>
  <c r="H245" i="108"/>
  <c r="H244" i="108"/>
  <c r="H243" i="108"/>
  <c r="H242" i="108"/>
  <c r="H241" i="108"/>
  <c r="H240" i="108"/>
  <c r="H239" i="108"/>
  <c r="H238" i="108"/>
  <c r="H237" i="108"/>
  <c r="H236" i="108"/>
  <c r="H235" i="108"/>
  <c r="H234" i="108"/>
  <c r="H233" i="108"/>
  <c r="H232" i="108"/>
  <c r="H231" i="108"/>
  <c r="H230" i="108"/>
  <c r="H229" i="108"/>
  <c r="H220" i="108"/>
  <c r="H219" i="108"/>
  <c r="H218" i="108"/>
  <c r="H217" i="108"/>
  <c r="H216" i="108"/>
  <c r="H215" i="108"/>
  <c r="H214" i="108"/>
  <c r="H213" i="108"/>
  <c r="H212" i="108"/>
  <c r="H211" i="108"/>
  <c r="H210" i="108"/>
  <c r="H209" i="108"/>
  <c r="H208" i="108"/>
  <c r="H207" i="108"/>
  <c r="H206" i="108"/>
  <c r="H205" i="108"/>
  <c r="H204" i="108"/>
  <c r="H203" i="108"/>
  <c r="H202" i="108"/>
  <c r="H201" i="108"/>
  <c r="H200" i="108"/>
  <c r="H199" i="108"/>
  <c r="H198" i="108"/>
  <c r="H197" i="108"/>
  <c r="H188" i="108"/>
  <c r="H187" i="108"/>
  <c r="H186" i="108"/>
  <c r="H185" i="108"/>
  <c r="H184" i="108"/>
  <c r="H183" i="108"/>
  <c r="H182" i="108"/>
  <c r="H181" i="108"/>
  <c r="H180" i="108"/>
  <c r="H179" i="108"/>
  <c r="H178" i="108"/>
  <c r="H177" i="108"/>
  <c r="H176" i="108"/>
  <c r="H175" i="108"/>
  <c r="H174" i="108"/>
  <c r="H173" i="108"/>
  <c r="H172" i="108"/>
  <c r="H171" i="108"/>
  <c r="H170" i="108"/>
  <c r="H169" i="108"/>
  <c r="H168" i="108"/>
  <c r="H167" i="108"/>
  <c r="H166" i="108"/>
  <c r="H165" i="108"/>
  <c r="H158" i="108"/>
  <c r="H157" i="108"/>
  <c r="H156" i="108"/>
  <c r="H155" i="108"/>
  <c r="H154" i="108"/>
  <c r="H153" i="108"/>
  <c r="H152" i="108"/>
  <c r="H151" i="108"/>
  <c r="H150" i="108"/>
  <c r="H149" i="108"/>
  <c r="H148" i="108"/>
  <c r="H147" i="108"/>
  <c r="H146" i="108"/>
  <c r="H145" i="108"/>
  <c r="H144" i="108"/>
  <c r="H143" i="108"/>
  <c r="H142" i="108"/>
  <c r="H141" i="108"/>
  <c r="H140" i="108"/>
  <c r="H139" i="108"/>
  <c r="H138" i="108"/>
  <c r="H137" i="108"/>
  <c r="H136" i="108"/>
  <c r="H135" i="108"/>
  <c r="H126" i="108"/>
  <c r="H125" i="108"/>
  <c r="H124" i="108"/>
  <c r="H123" i="108"/>
  <c r="H122" i="108"/>
  <c r="H121" i="108"/>
  <c r="H120" i="108"/>
  <c r="H119" i="108"/>
  <c r="H118" i="108"/>
  <c r="H117" i="108"/>
  <c r="H116" i="108"/>
  <c r="H115" i="108"/>
  <c r="H114" i="108"/>
  <c r="H113" i="108"/>
  <c r="H112" i="108"/>
  <c r="H111" i="108"/>
  <c r="H110" i="108"/>
  <c r="H109" i="108"/>
  <c r="H108" i="108"/>
  <c r="H107" i="108"/>
  <c r="H106" i="108"/>
  <c r="H105" i="108"/>
  <c r="H104" i="108"/>
  <c r="H103" i="108"/>
  <c r="I47" i="135"/>
  <c r="A48" i="135"/>
  <c r="A22" i="135"/>
  <c r="I21" i="135"/>
  <c r="A72" i="135"/>
  <c r="I71" i="135"/>
  <c r="A73" i="137"/>
  <c r="AD72" i="137"/>
  <c r="A49" i="137"/>
  <c r="AD48" i="137"/>
  <c r="A72" i="136"/>
  <c r="AD71" i="136"/>
  <c r="A23" i="137"/>
  <c r="AD22" i="137"/>
  <c r="A47" i="136"/>
  <c r="AD46" i="136"/>
  <c r="A43" i="78"/>
  <c r="G42" i="78"/>
  <c r="E26" i="79"/>
  <c r="AD47" i="136"/>
  <c r="A48" i="136"/>
  <c r="I48" i="135"/>
  <c r="A49" i="135"/>
  <c r="AD72" i="136"/>
  <c r="A73" i="136"/>
  <c r="A74" i="137"/>
  <c r="AD73" i="137"/>
  <c r="A23" i="135"/>
  <c r="I22" i="135"/>
  <c r="A24" i="137"/>
  <c r="AD23" i="137"/>
  <c r="A50" i="137"/>
  <c r="AD49" i="137"/>
  <c r="I72" i="135"/>
  <c r="A73" i="135"/>
  <c r="A44" i="78"/>
  <c r="G43" i="78"/>
  <c r="B287" i="108"/>
  <c r="B161" i="108"/>
  <c r="B99" i="108"/>
  <c r="L57" i="108"/>
  <c r="L128" i="108"/>
  <c r="L190" i="108"/>
  <c r="L222" i="108"/>
  <c r="L254" i="108"/>
  <c r="L316" i="108"/>
  <c r="A129" i="108"/>
  <c r="A191" i="108"/>
  <c r="L191" i="108"/>
  <c r="E62" i="108"/>
  <c r="D62" i="108"/>
  <c r="C62" i="108"/>
  <c r="E44" i="108"/>
  <c r="D44" i="108"/>
  <c r="C44" i="108"/>
  <c r="H58" i="108"/>
  <c r="G58" i="108"/>
  <c r="F58" i="108"/>
  <c r="E58" i="108"/>
  <c r="D58" i="108"/>
  <c r="C58" i="108"/>
  <c r="H22" i="108"/>
  <c r="G22" i="108"/>
  <c r="F22" i="108"/>
  <c r="E22" i="108"/>
  <c r="D22" i="108"/>
  <c r="C22" i="108"/>
  <c r="K290" i="108"/>
  <c r="K317" i="108"/>
  <c r="K322" i="108"/>
  <c r="K164" i="108"/>
  <c r="K102" i="108"/>
  <c r="L39" i="108"/>
  <c r="L38" i="108"/>
  <c r="L17" i="108"/>
  <c r="L16" i="108"/>
  <c r="L11" i="108"/>
  <c r="L8" i="108"/>
  <c r="L7" i="108"/>
  <c r="L6" i="108"/>
  <c r="L66" i="108"/>
  <c r="L67" i="108"/>
  <c r="K260" i="108"/>
  <c r="K255" i="108"/>
  <c r="K228" i="108"/>
  <c r="K223" i="108"/>
  <c r="K196" i="108"/>
  <c r="K191" i="108"/>
  <c r="K134" i="108"/>
  <c r="K129" i="108"/>
  <c r="L129" i="108"/>
  <c r="A50" i="135"/>
  <c r="I49" i="135"/>
  <c r="A25" i="137"/>
  <c r="AD24" i="137"/>
  <c r="AD74" i="137"/>
  <c r="A75" i="137"/>
  <c r="AD73" i="136"/>
  <c r="A74" i="136"/>
  <c r="AD48" i="136"/>
  <c r="A49" i="136"/>
  <c r="I73" i="135"/>
  <c r="A74" i="135"/>
  <c r="AD50" i="137"/>
  <c r="A51" i="137"/>
  <c r="AD51" i="137"/>
  <c r="I23" i="135"/>
  <c r="A24" i="135"/>
  <c r="A45" i="78"/>
  <c r="G44" i="78"/>
  <c r="A134" i="108"/>
  <c r="A135" i="108"/>
  <c r="L135" i="108"/>
  <c r="A223" i="108"/>
  <c r="A196" i="108"/>
  <c r="L196" i="108"/>
  <c r="A136" i="108"/>
  <c r="A137" i="108"/>
  <c r="L134" i="108"/>
  <c r="A228" i="108"/>
  <c r="L228" i="108"/>
  <c r="L223" i="108"/>
  <c r="I24" i="135"/>
  <c r="A25" i="135"/>
  <c r="A75" i="135"/>
  <c r="I75" i="135"/>
  <c r="I74" i="135"/>
  <c r="A75" i="136"/>
  <c r="AD74" i="136"/>
  <c r="AD49" i="136"/>
  <c r="A50" i="136"/>
  <c r="AD75" i="137"/>
  <c r="A76" i="137"/>
  <c r="AD76" i="137"/>
  <c r="A26" i="137"/>
  <c r="AD26" i="137"/>
  <c r="AD25" i="137"/>
  <c r="A51" i="135"/>
  <c r="I51" i="135"/>
  <c r="I50" i="135"/>
  <c r="A46" i="78"/>
  <c r="G45" i="78"/>
  <c r="A197" i="108"/>
  <c r="A198" i="108"/>
  <c r="A199" i="108"/>
  <c r="A200" i="108"/>
  <c r="A255" i="108"/>
  <c r="L136" i="108"/>
  <c r="A229" i="108"/>
  <c r="A230" i="108"/>
  <c r="L230" i="108"/>
  <c r="L198" i="108"/>
  <c r="L199" i="108"/>
  <c r="L197" i="108"/>
  <c r="A317" i="108"/>
  <c r="L255" i="108"/>
  <c r="AD50" i="136"/>
  <c r="A51" i="136"/>
  <c r="AD51" i="136"/>
  <c r="A26" i="135"/>
  <c r="I25" i="135"/>
  <c r="A76" i="136"/>
  <c r="AD76" i="136"/>
  <c r="AD75" i="136"/>
  <c r="A47" i="78"/>
  <c r="G46" i="78"/>
  <c r="L229" i="108"/>
  <c r="A260" i="108"/>
  <c r="L260" i="108"/>
  <c r="A231" i="108"/>
  <c r="A232" i="108"/>
  <c r="A233" i="108"/>
  <c r="L200" i="108"/>
  <c r="A201" i="108"/>
  <c r="A138" i="108"/>
  <c r="L137" i="108"/>
  <c r="A322" i="108"/>
  <c r="L317" i="108"/>
  <c r="A27" i="135"/>
  <c r="I27" i="135"/>
  <c r="I26" i="135"/>
  <c r="A48" i="78"/>
  <c r="G47" i="78"/>
  <c r="L232" i="108"/>
  <c r="A261" i="108"/>
  <c r="A262" i="108"/>
  <c r="L231" i="108"/>
  <c r="L233" i="108"/>
  <c r="A234" i="108"/>
  <c r="A202" i="108"/>
  <c r="L201" i="108"/>
  <c r="A139" i="108"/>
  <c r="L138" i="108"/>
  <c r="L322" i="108"/>
  <c r="A323" i="108"/>
  <c r="A49" i="78"/>
  <c r="G48" i="78"/>
  <c r="L261" i="108"/>
  <c r="A263" i="108"/>
  <c r="L262" i="108"/>
  <c r="L234" i="108"/>
  <c r="A235" i="108"/>
  <c r="L202" i="108"/>
  <c r="A203" i="108"/>
  <c r="A140" i="108"/>
  <c r="L139" i="108"/>
  <c r="L323" i="108"/>
  <c r="A324" i="108"/>
  <c r="A50" i="78"/>
  <c r="G49" i="78"/>
  <c r="L263" i="108"/>
  <c r="A264" i="108"/>
  <c r="L235" i="108"/>
  <c r="A236" i="108"/>
  <c r="A204" i="108"/>
  <c r="L203" i="108"/>
  <c r="A141" i="108"/>
  <c r="L140" i="108"/>
  <c r="A325" i="108"/>
  <c r="L324" i="108"/>
  <c r="A51" i="78"/>
  <c r="G50" i="78"/>
  <c r="L264" i="108"/>
  <c r="A265" i="108"/>
  <c r="L236" i="108"/>
  <c r="A237" i="108"/>
  <c r="L204" i="108"/>
  <c r="A205" i="108"/>
  <c r="A142" i="108"/>
  <c r="L141" i="108"/>
  <c r="L325" i="108"/>
  <c r="A326" i="108"/>
  <c r="A52" i="78"/>
  <c r="G51" i="78"/>
  <c r="L265" i="108"/>
  <c r="A266" i="108"/>
  <c r="A238" i="108"/>
  <c r="L237" i="108"/>
  <c r="A206" i="108"/>
  <c r="L205" i="108"/>
  <c r="A143" i="108"/>
  <c r="L142" i="108"/>
  <c r="L326" i="108"/>
  <c r="A327" i="108"/>
  <c r="A53" i="78"/>
  <c r="G52" i="78"/>
  <c r="L266" i="108"/>
  <c r="A267" i="108"/>
  <c r="L238" i="108"/>
  <c r="A239" i="108"/>
  <c r="L206" i="108"/>
  <c r="A207" i="108"/>
  <c r="A144" i="108"/>
  <c r="L143" i="108"/>
  <c r="L327" i="108"/>
  <c r="A328" i="108"/>
  <c r="A54" i="78"/>
  <c r="G53" i="78"/>
  <c r="A268" i="108"/>
  <c r="L267" i="108"/>
  <c r="A240" i="108"/>
  <c r="L239" i="108"/>
  <c r="A208" i="108"/>
  <c r="L207" i="108"/>
  <c r="A145" i="108"/>
  <c r="L144" i="108"/>
  <c r="L328" i="108"/>
  <c r="A329" i="108"/>
  <c r="A55" i="78"/>
  <c r="G54" i="78"/>
  <c r="L268" i="108"/>
  <c r="A269" i="108"/>
  <c r="L240" i="108"/>
  <c r="A241" i="108"/>
  <c r="L208" i="108"/>
  <c r="A209" i="108"/>
  <c r="A146" i="108"/>
  <c r="L145" i="108"/>
  <c r="L329" i="108"/>
  <c r="A330" i="108"/>
  <c r="A56" i="78"/>
  <c r="G55" i="78"/>
  <c r="L269" i="108"/>
  <c r="A270" i="108"/>
  <c r="A242" i="108"/>
  <c r="L241" i="108"/>
  <c r="A210" i="108"/>
  <c r="L209" i="108"/>
  <c r="A147" i="108"/>
  <c r="L146" i="108"/>
  <c r="L330" i="108"/>
  <c r="A331" i="108"/>
  <c r="A57" i="78"/>
  <c r="G56" i="78"/>
  <c r="L270" i="108"/>
  <c r="A271" i="108"/>
  <c r="A243" i="108"/>
  <c r="L242" i="108"/>
  <c r="A211" i="108"/>
  <c r="L210" i="108"/>
  <c r="L147" i="108"/>
  <c r="A148" i="108"/>
  <c r="A332" i="108"/>
  <c r="L331" i="108"/>
  <c r="A58" i="78"/>
  <c r="G57" i="78"/>
  <c r="L271" i="108"/>
  <c r="A272" i="108"/>
  <c r="A244" i="108"/>
  <c r="L243" i="108"/>
  <c r="A212" i="108"/>
  <c r="L211" i="108"/>
  <c r="A149" i="108"/>
  <c r="L148" i="108"/>
  <c r="L332" i="108"/>
  <c r="A333" i="108"/>
  <c r="A59" i="78"/>
  <c r="G58" i="78"/>
  <c r="L272" i="108"/>
  <c r="A273" i="108"/>
  <c r="L244" i="108"/>
  <c r="A245" i="108"/>
  <c r="L212" i="108"/>
  <c r="A213" i="108"/>
  <c r="A150" i="108"/>
  <c r="L149" i="108"/>
  <c r="L333" i="108"/>
  <c r="A334" i="108"/>
  <c r="A60" i="78"/>
  <c r="G59" i="78"/>
  <c r="A274" i="108"/>
  <c r="L273" i="108"/>
  <c r="A246" i="108"/>
  <c r="L245" i="108"/>
  <c r="A214" i="108"/>
  <c r="L213" i="108"/>
  <c r="A151" i="108"/>
  <c r="L150" i="108"/>
  <c r="L334" i="108"/>
  <c r="A335" i="108"/>
  <c r="A61" i="78"/>
  <c r="G60" i="78"/>
  <c r="L274" i="108"/>
  <c r="A275" i="108"/>
  <c r="A247" i="108"/>
  <c r="L246" i="108"/>
  <c r="A215" i="108"/>
  <c r="L214" i="108"/>
  <c r="L151" i="108"/>
  <c r="A152" i="108"/>
  <c r="L335" i="108"/>
  <c r="A336" i="108"/>
  <c r="A62" i="78"/>
  <c r="G61" i="78"/>
  <c r="A276" i="108"/>
  <c r="L275" i="108"/>
  <c r="A248" i="108"/>
  <c r="L247" i="108"/>
  <c r="A216" i="108"/>
  <c r="L215" i="108"/>
  <c r="A153" i="108"/>
  <c r="L152" i="108"/>
  <c r="L336" i="108"/>
  <c r="A337" i="108"/>
  <c r="A63" i="78"/>
  <c r="G62" i="78"/>
  <c r="A277" i="108"/>
  <c r="L276" i="108"/>
  <c r="L248" i="108"/>
  <c r="A249" i="108"/>
  <c r="L216" i="108"/>
  <c r="A217" i="108"/>
  <c r="A154" i="108"/>
  <c r="L153" i="108"/>
  <c r="L337" i="108"/>
  <c r="A338" i="108"/>
  <c r="A64" i="78"/>
  <c r="G63" i="78"/>
  <c r="L277" i="108"/>
  <c r="A278" i="108"/>
  <c r="A250" i="108"/>
  <c r="L249" i="108"/>
  <c r="A218" i="108"/>
  <c r="L217" i="108"/>
  <c r="L154" i="108"/>
  <c r="A155" i="108"/>
  <c r="L338" i="108"/>
  <c r="A339" i="108"/>
  <c r="A65" i="78"/>
  <c r="G64" i="78"/>
  <c r="L278" i="108"/>
  <c r="A279" i="108"/>
  <c r="A251" i="108"/>
  <c r="L250" i="108"/>
  <c r="A219" i="108"/>
  <c r="L218" i="108"/>
  <c r="L155" i="108"/>
  <c r="A156" i="108"/>
  <c r="L339" i="108"/>
  <c r="A340" i="108"/>
  <c r="A66" i="78"/>
  <c r="G65" i="78"/>
  <c r="A280" i="108"/>
  <c r="L279" i="108"/>
  <c r="A252" i="108"/>
  <c r="L252" i="108"/>
  <c r="L251" i="108"/>
  <c r="A220" i="108"/>
  <c r="L220" i="108"/>
  <c r="L219" i="108"/>
  <c r="A157" i="108"/>
  <c r="L156" i="108"/>
  <c r="A341" i="108"/>
  <c r="L341" i="108"/>
  <c r="L340" i="108"/>
  <c r="A67" i="78"/>
  <c r="G66" i="78"/>
  <c r="L280" i="108"/>
  <c r="A281" i="108"/>
  <c r="A158" i="108"/>
  <c r="L157" i="108"/>
  <c r="A68" i="78"/>
  <c r="G67" i="78"/>
  <c r="A282" i="108"/>
  <c r="L281" i="108"/>
  <c r="L158" i="108"/>
  <c r="A164" i="108"/>
  <c r="A342" i="108"/>
  <c r="A69" i="78"/>
  <c r="G68" i="78"/>
  <c r="L282" i="108"/>
  <c r="A283" i="108"/>
  <c r="L164" i="108"/>
  <c r="A165" i="108"/>
  <c r="L342" i="108"/>
  <c r="A343" i="108"/>
  <c r="A70" i="78"/>
  <c r="G69" i="78"/>
  <c r="A284" i="108"/>
  <c r="L283" i="108"/>
  <c r="L165" i="108"/>
  <c r="A166" i="108"/>
  <c r="A344" i="108"/>
  <c r="L343" i="108"/>
  <c r="A71" i="78"/>
  <c r="G70" i="78"/>
  <c r="L284" i="108"/>
  <c r="A290" i="108"/>
  <c r="L166" i="108"/>
  <c r="A167" i="108"/>
  <c r="L344" i="108"/>
  <c r="A345" i="108"/>
  <c r="A72" i="78"/>
  <c r="G71" i="78"/>
  <c r="L290" i="108"/>
  <c r="A291" i="108"/>
  <c r="A168" i="108"/>
  <c r="L167" i="108"/>
  <c r="A346" i="108"/>
  <c r="L346" i="108"/>
  <c r="L345" i="108"/>
  <c r="A73" i="78"/>
  <c r="G72" i="78"/>
  <c r="A292" i="108"/>
  <c r="L291" i="108"/>
  <c r="L168" i="108"/>
  <c r="A169" i="108"/>
  <c r="A74" i="78"/>
  <c r="G73" i="78"/>
  <c r="L292" i="108"/>
  <c r="A293" i="108"/>
  <c r="A170" i="108"/>
  <c r="L169" i="108"/>
  <c r="A75" i="78"/>
  <c r="G74" i="78"/>
  <c r="A294" i="108"/>
  <c r="L293" i="108"/>
  <c r="L170" i="108"/>
  <c r="A171" i="108"/>
  <c r="A76" i="78"/>
  <c r="G75" i="78"/>
  <c r="A295" i="108"/>
  <c r="L294" i="108"/>
  <c r="A172" i="108"/>
  <c r="L171" i="108"/>
  <c r="A77" i="78"/>
  <c r="G76" i="78"/>
  <c r="A296" i="108"/>
  <c r="L295" i="108"/>
  <c r="L172" i="108"/>
  <c r="A173" i="108"/>
  <c r="A78" i="78"/>
  <c r="G77" i="78"/>
  <c r="L296" i="108"/>
  <c r="A297" i="108"/>
  <c r="A174" i="108"/>
  <c r="L173" i="108"/>
  <c r="A79" i="78"/>
  <c r="G79" i="78"/>
  <c r="G78" i="78"/>
  <c r="A298" i="108"/>
  <c r="L297" i="108"/>
  <c r="L174" i="108"/>
  <c r="A175" i="108"/>
  <c r="L298" i="108"/>
  <c r="A299" i="108"/>
  <c r="A176" i="108"/>
  <c r="L175" i="108"/>
  <c r="A300" i="108"/>
  <c r="L299" i="108"/>
  <c r="L176" i="108"/>
  <c r="A177" i="108"/>
  <c r="L300" i="108"/>
  <c r="A301" i="108"/>
  <c r="A178" i="108"/>
  <c r="L177" i="108"/>
  <c r="A302" i="108"/>
  <c r="L301" i="108"/>
  <c r="A179" i="108"/>
  <c r="L178" i="108"/>
  <c r="L302" i="108"/>
  <c r="A303" i="108"/>
  <c r="A180" i="108"/>
  <c r="L179" i="108"/>
  <c r="A304" i="108"/>
  <c r="L303" i="108"/>
  <c r="L180" i="108"/>
  <c r="A181" i="108"/>
  <c r="A305" i="108"/>
  <c r="L304" i="108"/>
  <c r="A182" i="108"/>
  <c r="L181" i="108"/>
  <c r="A306" i="108"/>
  <c r="L305" i="108"/>
  <c r="A183" i="108"/>
  <c r="L182" i="108"/>
  <c r="L306" i="108"/>
  <c r="A307" i="108"/>
  <c r="L183" i="108"/>
  <c r="A184" i="108"/>
  <c r="A308" i="108"/>
  <c r="L307" i="108"/>
  <c r="L184" i="108"/>
  <c r="A185" i="108"/>
  <c r="A309" i="108"/>
  <c r="L308" i="108"/>
  <c r="A186" i="108"/>
  <c r="L185" i="108"/>
  <c r="A310" i="108"/>
  <c r="L309" i="108"/>
  <c r="A187" i="108"/>
  <c r="L186" i="108"/>
  <c r="L310" i="108"/>
  <c r="A311" i="108"/>
  <c r="A188" i="108"/>
  <c r="L188" i="108"/>
  <c r="L187" i="108"/>
  <c r="A312" i="108"/>
  <c r="L311" i="108"/>
  <c r="A313" i="108"/>
  <c r="L312" i="108"/>
  <c r="A314" i="108"/>
  <c r="L314" i="108"/>
  <c r="L313" i="108"/>
  <c r="A72" i="108"/>
  <c r="L72" i="108"/>
  <c r="K72" i="108"/>
  <c r="K67" i="108"/>
  <c r="F67" i="108"/>
  <c r="A12" i="106"/>
  <c r="A73" i="108"/>
  <c r="A74" i="108"/>
  <c r="L73" i="108"/>
  <c r="L74" i="108"/>
  <c r="A75" i="108"/>
  <c r="A76" i="108"/>
  <c r="L75" i="108"/>
  <c r="L76" i="108"/>
  <c r="A77" i="108"/>
  <c r="A78" i="108"/>
  <c r="L77" i="108"/>
  <c r="L78" i="108"/>
  <c r="A79" i="108"/>
  <c r="A80" i="108"/>
  <c r="L79" i="108"/>
  <c r="L80" i="108"/>
  <c r="A81" i="108"/>
  <c r="A82" i="108"/>
  <c r="L81" i="108"/>
  <c r="L82" i="108"/>
  <c r="A83" i="108"/>
  <c r="A84" i="108"/>
  <c r="L83" i="108"/>
  <c r="L84" i="108"/>
  <c r="A85" i="108"/>
  <c r="G7" i="78"/>
  <c r="A8" i="78"/>
  <c r="A9" i="78"/>
  <c r="G8" i="78"/>
  <c r="A86" i="108"/>
  <c r="L85" i="108"/>
  <c r="A10" i="78"/>
  <c r="G9" i="78"/>
  <c r="A87" i="108"/>
  <c r="L86" i="108"/>
  <c r="A11" i="78"/>
  <c r="G10" i="78"/>
  <c r="A88" i="108"/>
  <c r="L87" i="108"/>
  <c r="A12" i="78"/>
  <c r="G11" i="78"/>
  <c r="L88" i="108"/>
  <c r="A89" i="108"/>
  <c r="A13" i="78"/>
  <c r="G12" i="78"/>
  <c r="A90" i="108"/>
  <c r="L89" i="108"/>
  <c r="K66" i="104"/>
  <c r="A40" i="108"/>
  <c r="E176" i="108"/>
  <c r="E175" i="108"/>
  <c r="E174" i="108"/>
  <c r="E173" i="108"/>
  <c r="E172" i="108"/>
  <c r="E171" i="108"/>
  <c r="E170" i="108"/>
  <c r="E169" i="108"/>
  <c r="E168" i="108"/>
  <c r="E167" i="108"/>
  <c r="E166" i="108"/>
  <c r="E165" i="108"/>
  <c r="E240" i="108"/>
  <c r="E208" i="108"/>
  <c r="E146" i="108"/>
  <c r="E239" i="108"/>
  <c r="E207" i="108"/>
  <c r="E145" i="108"/>
  <c r="E238" i="108"/>
  <c r="E206" i="108"/>
  <c r="E144" i="108"/>
  <c r="E237" i="108"/>
  <c r="E205" i="108"/>
  <c r="E143" i="108"/>
  <c r="E236" i="108"/>
  <c r="E204" i="108"/>
  <c r="E142" i="108"/>
  <c r="E235" i="108"/>
  <c r="E203" i="108"/>
  <c r="E141" i="108"/>
  <c r="E234" i="108"/>
  <c r="E202" i="108"/>
  <c r="E140" i="108"/>
  <c r="E233" i="108"/>
  <c r="E201" i="108"/>
  <c r="E139" i="108"/>
  <c r="E232" i="108"/>
  <c r="E200" i="108"/>
  <c r="E138" i="108"/>
  <c r="E231" i="108"/>
  <c r="E199" i="108"/>
  <c r="E137" i="108"/>
  <c r="E230" i="108"/>
  <c r="E198" i="108"/>
  <c r="E136" i="108"/>
  <c r="E229" i="108"/>
  <c r="E197" i="108"/>
  <c r="E135" i="108"/>
  <c r="K48" i="106"/>
  <c r="K44" i="106"/>
  <c r="A45" i="106"/>
  <c r="K45" i="106"/>
  <c r="K36" i="106"/>
  <c r="K37" i="106"/>
  <c r="K12" i="106"/>
  <c r="A37" i="106"/>
  <c r="A38" i="106"/>
  <c r="K38" i="106"/>
  <c r="J1" i="106"/>
  <c r="A14" i="78"/>
  <c r="G13" i="78"/>
  <c r="A41" i="108"/>
  <c r="L40" i="108"/>
  <c r="A91" i="108"/>
  <c r="L90" i="108"/>
  <c r="A46" i="106"/>
  <c r="A15" i="78"/>
  <c r="G14" i="78"/>
  <c r="A42" i="108"/>
  <c r="L41" i="108"/>
  <c r="A92" i="108"/>
  <c r="L91" i="108"/>
  <c r="A47" i="106"/>
  <c r="K47" i="106"/>
  <c r="K46" i="106"/>
  <c r="A16" i="78"/>
  <c r="G15" i="78"/>
  <c r="A44" i="108"/>
  <c r="L42" i="108"/>
  <c r="L92" i="108"/>
  <c r="A93" i="108"/>
  <c r="A22" i="108"/>
  <c r="C31" i="108"/>
  <c r="D31" i="108"/>
  <c r="E31" i="108"/>
  <c r="I22" i="108"/>
  <c r="E302" i="108"/>
  <c r="E301" i="108"/>
  <c r="E300" i="108"/>
  <c r="E299" i="108"/>
  <c r="E298" i="108"/>
  <c r="E297" i="108"/>
  <c r="E296" i="108"/>
  <c r="E295" i="108"/>
  <c r="E294" i="108"/>
  <c r="E293" i="108"/>
  <c r="E292" i="108"/>
  <c r="E291" i="108"/>
  <c r="E114" i="108"/>
  <c r="E113" i="108"/>
  <c r="E112" i="108"/>
  <c r="E111" i="108"/>
  <c r="E110" i="108"/>
  <c r="E109" i="108"/>
  <c r="E108" i="108"/>
  <c r="E107" i="108"/>
  <c r="E106" i="108"/>
  <c r="E105" i="108"/>
  <c r="E104" i="108"/>
  <c r="E103" i="108"/>
  <c r="E334" i="108"/>
  <c r="E272" i="108"/>
  <c r="E333" i="108"/>
  <c r="E271" i="108"/>
  <c r="E332" i="108"/>
  <c r="E270" i="108"/>
  <c r="E331" i="108"/>
  <c r="E269" i="108"/>
  <c r="E330" i="108"/>
  <c r="E268" i="108"/>
  <c r="E329" i="108"/>
  <c r="E267" i="108"/>
  <c r="E328" i="108"/>
  <c r="E266" i="108"/>
  <c r="E327" i="108"/>
  <c r="E265" i="108"/>
  <c r="E326" i="108"/>
  <c r="E264" i="108"/>
  <c r="E325" i="108"/>
  <c r="E263" i="108"/>
  <c r="E324" i="108"/>
  <c r="E262" i="108"/>
  <c r="E323" i="108"/>
  <c r="E261" i="108"/>
  <c r="E84" i="108"/>
  <c r="E83" i="108"/>
  <c r="E82" i="108"/>
  <c r="E81" i="108"/>
  <c r="E80" i="108"/>
  <c r="E79" i="108"/>
  <c r="E78" i="108"/>
  <c r="E77" i="108"/>
  <c r="E76" i="108"/>
  <c r="E75" i="108"/>
  <c r="E74" i="108"/>
  <c r="E73" i="108"/>
  <c r="A17" i="78"/>
  <c r="G16" i="78"/>
  <c r="A23" i="108"/>
  <c r="L22" i="108"/>
  <c r="A45" i="108"/>
  <c r="L44" i="108"/>
  <c r="A94" i="108"/>
  <c r="L93" i="108"/>
  <c r="A13" i="106"/>
  <c r="K13" i="106"/>
  <c r="A18" i="78"/>
  <c r="G17" i="78"/>
  <c r="A46" i="108"/>
  <c r="L45" i="108"/>
  <c r="A25" i="108"/>
  <c r="L23" i="108"/>
  <c r="A95" i="108"/>
  <c r="L94" i="108"/>
  <c r="A14" i="106"/>
  <c r="A19" i="78"/>
  <c r="G18" i="78"/>
  <c r="A26" i="108"/>
  <c r="L25" i="108"/>
  <c r="A47" i="108"/>
  <c r="L46" i="108"/>
  <c r="A96" i="108"/>
  <c r="L95" i="108"/>
  <c r="A16" i="106"/>
  <c r="K14" i="106"/>
  <c r="A32" i="105"/>
  <c r="A20" i="78"/>
  <c r="G19" i="78"/>
  <c r="L96" i="108"/>
  <c r="A102" i="108"/>
  <c r="A48" i="108"/>
  <c r="L47" i="108"/>
  <c r="A29" i="108"/>
  <c r="L26" i="108"/>
  <c r="A17" i="106"/>
  <c r="K16" i="106"/>
  <c r="D39" i="108"/>
  <c r="E39" i="108"/>
  <c r="F39" i="108"/>
  <c r="G39" i="108"/>
  <c r="H39" i="108"/>
  <c r="I39" i="108"/>
  <c r="C39" i="108"/>
  <c r="K23" i="105"/>
  <c r="K22" i="105"/>
  <c r="K21" i="105"/>
  <c r="K20" i="105"/>
  <c r="K19" i="105"/>
  <c r="K18" i="105"/>
  <c r="K17" i="105"/>
  <c r="K16" i="105"/>
  <c r="K15" i="105"/>
  <c r="K14" i="105"/>
  <c r="K13" i="105"/>
  <c r="G23" i="105"/>
  <c r="G22" i="105"/>
  <c r="G21" i="105"/>
  <c r="G20" i="105"/>
  <c r="G19" i="105"/>
  <c r="G18" i="105"/>
  <c r="G17" i="105"/>
  <c r="G16" i="105"/>
  <c r="G15" i="105"/>
  <c r="G14" i="105"/>
  <c r="G13" i="105"/>
  <c r="D13" i="105"/>
  <c r="D14" i="105"/>
  <c r="D15" i="105"/>
  <c r="D16" i="105"/>
  <c r="D17" i="105"/>
  <c r="D18" i="105"/>
  <c r="D19" i="105"/>
  <c r="D20" i="105"/>
  <c r="D21" i="105"/>
  <c r="D22" i="105"/>
  <c r="D23" i="105"/>
  <c r="K99" i="104"/>
  <c r="E111" i="104"/>
  <c r="A100" i="104"/>
  <c r="K100" i="104"/>
  <c r="E78" i="104"/>
  <c r="D48" i="108"/>
  <c r="C78" i="104"/>
  <c r="C48" i="108" s="1"/>
  <c r="A67" i="104"/>
  <c r="A68" i="104"/>
  <c r="A69" i="104"/>
  <c r="A70" i="104"/>
  <c r="A71" i="104"/>
  <c r="A72" i="104"/>
  <c r="A73" i="104"/>
  <c r="A74" i="104"/>
  <c r="A75" i="104"/>
  <c r="A76" i="104"/>
  <c r="A77" i="104"/>
  <c r="A78" i="104"/>
  <c r="K48" i="104"/>
  <c r="J26" i="104"/>
  <c r="A49" i="104"/>
  <c r="A50" i="104"/>
  <c r="A15" i="104"/>
  <c r="K15" i="104"/>
  <c r="C26" i="104"/>
  <c r="E26" i="104"/>
  <c r="F26" i="104"/>
  <c r="G26" i="104"/>
  <c r="H26" i="104"/>
  <c r="I26" i="104"/>
  <c r="D26" i="104"/>
  <c r="D41" i="108"/>
  <c r="D18" i="106"/>
  <c r="E41" i="108"/>
  <c r="G18" i="106"/>
  <c r="H41" i="108"/>
  <c r="E18" i="106"/>
  <c r="F41" i="108"/>
  <c r="D30" i="106"/>
  <c r="E48" i="108"/>
  <c r="G41" i="108"/>
  <c r="F18" i="106"/>
  <c r="K78" i="104"/>
  <c r="A82" i="104"/>
  <c r="A21" i="78"/>
  <c r="G20" i="78"/>
  <c r="A103" i="108"/>
  <c r="L102" i="108"/>
  <c r="A31" i="108"/>
  <c r="L29" i="108"/>
  <c r="A49" i="108"/>
  <c r="L49" i="108"/>
  <c r="L48" i="108"/>
  <c r="K73" i="104"/>
  <c r="A101" i="104"/>
  <c r="A102" i="104"/>
  <c r="A103" i="104"/>
  <c r="A104" i="104"/>
  <c r="A105" i="104"/>
  <c r="A106" i="104"/>
  <c r="A107" i="104"/>
  <c r="A108" i="104"/>
  <c r="A109" i="104"/>
  <c r="A110" i="104"/>
  <c r="A111" i="104"/>
  <c r="K111" i="104"/>
  <c r="K69" i="104"/>
  <c r="K17" i="106"/>
  <c r="A18" i="106"/>
  <c r="K77" i="104"/>
  <c r="C111" i="104"/>
  <c r="K70" i="104"/>
  <c r="K74" i="104"/>
  <c r="A16" i="104"/>
  <c r="K16" i="104"/>
  <c r="K67" i="104"/>
  <c r="K71" i="104"/>
  <c r="K75" i="104"/>
  <c r="K68" i="104"/>
  <c r="K72" i="104"/>
  <c r="K76" i="104"/>
  <c r="D111" i="104"/>
  <c r="K49" i="104"/>
  <c r="K50" i="104"/>
  <c r="A51" i="104"/>
  <c r="F60" i="104"/>
  <c r="C60" i="104"/>
  <c r="D60" i="104"/>
  <c r="H60" i="104"/>
  <c r="I60" i="104"/>
  <c r="G60" i="104"/>
  <c r="E60" i="104"/>
  <c r="N12" i="105"/>
  <c r="M24" i="105"/>
  <c r="E26" i="105"/>
  <c r="G37" i="105"/>
  <c r="G26" i="105"/>
  <c r="H26" i="105"/>
  <c r="I26" i="105"/>
  <c r="J37" i="105"/>
  <c r="J26" i="105"/>
  <c r="K36" i="105" s="1"/>
  <c r="K26" i="105"/>
  <c r="K39" i="105"/>
  <c r="L26" i="105"/>
  <c r="L37" i="105"/>
  <c r="M26" i="105"/>
  <c r="A13" i="105"/>
  <c r="N13" i="105"/>
  <c r="E24" i="105"/>
  <c r="G24" i="105"/>
  <c r="H24" i="105"/>
  <c r="I24" i="105"/>
  <c r="J24" i="105"/>
  <c r="K24" i="105"/>
  <c r="L24" i="105"/>
  <c r="H38" i="105"/>
  <c r="H39" i="105"/>
  <c r="H40" i="105"/>
  <c r="H41" i="105"/>
  <c r="K106" i="104"/>
  <c r="I36" i="105"/>
  <c r="I35" i="105"/>
  <c r="A83" i="104"/>
  <c r="K82" i="104"/>
  <c r="K103" i="104"/>
  <c r="A22" i="78"/>
  <c r="G21" i="78"/>
  <c r="L103" i="108"/>
  <c r="A104" i="108"/>
  <c r="A32" i="108"/>
  <c r="L31" i="108"/>
  <c r="K102" i="104"/>
  <c r="K108" i="104"/>
  <c r="K109" i="104"/>
  <c r="K104" i="104"/>
  <c r="K105" i="104"/>
  <c r="K107" i="104"/>
  <c r="K110" i="104"/>
  <c r="K101" i="104"/>
  <c r="H18" i="106"/>
  <c r="H19" i="106"/>
  <c r="I41" i="108"/>
  <c r="I42" i="108"/>
  <c r="A17" i="104"/>
  <c r="K17" i="104"/>
  <c r="A19" i="106"/>
  <c r="A22" i="106"/>
  <c r="K18" i="106"/>
  <c r="A14" i="105"/>
  <c r="I37" i="105"/>
  <c r="L35" i="105"/>
  <c r="G35" i="105"/>
  <c r="K51" i="104"/>
  <c r="A52" i="104"/>
  <c r="G36" i="105"/>
  <c r="J35" i="105"/>
  <c r="L36" i="105"/>
  <c r="K41" i="105"/>
  <c r="J36" i="105"/>
  <c r="K38" i="105"/>
  <c r="K40" i="105"/>
  <c r="A84" i="104"/>
  <c r="K83" i="104"/>
  <c r="A25" i="106"/>
  <c r="K22" i="106"/>
  <c r="G22" i="78"/>
  <c r="A23" i="78"/>
  <c r="A105" i="108"/>
  <c r="L104" i="108"/>
  <c r="A33" i="108"/>
  <c r="L32" i="108"/>
  <c r="A18" i="104"/>
  <c r="K18" i="104"/>
  <c r="K19" i="106"/>
  <c r="A15" i="105"/>
  <c r="N14" i="105"/>
  <c r="K52" i="104"/>
  <c r="A53" i="104"/>
  <c r="E33" i="105"/>
  <c r="C33" i="105"/>
  <c r="E34" i="105"/>
  <c r="C34" i="105"/>
  <c r="E32" i="105"/>
  <c r="C32" i="105"/>
  <c r="N32" i="105"/>
  <c r="A33" i="105"/>
  <c r="N33" i="105"/>
  <c r="K84" i="104"/>
  <c r="A85" i="104"/>
  <c r="A19" i="104"/>
  <c r="K19" i="104"/>
  <c r="A24" i="78"/>
  <c r="A25" i="78"/>
  <c r="G23" i="78"/>
  <c r="A106" i="108"/>
  <c r="L105" i="108"/>
  <c r="A34" i="108"/>
  <c r="L34" i="108"/>
  <c r="L33" i="108"/>
  <c r="A26" i="106"/>
  <c r="K25" i="106"/>
  <c r="A16" i="105"/>
  <c r="N15" i="105"/>
  <c r="A20" i="104"/>
  <c r="K20" i="104"/>
  <c r="A54" i="104"/>
  <c r="K53" i="104"/>
  <c r="A34" i="105"/>
  <c r="A35" i="105"/>
  <c r="A36" i="105"/>
  <c r="A37" i="105"/>
  <c r="A38" i="105"/>
  <c r="A39" i="105"/>
  <c r="A40" i="105"/>
  <c r="A41" i="105"/>
  <c r="N41" i="105"/>
  <c r="A86" i="104"/>
  <c r="K85" i="104"/>
  <c r="G24" i="78"/>
  <c r="A107" i="108"/>
  <c r="L106" i="108"/>
  <c r="K26" i="106"/>
  <c r="A27" i="106"/>
  <c r="N39" i="105"/>
  <c r="N37" i="105"/>
  <c r="A17" i="105"/>
  <c r="N16" i="105"/>
  <c r="N38" i="105"/>
  <c r="A55" i="104"/>
  <c r="K54" i="104"/>
  <c r="A21" i="104"/>
  <c r="K21" i="104"/>
  <c r="N36" i="105"/>
  <c r="N35" i="105"/>
  <c r="N40" i="105"/>
  <c r="N34" i="105"/>
  <c r="K86" i="104"/>
  <c r="A87" i="104"/>
  <c r="A108" i="108"/>
  <c r="L107" i="108"/>
  <c r="A28" i="106"/>
  <c r="K27" i="106"/>
  <c r="A18" i="105"/>
  <c r="N17" i="105"/>
  <c r="A22" i="104"/>
  <c r="K22" i="104"/>
  <c r="A56" i="104"/>
  <c r="K55" i="104"/>
  <c r="A88" i="104"/>
  <c r="K87" i="104"/>
  <c r="A109" i="108"/>
  <c r="L108" i="108"/>
  <c r="A29" i="106"/>
  <c r="K28" i="106"/>
  <c r="A19" i="105"/>
  <c r="N18" i="105"/>
  <c r="A23" i="104"/>
  <c r="K23" i="104"/>
  <c r="A57" i="104"/>
  <c r="K56" i="104"/>
  <c r="K88" i="104"/>
  <c r="A89" i="104"/>
  <c r="G25" i="78"/>
  <c r="L109" i="108"/>
  <c r="A110" i="108"/>
  <c r="A30" i="106"/>
  <c r="K29" i="106"/>
  <c r="A20" i="105"/>
  <c r="N19" i="105"/>
  <c r="A58" i="104"/>
  <c r="K57" i="104"/>
  <c r="A24" i="104"/>
  <c r="K24" i="104"/>
  <c r="A90" i="104"/>
  <c r="K89" i="104"/>
  <c r="A111" i="108"/>
  <c r="L110" i="108"/>
  <c r="A31" i="106"/>
  <c r="K31" i="106"/>
  <c r="K30" i="106"/>
  <c r="A21" i="105"/>
  <c r="N20" i="105"/>
  <c r="A25" i="104"/>
  <c r="K25" i="104"/>
  <c r="A59" i="104"/>
  <c r="K58" i="104"/>
  <c r="K90" i="104"/>
  <c r="A91" i="104"/>
  <c r="A112" i="108"/>
  <c r="L111" i="108"/>
  <c r="A22" i="105"/>
  <c r="N21" i="105"/>
  <c r="A26" i="104"/>
  <c r="A60" i="104"/>
  <c r="K60" i="104"/>
  <c r="K59" i="104"/>
  <c r="A92" i="104"/>
  <c r="K91" i="104"/>
  <c r="K26" i="104"/>
  <c r="A30" i="104"/>
  <c r="L112" i="108"/>
  <c r="A113" i="108"/>
  <c r="A23" i="105"/>
  <c r="N22" i="105"/>
  <c r="K92" i="104"/>
  <c r="A93" i="104"/>
  <c r="K30" i="104"/>
  <c r="A31" i="104"/>
  <c r="A114" i="108"/>
  <c r="L113" i="108"/>
  <c r="A24" i="105"/>
  <c r="N23" i="105"/>
  <c r="A94" i="104"/>
  <c r="K94" i="104"/>
  <c r="K93" i="104"/>
  <c r="A32" i="104"/>
  <c r="K31" i="104"/>
  <c r="L114" i="108"/>
  <c r="A115" i="108"/>
  <c r="N24" i="105"/>
  <c r="A26" i="105"/>
  <c r="N26" i="105"/>
  <c r="K32" i="104"/>
  <c r="A33" i="104"/>
  <c r="L115" i="108"/>
  <c r="A116" i="108"/>
  <c r="A34" i="104"/>
  <c r="K33" i="104"/>
  <c r="L116" i="108"/>
  <c r="A117" i="108"/>
  <c r="K34" i="104"/>
  <c r="A35" i="104"/>
  <c r="L117" i="108"/>
  <c r="A118" i="108"/>
  <c r="K54" i="83"/>
  <c r="K46" i="83"/>
  <c r="A48" i="83"/>
  <c r="K48" i="83"/>
  <c r="A47" i="83"/>
  <c r="K47" i="83"/>
  <c r="A36" i="104"/>
  <c r="K35" i="104"/>
  <c r="A55" i="83"/>
  <c r="K55" i="83"/>
  <c r="L118" i="108"/>
  <c r="A119" i="108"/>
  <c r="K36" i="104"/>
  <c r="A37" i="104"/>
  <c r="L119" i="108"/>
  <c r="A120" i="108"/>
  <c r="A56" i="83"/>
  <c r="H55" i="83"/>
  <c r="A38" i="104"/>
  <c r="K37" i="104"/>
  <c r="A57" i="83"/>
  <c r="K56" i="83"/>
  <c r="L120" i="108"/>
  <c r="A121" i="108"/>
  <c r="K38" i="104"/>
  <c r="A39" i="104"/>
  <c r="A58" i="83"/>
  <c r="K57" i="83"/>
  <c r="A122" i="108"/>
  <c r="L121" i="108"/>
  <c r="A40" i="104"/>
  <c r="K39" i="104"/>
  <c r="A59" i="83"/>
  <c r="K58" i="83"/>
  <c r="A123" i="108"/>
  <c r="L122" i="108"/>
  <c r="K40" i="104"/>
  <c r="A41" i="104"/>
  <c r="A60" i="83"/>
  <c r="K59" i="83"/>
  <c r="A124" i="108"/>
  <c r="L123" i="108"/>
  <c r="A42" i="104"/>
  <c r="K42" i="104"/>
  <c r="K41" i="104"/>
  <c r="A61" i="83"/>
  <c r="K60" i="83"/>
  <c r="A125" i="108"/>
  <c r="L124" i="108"/>
  <c r="A62" i="83"/>
  <c r="K61" i="83"/>
  <c r="L125" i="108"/>
  <c r="A126" i="108"/>
  <c r="L126" i="108"/>
  <c r="A63" i="83"/>
  <c r="K62" i="83"/>
  <c r="A64" i="83"/>
  <c r="K63" i="83"/>
  <c r="A65" i="83"/>
  <c r="K64" i="83"/>
  <c r="A66" i="83"/>
  <c r="K65" i="83"/>
  <c r="A67" i="83"/>
  <c r="K66" i="83"/>
  <c r="A68" i="83"/>
  <c r="K67" i="83"/>
  <c r="A69" i="83"/>
  <c r="K69" i="83"/>
  <c r="K68" i="83"/>
  <c r="E52" i="47"/>
  <c r="H52" i="47"/>
  <c r="E51" i="47"/>
  <c r="H51" i="47"/>
  <c r="A15" i="88"/>
  <c r="F15" i="88"/>
  <c r="C15" i="88"/>
  <c r="C16" i="88"/>
  <c r="E53" i="47"/>
  <c r="H53" i="47"/>
  <c r="A14" i="88"/>
  <c r="F14" i="88"/>
  <c r="F13" i="88"/>
  <c r="F12" i="88"/>
  <c r="E17" i="91"/>
  <c r="A17" i="91"/>
  <c r="G17" i="91"/>
  <c r="G16" i="91"/>
  <c r="A13" i="91"/>
  <c r="G13" i="91"/>
  <c r="G12" i="91"/>
  <c r="A8" i="91"/>
  <c r="G8" i="91"/>
  <c r="G7" i="91"/>
  <c r="G4" i="91"/>
  <c r="C42" i="90"/>
  <c r="C13" i="90"/>
  <c r="C15" i="90"/>
  <c r="A7" i="90"/>
  <c r="F6" i="90"/>
  <c r="F4" i="90"/>
  <c r="C8" i="88"/>
  <c r="C9" i="88"/>
  <c r="E78" i="1"/>
  <c r="A7" i="88"/>
  <c r="F7" i="88"/>
  <c r="F6" i="88"/>
  <c r="F5" i="88"/>
  <c r="A44" i="86"/>
  <c r="H43" i="86"/>
  <c r="A36" i="86"/>
  <c r="H36" i="86"/>
  <c r="H35" i="86"/>
  <c r="A30" i="86"/>
  <c r="H29" i="86"/>
  <c r="A20" i="86"/>
  <c r="H20" i="86"/>
  <c r="H19" i="86"/>
  <c r="A14" i="86"/>
  <c r="A15" i="86"/>
  <c r="H15" i="86"/>
  <c r="H13" i="86"/>
  <c r="H10" i="86"/>
  <c r="H9" i="86"/>
  <c r="A12" i="84"/>
  <c r="Q12" i="84"/>
  <c r="Q11" i="84"/>
  <c r="E27" i="83"/>
  <c r="E26" i="83"/>
  <c r="K33" i="83"/>
  <c r="A26" i="83"/>
  <c r="A27" i="83"/>
  <c r="K25" i="83"/>
  <c r="K24" i="83"/>
  <c r="A107" i="80"/>
  <c r="A108" i="80"/>
  <c r="N106" i="80"/>
  <c r="H106" i="80"/>
  <c r="E106" i="80"/>
  <c r="J106" i="80" s="1"/>
  <c r="N105" i="80"/>
  <c r="I93" i="80"/>
  <c r="F95" i="80"/>
  <c r="E93" i="80"/>
  <c r="D91" i="80"/>
  <c r="D90" i="80"/>
  <c r="A90" i="80"/>
  <c r="A91" i="80"/>
  <c r="N89" i="80"/>
  <c r="D89" i="80"/>
  <c r="N87" i="80"/>
  <c r="I77" i="80"/>
  <c r="H77" i="80"/>
  <c r="G77" i="80"/>
  <c r="F77" i="80"/>
  <c r="F79" i="80"/>
  <c r="E77" i="80"/>
  <c r="D74" i="80"/>
  <c r="D73" i="80"/>
  <c r="A73" i="80"/>
  <c r="N73" i="80"/>
  <c r="N72" i="80"/>
  <c r="D72" i="80"/>
  <c r="N70" i="80"/>
  <c r="I58" i="80"/>
  <c r="H58" i="80"/>
  <c r="G58" i="80"/>
  <c r="F58" i="80"/>
  <c r="F60" i="80"/>
  <c r="D55" i="80"/>
  <c r="D54" i="80"/>
  <c r="D53" i="80"/>
  <c r="D52" i="80"/>
  <c r="A52" i="80"/>
  <c r="N52" i="80"/>
  <c r="N51" i="80"/>
  <c r="D51" i="80"/>
  <c r="A51" i="80"/>
  <c r="N50" i="80"/>
  <c r="D50" i="80"/>
  <c r="N49" i="80"/>
  <c r="I39" i="80"/>
  <c r="H39" i="80"/>
  <c r="G39" i="80"/>
  <c r="F39" i="80"/>
  <c r="F41" i="80" s="1"/>
  <c r="E39" i="80"/>
  <c r="D37" i="80"/>
  <c r="D36" i="80"/>
  <c r="D35" i="80"/>
  <c r="D34" i="80"/>
  <c r="D33" i="80"/>
  <c r="D32" i="80"/>
  <c r="D31" i="80"/>
  <c r="D30" i="80"/>
  <c r="D29" i="80"/>
  <c r="A29" i="80"/>
  <c r="N29" i="80"/>
  <c r="N28" i="80"/>
  <c r="D28" i="80"/>
  <c r="N26" i="80"/>
  <c r="A10" i="80"/>
  <c r="A11" i="80"/>
  <c r="N9" i="80"/>
  <c r="N8" i="80"/>
  <c r="I59" i="79"/>
  <c r="H59" i="79"/>
  <c r="G59" i="79"/>
  <c r="E59" i="79"/>
  <c r="D59" i="79"/>
  <c r="F49" i="79"/>
  <c r="F59" i="79"/>
  <c r="F48" i="79"/>
  <c r="F47" i="79"/>
  <c r="F46" i="79"/>
  <c r="F45" i="79"/>
  <c r="F44" i="79"/>
  <c r="F43" i="79"/>
  <c r="F42" i="79"/>
  <c r="F41" i="79"/>
  <c r="F40" i="79"/>
  <c r="F39" i="79"/>
  <c r="F38" i="79"/>
  <c r="A38" i="79"/>
  <c r="A39" i="79"/>
  <c r="J37" i="79"/>
  <c r="F37" i="79"/>
  <c r="J36" i="79"/>
  <c r="D26" i="79"/>
  <c r="A14" i="79"/>
  <c r="A15" i="79"/>
  <c r="J13" i="79"/>
  <c r="J12" i="79"/>
  <c r="G6" i="78"/>
  <c r="G42" i="71"/>
  <c r="E42" i="71"/>
  <c r="A38" i="71"/>
  <c r="K37" i="71"/>
  <c r="K36" i="71"/>
  <c r="H30" i="71"/>
  <c r="J29" i="71"/>
  <c r="I29" i="71"/>
  <c r="J28" i="71"/>
  <c r="I28" i="71"/>
  <c r="J27" i="71"/>
  <c r="I27" i="71"/>
  <c r="J26" i="71"/>
  <c r="J25" i="71"/>
  <c r="I25" i="71"/>
  <c r="J24" i="71"/>
  <c r="J23" i="71"/>
  <c r="I23" i="71"/>
  <c r="A23" i="71"/>
  <c r="A24" i="71"/>
  <c r="A25" i="71"/>
  <c r="K22" i="71"/>
  <c r="J22" i="71"/>
  <c r="G30" i="71"/>
  <c r="E11" i="71"/>
  <c r="I22" i="71"/>
  <c r="K21" i="71"/>
  <c r="E7" i="71"/>
  <c r="A7" i="71"/>
  <c r="A8" i="71"/>
  <c r="K6" i="71"/>
  <c r="K5" i="71"/>
  <c r="A10" i="70"/>
  <c r="H9" i="70"/>
  <c r="A75" i="47"/>
  <c r="A76" i="47"/>
  <c r="A77" i="47"/>
  <c r="A78" i="47"/>
  <c r="A79" i="47"/>
  <c r="A80" i="47"/>
  <c r="A81" i="47"/>
  <c r="A82" i="47"/>
  <c r="L74" i="47"/>
  <c r="L72" i="47"/>
  <c r="A52" i="47"/>
  <c r="L51" i="47"/>
  <c r="L50" i="47"/>
  <c r="A39" i="47"/>
  <c r="A40" i="47"/>
  <c r="L36" i="47"/>
  <c r="L35" i="47"/>
  <c r="C26" i="47"/>
  <c r="E13" i="47"/>
  <c r="A9" i="47"/>
  <c r="L8" i="47"/>
  <c r="L6" i="47"/>
  <c r="E112" i="1"/>
  <c r="A105" i="1"/>
  <c r="F15" i="1"/>
  <c r="L104" i="1"/>
  <c r="L102" i="1"/>
  <c r="E82" i="1"/>
  <c r="A77" i="1"/>
  <c r="L77" i="1"/>
  <c r="L76" i="1"/>
  <c r="L75" i="1"/>
  <c r="E67" i="1"/>
  <c r="A58" i="1"/>
  <c r="L57" i="1"/>
  <c r="L55" i="1"/>
  <c r="L32" i="1"/>
  <c r="E13" i="1"/>
  <c r="A9" i="1"/>
  <c r="K10" i="1"/>
  <c r="L8" i="1"/>
  <c r="L6" i="1"/>
  <c r="K2" i="1"/>
  <c r="F1" i="141"/>
  <c r="F56" i="79"/>
  <c r="BH1" i="139"/>
  <c r="BH1" i="140"/>
  <c r="G1" i="109"/>
  <c r="L1" i="85"/>
  <c r="B85" i="135"/>
  <c r="B61" i="138"/>
  <c r="C15" i="138"/>
  <c r="C74" i="137"/>
  <c r="C70" i="137"/>
  <c r="C66" i="137"/>
  <c r="C50" i="137"/>
  <c r="C46" i="137"/>
  <c r="C42" i="137"/>
  <c r="C38" i="137"/>
  <c r="C22" i="137"/>
  <c r="C18" i="137"/>
  <c r="C14" i="137"/>
  <c r="C102" i="136"/>
  <c r="C129" i="137"/>
  <c r="C88" i="137"/>
  <c r="C129" i="136"/>
  <c r="C73" i="136"/>
  <c r="C69" i="136"/>
  <c r="C65" i="136"/>
  <c r="C49" i="136"/>
  <c r="C45" i="136"/>
  <c r="C41" i="136"/>
  <c r="C25" i="136"/>
  <c r="C21" i="136"/>
  <c r="C17" i="136"/>
  <c r="C13" i="136"/>
  <c r="C48" i="136"/>
  <c r="C20" i="136"/>
  <c r="C16" i="136"/>
  <c r="C116" i="137"/>
  <c r="C71" i="136"/>
  <c r="C43" i="136"/>
  <c r="C19" i="136"/>
  <c r="B50" i="138"/>
  <c r="C14" i="138"/>
  <c r="C73" i="137"/>
  <c r="C69" i="137"/>
  <c r="C65" i="137"/>
  <c r="C49" i="137"/>
  <c r="C45" i="137"/>
  <c r="C41" i="137"/>
  <c r="C25" i="137"/>
  <c r="C21" i="137"/>
  <c r="C17" i="137"/>
  <c r="C13" i="137"/>
  <c r="C101" i="136"/>
  <c r="C128" i="137"/>
  <c r="C87" i="137"/>
  <c r="C128" i="136"/>
  <c r="C72" i="136"/>
  <c r="C68" i="136"/>
  <c r="C64" i="136"/>
  <c r="C40" i="136"/>
  <c r="C75" i="136"/>
  <c r="C47" i="136"/>
  <c r="C23" i="136"/>
  <c r="B38" i="138"/>
  <c r="C13" i="138"/>
  <c r="C72" i="137"/>
  <c r="C68" i="137"/>
  <c r="C64" i="137"/>
  <c r="C48" i="137"/>
  <c r="C44" i="137"/>
  <c r="C40" i="137"/>
  <c r="C24" i="137"/>
  <c r="C20" i="137"/>
  <c r="C16" i="137"/>
  <c r="C88" i="136"/>
  <c r="C102" i="137"/>
  <c r="C63" i="136"/>
  <c r="C15" i="136"/>
  <c r="B26" i="138"/>
  <c r="C75" i="137"/>
  <c r="C71" i="137"/>
  <c r="C67" i="137"/>
  <c r="C63" i="137"/>
  <c r="C47" i="137"/>
  <c r="C43" i="137"/>
  <c r="C39" i="137"/>
  <c r="C23" i="137"/>
  <c r="C19" i="137"/>
  <c r="C15" i="137"/>
  <c r="C87" i="136"/>
  <c r="C115" i="136"/>
  <c r="C115" i="137"/>
  <c r="C101" i="137"/>
  <c r="C74" i="136"/>
  <c r="C70" i="136"/>
  <c r="C66" i="136"/>
  <c r="C50" i="136"/>
  <c r="C46" i="136"/>
  <c r="C42" i="136"/>
  <c r="C38" i="136"/>
  <c r="C22" i="136"/>
  <c r="C18" i="136"/>
  <c r="C14" i="136"/>
  <c r="C44" i="136"/>
  <c r="C24" i="136"/>
  <c r="C116" i="136"/>
  <c r="C67" i="136"/>
  <c r="C39" i="136"/>
  <c r="H1" i="135"/>
  <c r="AC1" i="138"/>
  <c r="AC1" i="137"/>
  <c r="AC1" i="136"/>
  <c r="D93" i="80"/>
  <c r="F11" i="84"/>
  <c r="J30" i="71"/>
  <c r="E6" i="71"/>
  <c r="E8" i="71"/>
  <c r="E64" i="47"/>
  <c r="I24" i="71"/>
  <c r="I26" i="71"/>
  <c r="J38" i="79"/>
  <c r="J14" i="79"/>
  <c r="A16" i="88"/>
  <c r="F16" i="88"/>
  <c r="A83" i="47"/>
  <c r="K83" i="47"/>
  <c r="K7" i="71"/>
  <c r="K23" i="71"/>
  <c r="K24" i="71"/>
  <c r="F75" i="47"/>
  <c r="A30" i="80"/>
  <c r="N30" i="80"/>
  <c r="N91" i="80"/>
  <c r="N93" i="80"/>
  <c r="N90" i="80"/>
  <c r="J51" i="47"/>
  <c r="I51" i="47"/>
  <c r="I52" i="47"/>
  <c r="J52" i="47"/>
  <c r="F1" i="78"/>
  <c r="G1" i="86"/>
  <c r="F59" i="1"/>
  <c r="K59" i="1"/>
  <c r="J117" i="1"/>
  <c r="E117" i="1"/>
  <c r="I117" i="1"/>
  <c r="I116" i="1"/>
  <c r="J116" i="1"/>
  <c r="E116" i="1"/>
  <c r="A21" i="86"/>
  <c r="A22" i="86"/>
  <c r="H22" i="86"/>
  <c r="I11" i="84"/>
  <c r="J11" i="84"/>
  <c r="C21" i="90" s="1"/>
  <c r="K11" i="84"/>
  <c r="A13" i="84"/>
  <c r="Q13" i="84"/>
  <c r="C300" i="108"/>
  <c r="C296" i="108"/>
  <c r="C292" i="108"/>
  <c r="C324" i="108"/>
  <c r="C326" i="108"/>
  <c r="C328" i="108"/>
  <c r="C330" i="108"/>
  <c r="C332" i="108"/>
  <c r="C334" i="108"/>
  <c r="C335" i="108"/>
  <c r="C336" i="108"/>
  <c r="C337" i="108"/>
  <c r="C338" i="108"/>
  <c r="C339" i="108"/>
  <c r="C340" i="108"/>
  <c r="C341" i="108"/>
  <c r="C342" i="108"/>
  <c r="C343" i="108"/>
  <c r="C344" i="108"/>
  <c r="C345" i="108"/>
  <c r="C346" i="108"/>
  <c r="C176" i="108"/>
  <c r="C177" i="108"/>
  <c r="C178" i="108"/>
  <c r="C179" i="108"/>
  <c r="C180" i="108"/>
  <c r="C181" i="108"/>
  <c r="C182" i="108"/>
  <c r="C183" i="108"/>
  <c r="C184" i="108"/>
  <c r="C185" i="108"/>
  <c r="C186" i="108"/>
  <c r="C187" i="108"/>
  <c r="C188" i="108"/>
  <c r="C172" i="108"/>
  <c r="C168" i="108"/>
  <c r="C113" i="108"/>
  <c r="C109" i="108"/>
  <c r="C105" i="108"/>
  <c r="C270" i="108"/>
  <c r="C266" i="108"/>
  <c r="C262" i="108"/>
  <c r="C237" i="108"/>
  <c r="C233" i="108"/>
  <c r="C229" i="108"/>
  <c r="C228" i="108"/>
  <c r="C208" i="108"/>
  <c r="C209" i="108"/>
  <c r="C210" i="108"/>
  <c r="C211" i="108"/>
  <c r="C212" i="108"/>
  <c r="C213" i="108"/>
  <c r="C214" i="108"/>
  <c r="C215" i="108"/>
  <c r="C216" i="108"/>
  <c r="C217" i="108"/>
  <c r="C218" i="108"/>
  <c r="C219" i="108"/>
  <c r="C220" i="108"/>
  <c r="C204" i="108"/>
  <c r="C200" i="108"/>
  <c r="C145" i="108"/>
  <c r="C141" i="108"/>
  <c r="C137" i="108"/>
  <c r="C327" i="108"/>
  <c r="C268" i="108"/>
  <c r="C235" i="108"/>
  <c r="C206" i="108"/>
  <c r="C198" i="108"/>
  <c r="C139" i="108"/>
  <c r="C301" i="108"/>
  <c r="C297" i="108"/>
  <c r="C173" i="108"/>
  <c r="C169" i="108"/>
  <c r="C165" i="108"/>
  <c r="C164" i="108"/>
  <c r="C114" i="108"/>
  <c r="C115" i="108"/>
  <c r="C116" i="108"/>
  <c r="C117" i="108"/>
  <c r="C118" i="108"/>
  <c r="C119" i="108"/>
  <c r="C120" i="108"/>
  <c r="C121" i="108"/>
  <c r="C122" i="108"/>
  <c r="C123" i="108"/>
  <c r="C124" i="108"/>
  <c r="C125" i="108"/>
  <c r="C126" i="108"/>
  <c r="C106" i="108"/>
  <c r="C267" i="108"/>
  <c r="C238" i="108"/>
  <c r="C230" i="108"/>
  <c r="C201" i="108"/>
  <c r="C197" i="108"/>
  <c r="C196" i="108"/>
  <c r="C142" i="108"/>
  <c r="C138" i="108"/>
  <c r="C299" i="108"/>
  <c r="C295" i="108"/>
  <c r="C291" i="108"/>
  <c r="C290" i="108"/>
  <c r="C175" i="108"/>
  <c r="C171" i="108"/>
  <c r="C167" i="108"/>
  <c r="C112" i="108"/>
  <c r="C108" i="108"/>
  <c r="C104" i="108"/>
  <c r="C269" i="108"/>
  <c r="C265" i="108"/>
  <c r="C261" i="108"/>
  <c r="C260" i="108"/>
  <c r="C240" i="108"/>
  <c r="C241" i="108"/>
  <c r="C242" i="108"/>
  <c r="C243" i="108"/>
  <c r="C244" i="108"/>
  <c r="C245" i="108"/>
  <c r="C246" i="108"/>
  <c r="C247" i="108"/>
  <c r="C248" i="108"/>
  <c r="C249" i="108"/>
  <c r="C250" i="108"/>
  <c r="C251" i="108"/>
  <c r="C252" i="108"/>
  <c r="C236" i="108"/>
  <c r="C232" i="108"/>
  <c r="C207" i="108"/>
  <c r="C203" i="108"/>
  <c r="C199" i="108"/>
  <c r="C144" i="108"/>
  <c r="C140" i="108"/>
  <c r="C136" i="108"/>
  <c r="C302" i="108"/>
  <c r="C303" i="108"/>
  <c r="C304" i="108"/>
  <c r="C305" i="108"/>
  <c r="C306" i="108"/>
  <c r="C307" i="108"/>
  <c r="C308" i="108"/>
  <c r="C309" i="108"/>
  <c r="C310" i="108"/>
  <c r="C311" i="108"/>
  <c r="C312" i="108"/>
  <c r="C313" i="108"/>
  <c r="C314" i="108"/>
  <c r="C298" i="108"/>
  <c r="C294" i="108"/>
  <c r="C323" i="108"/>
  <c r="C322" i="108"/>
  <c r="C325" i="108"/>
  <c r="C329" i="108"/>
  <c r="C331" i="108"/>
  <c r="C333" i="108"/>
  <c r="C174" i="108"/>
  <c r="C170" i="108"/>
  <c r="C166" i="108"/>
  <c r="C111" i="108"/>
  <c r="C107" i="108"/>
  <c r="C103" i="108"/>
  <c r="C102" i="108"/>
  <c r="C272" i="108"/>
  <c r="C273" i="108"/>
  <c r="C274" i="108"/>
  <c r="C275" i="108"/>
  <c r="C276" i="108"/>
  <c r="C277" i="108"/>
  <c r="C278" i="108"/>
  <c r="C279" i="108"/>
  <c r="C280" i="108"/>
  <c r="C281" i="108"/>
  <c r="C282" i="108"/>
  <c r="C283" i="108"/>
  <c r="C284" i="108"/>
  <c r="C264" i="108"/>
  <c r="C239" i="108"/>
  <c r="C231" i="108"/>
  <c r="C202" i="108"/>
  <c r="C143" i="108"/>
  <c r="C135" i="108"/>
  <c r="C134" i="108"/>
  <c r="C293" i="108"/>
  <c r="C110" i="108"/>
  <c r="C271" i="108"/>
  <c r="C263" i="108"/>
  <c r="C234" i="108"/>
  <c r="C205" i="108"/>
  <c r="C146" i="108"/>
  <c r="C147" i="108"/>
  <c r="C148" i="108"/>
  <c r="C149" i="108"/>
  <c r="C150" i="108"/>
  <c r="C151" i="108"/>
  <c r="C152" i="108"/>
  <c r="C153" i="108"/>
  <c r="C154" i="108"/>
  <c r="C155" i="108"/>
  <c r="C156" i="108"/>
  <c r="C157" i="108"/>
  <c r="C158" i="108"/>
  <c r="C84" i="108"/>
  <c r="C85" i="108"/>
  <c r="C86" i="108"/>
  <c r="C87" i="108"/>
  <c r="C88" i="108"/>
  <c r="C89" i="108"/>
  <c r="C90" i="108"/>
  <c r="C91" i="108"/>
  <c r="C92" i="108"/>
  <c r="C93" i="108"/>
  <c r="C94" i="108"/>
  <c r="C95" i="108"/>
  <c r="C96" i="108"/>
  <c r="C80" i="108"/>
  <c r="C76" i="108"/>
  <c r="C78" i="108"/>
  <c r="C81" i="108"/>
  <c r="C73" i="108"/>
  <c r="C72" i="108"/>
  <c r="C83" i="108"/>
  <c r="C79" i="108"/>
  <c r="C75" i="108"/>
  <c r="C82" i="108"/>
  <c r="C74" i="108"/>
  <c r="C77" i="108"/>
  <c r="A106" i="1"/>
  <c r="A37" i="86"/>
  <c r="H37" i="86"/>
  <c r="A16" i="86"/>
  <c r="H21" i="86"/>
  <c r="H14" i="86"/>
  <c r="F15" i="47"/>
  <c r="F10" i="1"/>
  <c r="A10" i="1"/>
  <c r="L77" i="47"/>
  <c r="L9" i="47"/>
  <c r="A10" i="47"/>
  <c r="F10" i="47"/>
  <c r="E62" i="47"/>
  <c r="H62" i="47"/>
  <c r="L75" i="47"/>
  <c r="K1" i="108"/>
  <c r="M1" i="105"/>
  <c r="L58" i="1"/>
  <c r="J1" i="104"/>
  <c r="B64" i="83"/>
  <c r="B60" i="83"/>
  <c r="B67" i="83"/>
  <c r="B63" i="83"/>
  <c r="B56" i="83"/>
  <c r="B66" i="83"/>
  <c r="B62" i="83"/>
  <c r="B58" i="83"/>
  <c r="B61" i="83"/>
  <c r="B57" i="83"/>
  <c r="B59" i="83"/>
  <c r="B65" i="83"/>
  <c r="K26" i="83"/>
  <c r="D58" i="80"/>
  <c r="E25" i="83"/>
  <c r="E27" i="1"/>
  <c r="D39" i="80"/>
  <c r="E82" i="47"/>
  <c r="B118" i="80"/>
  <c r="B114" i="80"/>
  <c r="B110" i="80"/>
  <c r="B117" i="80"/>
  <c r="B109" i="80"/>
  <c r="B111" i="80"/>
  <c r="B107" i="80"/>
  <c r="B113" i="80"/>
  <c r="B116" i="80"/>
  <c r="B112" i="80"/>
  <c r="B108" i="80"/>
  <c r="B115" i="80"/>
  <c r="A78" i="1"/>
  <c r="E98" i="1"/>
  <c r="L105" i="1"/>
  <c r="A74" i="80"/>
  <c r="N74" i="80"/>
  <c r="N107" i="80"/>
  <c r="H78" i="1"/>
  <c r="L40" i="47"/>
  <c r="A41" i="47"/>
  <c r="F42" i="47"/>
  <c r="A59" i="1"/>
  <c r="L76" i="47"/>
  <c r="A26" i="71"/>
  <c r="K25" i="71"/>
  <c r="L39" i="47"/>
  <c r="A53" i="47"/>
  <c r="K62" i="47"/>
  <c r="L52" i="47"/>
  <c r="A39" i="71"/>
  <c r="K38" i="71"/>
  <c r="L9" i="1"/>
  <c r="A11" i="70"/>
  <c r="H10" i="70"/>
  <c r="E1" i="88"/>
  <c r="F1" i="91"/>
  <c r="E1" i="90"/>
  <c r="P1" i="84"/>
  <c r="J1" i="83"/>
  <c r="F57" i="83"/>
  <c r="G56" i="83"/>
  <c r="G55" i="83"/>
  <c r="C23" i="79"/>
  <c r="C19" i="79"/>
  <c r="C15" i="79"/>
  <c r="I1" i="79"/>
  <c r="C22" i="79"/>
  <c r="C18" i="79"/>
  <c r="C14" i="79"/>
  <c r="C48" i="79"/>
  <c r="C46" i="79"/>
  <c r="C44" i="79"/>
  <c r="C42" i="79"/>
  <c r="C40" i="79"/>
  <c r="C24" i="79"/>
  <c r="C16" i="79"/>
  <c r="C38" i="79"/>
  <c r="C37" i="79"/>
  <c r="C25" i="79"/>
  <c r="C17" i="79"/>
  <c r="M1" i="80"/>
  <c r="F108" i="80"/>
  <c r="G107" i="80"/>
  <c r="C49" i="79"/>
  <c r="C47" i="79"/>
  <c r="C45" i="79"/>
  <c r="C43" i="79"/>
  <c r="C41" i="79"/>
  <c r="C39" i="79"/>
  <c r="C20" i="79"/>
  <c r="C21" i="79"/>
  <c r="C13" i="79"/>
  <c r="K1" i="47"/>
  <c r="J1" i="71"/>
  <c r="G1" i="70"/>
  <c r="A10" i="71"/>
  <c r="K8" i="71"/>
  <c r="F30" i="71"/>
  <c r="F8" i="71"/>
  <c r="N11" i="80"/>
  <c r="A12" i="80"/>
  <c r="A75" i="80"/>
  <c r="A40" i="79"/>
  <c r="J39" i="79"/>
  <c r="N10" i="80"/>
  <c r="A16" i="79"/>
  <c r="J15" i="79"/>
  <c r="A109" i="80"/>
  <c r="N108" i="80"/>
  <c r="A31" i="80"/>
  <c r="A53" i="80"/>
  <c r="D77" i="80"/>
  <c r="K27" i="83"/>
  <c r="A34" i="83"/>
  <c r="A31" i="86"/>
  <c r="H30" i="86"/>
  <c r="A17" i="86"/>
  <c r="H17" i="86"/>
  <c r="H16" i="86"/>
  <c r="A45" i="86"/>
  <c r="H44" i="86"/>
  <c r="D13" i="90"/>
  <c r="A8" i="90"/>
  <c r="F7" i="90"/>
  <c r="C20" i="90"/>
  <c r="C17" i="90"/>
  <c r="F31" i="85"/>
  <c r="I30" i="71"/>
  <c r="G106" i="80"/>
  <c r="H107" i="80"/>
  <c r="L78" i="1"/>
  <c r="K96" i="1"/>
  <c r="F96" i="1"/>
  <c r="F76" i="47"/>
  <c r="K76" i="47"/>
  <c r="E87" i="47"/>
  <c r="H87" i="47"/>
  <c r="H117" i="1"/>
  <c r="E98" i="80"/>
  <c r="N94" i="80"/>
  <c r="I95" i="80"/>
  <c r="E86" i="47"/>
  <c r="H86" i="47"/>
  <c r="H116" i="1"/>
  <c r="M17" i="84"/>
  <c r="N14" i="84"/>
  <c r="M14" i="84"/>
  <c r="N24" i="84"/>
  <c r="M24" i="84"/>
  <c r="M16" i="84"/>
  <c r="N16" i="84"/>
  <c r="M23" i="84"/>
  <c r="N30" i="84"/>
  <c r="M30" i="84"/>
  <c r="M31" i="84"/>
  <c r="N28" i="84"/>
  <c r="M28" i="84"/>
  <c r="M25" i="84"/>
  <c r="N25" i="84"/>
  <c r="N20" i="84"/>
  <c r="M20" i="84"/>
  <c r="N19" i="84"/>
  <c r="M19" i="84"/>
  <c r="M22" i="84"/>
  <c r="M29" i="84"/>
  <c r="N29" i="84"/>
  <c r="N27" i="84"/>
  <c r="M27" i="84"/>
  <c r="M26" i="84"/>
  <c r="N26" i="84"/>
  <c r="I53" i="47"/>
  <c r="I62" i="47"/>
  <c r="J53" i="47"/>
  <c r="J62" i="47"/>
  <c r="A23" i="86"/>
  <c r="A24" i="86"/>
  <c r="A38" i="86"/>
  <c r="H38" i="86"/>
  <c r="A14" i="84"/>
  <c r="Q14" i="84"/>
  <c r="A81" i="1"/>
  <c r="F82" i="1"/>
  <c r="F44" i="47"/>
  <c r="E55" i="83"/>
  <c r="J55" i="83"/>
  <c r="E96" i="1"/>
  <c r="A36" i="83"/>
  <c r="K36" i="83"/>
  <c r="K34" i="83"/>
  <c r="E13" i="80"/>
  <c r="A13" i="80"/>
  <c r="N12" i="80"/>
  <c r="A13" i="1"/>
  <c r="L10" i="1"/>
  <c r="A46" i="86"/>
  <c r="H45" i="86"/>
  <c r="A32" i="86"/>
  <c r="H31" i="86"/>
  <c r="A77" i="80"/>
  <c r="N75" i="80"/>
  <c r="F62" i="47"/>
  <c r="A55" i="47"/>
  <c r="L53" i="47"/>
  <c r="F8" i="90"/>
  <c r="A9" i="90"/>
  <c r="H11" i="70"/>
  <c r="A12" i="70"/>
  <c r="L78" i="47"/>
  <c r="K39" i="71"/>
  <c r="A40" i="71"/>
  <c r="A54" i="80"/>
  <c r="N53" i="80"/>
  <c r="A110" i="80"/>
  <c r="N109" i="80"/>
  <c r="A41" i="79"/>
  <c r="J40" i="79"/>
  <c r="A11" i="71"/>
  <c r="K10" i="71"/>
  <c r="F12" i="71"/>
  <c r="A27" i="71"/>
  <c r="K26" i="71"/>
  <c r="L41" i="47"/>
  <c r="A42" i="47"/>
  <c r="A32" i="80"/>
  <c r="N31" i="80"/>
  <c r="A13" i="47"/>
  <c r="L10" i="47"/>
  <c r="A39" i="86"/>
  <c r="J16" i="79"/>
  <c r="A17" i="79"/>
  <c r="E10" i="71"/>
  <c r="E12" i="71"/>
  <c r="E14" i="71"/>
  <c r="E40" i="1"/>
  <c r="L59" i="1"/>
  <c r="A62" i="1"/>
  <c r="A15" i="84"/>
  <c r="H108" i="80"/>
  <c r="A82" i="1"/>
  <c r="K98" i="1"/>
  <c r="O28" i="84"/>
  <c r="O30" i="84"/>
  <c r="O14" i="84"/>
  <c r="L81" i="1"/>
  <c r="J87" i="47"/>
  <c r="O20" i="84"/>
  <c r="O29" i="84"/>
  <c r="O25" i="84"/>
  <c r="F80" i="47"/>
  <c r="K80" i="47"/>
  <c r="J86" i="47"/>
  <c r="I87" i="47"/>
  <c r="F64" i="47"/>
  <c r="I86" i="47"/>
  <c r="E12" i="80"/>
  <c r="O16" i="84"/>
  <c r="H96" i="1"/>
  <c r="O19" i="84"/>
  <c r="O24" i="84"/>
  <c r="O27" i="84"/>
  <c r="O26" i="84"/>
  <c r="H23" i="86"/>
  <c r="L106" i="1"/>
  <c r="A107" i="1"/>
  <c r="E27" i="47"/>
  <c r="A63" i="1"/>
  <c r="L62" i="1"/>
  <c r="A41" i="71"/>
  <c r="K40" i="71"/>
  <c r="A37" i="83"/>
  <c r="A25" i="86"/>
  <c r="H24" i="86"/>
  <c r="A33" i="86"/>
  <c r="H33" i="86"/>
  <c r="H32" i="86"/>
  <c r="H46" i="86"/>
  <c r="A47" i="86"/>
  <c r="L13" i="47"/>
  <c r="A14" i="47"/>
  <c r="A13" i="70"/>
  <c r="H12" i="70"/>
  <c r="L42" i="47"/>
  <c r="A44" i="47"/>
  <c r="A42" i="79"/>
  <c r="J41" i="79"/>
  <c r="A55" i="80"/>
  <c r="N54" i="80"/>
  <c r="L79" i="47"/>
  <c r="A57" i="47"/>
  <c r="K55" i="47"/>
  <c r="L55" i="47"/>
  <c r="A78" i="80"/>
  <c r="N77" i="80"/>
  <c r="H109" i="80"/>
  <c r="A111" i="80"/>
  <c r="N110" i="80"/>
  <c r="L13" i="1"/>
  <c r="A14" i="1"/>
  <c r="J17" i="79"/>
  <c r="A18" i="79"/>
  <c r="A16" i="84"/>
  <c r="Q15" i="84"/>
  <c r="A40" i="86"/>
  <c r="H39" i="86"/>
  <c r="A33" i="80"/>
  <c r="N32" i="80"/>
  <c r="A28" i="71"/>
  <c r="K27" i="71"/>
  <c r="A12" i="71"/>
  <c r="K11" i="71"/>
  <c r="A10" i="90"/>
  <c r="F9" i="90"/>
  <c r="A85" i="1"/>
  <c r="N13" i="80"/>
  <c r="A17" i="80"/>
  <c r="K64" i="47"/>
  <c r="L82" i="1"/>
  <c r="F98" i="1"/>
  <c r="H40" i="1"/>
  <c r="A46" i="47"/>
  <c r="K61" i="47"/>
  <c r="A98" i="80"/>
  <c r="N98" i="80"/>
  <c r="N95" i="80"/>
  <c r="A108" i="1"/>
  <c r="A109" i="1"/>
  <c r="K77" i="47"/>
  <c r="F77" i="47"/>
  <c r="L107" i="1"/>
  <c r="J40" i="1"/>
  <c r="I40" i="1"/>
  <c r="H40" i="86"/>
  <c r="A41" i="86"/>
  <c r="H41" i="86"/>
  <c r="A43" i="79"/>
  <c r="J42" i="79"/>
  <c r="A26" i="86"/>
  <c r="H25" i="86"/>
  <c r="K41" i="71"/>
  <c r="A42" i="71"/>
  <c r="A64" i="1"/>
  <c r="L63" i="1"/>
  <c r="L14" i="1"/>
  <c r="A15" i="1"/>
  <c r="A15" i="47"/>
  <c r="K16" i="47"/>
  <c r="L14" i="47"/>
  <c r="A14" i="71"/>
  <c r="K14" i="71"/>
  <c r="K12" i="71"/>
  <c r="F14" i="71"/>
  <c r="A34" i="80"/>
  <c r="N33" i="80"/>
  <c r="A17" i="84"/>
  <c r="Q16" i="84"/>
  <c r="A112" i="80"/>
  <c r="N111" i="80"/>
  <c r="H110" i="80"/>
  <c r="N78" i="80"/>
  <c r="A79" i="80"/>
  <c r="A60" i="47"/>
  <c r="F55" i="47"/>
  <c r="L57" i="47"/>
  <c r="A56" i="80"/>
  <c r="N55" i="80"/>
  <c r="F61" i="47"/>
  <c r="L44" i="47"/>
  <c r="F10" i="90"/>
  <c r="A12" i="90"/>
  <c r="A29" i="71"/>
  <c r="K28" i="71"/>
  <c r="A21" i="80"/>
  <c r="N21" i="80"/>
  <c r="N17" i="80"/>
  <c r="L85" i="1"/>
  <c r="A86" i="1"/>
  <c r="K87" i="1"/>
  <c r="A19" i="79"/>
  <c r="J18" i="79"/>
  <c r="I79" i="80"/>
  <c r="L80" i="47"/>
  <c r="H13" i="70"/>
  <c r="A14" i="70"/>
  <c r="A48" i="86"/>
  <c r="H47" i="86"/>
  <c r="A38" i="83"/>
  <c r="K37" i="83"/>
  <c r="L46" i="47"/>
  <c r="K78" i="47"/>
  <c r="F78" i="47"/>
  <c r="F87" i="1"/>
  <c r="K79" i="47"/>
  <c r="F79" i="47"/>
  <c r="F16" i="1"/>
  <c r="K16" i="1"/>
  <c r="L108" i="1"/>
  <c r="A20" i="79"/>
  <c r="J19" i="79"/>
  <c r="H111" i="80"/>
  <c r="A16" i="47"/>
  <c r="L15" i="47"/>
  <c r="F16" i="47"/>
  <c r="A61" i="47"/>
  <c r="L60" i="47"/>
  <c r="N34" i="80"/>
  <c r="A35" i="80"/>
  <c r="K42" i="71"/>
  <c r="F7" i="71"/>
  <c r="H26" i="86"/>
  <c r="A27" i="86"/>
  <c r="H27" i="86"/>
  <c r="A44" i="79"/>
  <c r="J43" i="79"/>
  <c r="K38" i="83"/>
  <c r="A39" i="83"/>
  <c r="K39" i="83"/>
  <c r="A15" i="70"/>
  <c r="H14" i="70"/>
  <c r="F12" i="90"/>
  <c r="A13" i="90"/>
  <c r="A58" i="80"/>
  <c r="N56" i="80"/>
  <c r="N79" i="80"/>
  <c r="E11" i="80"/>
  <c r="A82" i="80"/>
  <c r="N82" i="80"/>
  <c r="A65" i="1"/>
  <c r="L64" i="1"/>
  <c r="A30" i="71"/>
  <c r="K29" i="71"/>
  <c r="H48" i="86"/>
  <c r="A49" i="86"/>
  <c r="L81" i="47"/>
  <c r="L86" i="1"/>
  <c r="A87" i="1"/>
  <c r="A113" i="80"/>
  <c r="N112" i="80"/>
  <c r="Q17" i="84"/>
  <c r="A18" i="84"/>
  <c r="L15" i="1"/>
  <c r="A16" i="1"/>
  <c r="F63" i="47"/>
  <c r="K63" i="47"/>
  <c r="K97" i="1"/>
  <c r="F97" i="1"/>
  <c r="A110" i="1"/>
  <c r="L109" i="1"/>
  <c r="K30" i="71"/>
  <c r="F11" i="71"/>
  <c r="F10" i="71"/>
  <c r="F6" i="71"/>
  <c r="A19" i="84"/>
  <c r="Q18" i="84"/>
  <c r="F13" i="90"/>
  <c r="A14" i="90"/>
  <c r="L16" i="1"/>
  <c r="A19" i="1"/>
  <c r="A50" i="86"/>
  <c r="H49" i="86"/>
  <c r="A36" i="80"/>
  <c r="N35" i="80"/>
  <c r="H112" i="80"/>
  <c r="A114" i="80"/>
  <c r="N113" i="80"/>
  <c r="H15" i="70"/>
  <c r="A16" i="70"/>
  <c r="G16" i="70"/>
  <c r="L87" i="1"/>
  <c r="A89" i="1"/>
  <c r="A66" i="1"/>
  <c r="L65" i="1"/>
  <c r="A59" i="80"/>
  <c r="I60" i="80"/>
  <c r="N58" i="80"/>
  <c r="A45" i="79"/>
  <c r="J44" i="79"/>
  <c r="A62" i="47"/>
  <c r="L61" i="47"/>
  <c r="A19" i="47"/>
  <c r="L16" i="47"/>
  <c r="J20" i="79"/>
  <c r="A21" i="79"/>
  <c r="K110" i="1"/>
  <c r="F110" i="1"/>
  <c r="K67" i="1"/>
  <c r="F67" i="1"/>
  <c r="A111" i="1"/>
  <c r="L110" i="1"/>
  <c r="A115" i="80"/>
  <c r="N114" i="80"/>
  <c r="A20" i="1"/>
  <c r="A21" i="1"/>
  <c r="L19" i="1"/>
  <c r="A67" i="1"/>
  <c r="L66" i="1"/>
  <c r="H16" i="70"/>
  <c r="A19" i="70"/>
  <c r="H50" i="86"/>
  <c r="A51" i="86"/>
  <c r="A15" i="90"/>
  <c r="F14" i="90"/>
  <c r="A20" i="84"/>
  <c r="Q19" i="84"/>
  <c r="A20" i="47"/>
  <c r="A21" i="47"/>
  <c r="L19" i="47"/>
  <c r="A63" i="47"/>
  <c r="L62" i="47"/>
  <c r="A35" i="1"/>
  <c r="L34" i="1"/>
  <c r="H113" i="80"/>
  <c r="A37" i="80"/>
  <c r="N36" i="80"/>
  <c r="A22" i="79"/>
  <c r="J21" i="79"/>
  <c r="A46" i="79"/>
  <c r="J45" i="79"/>
  <c r="A60" i="80"/>
  <c r="N59" i="80"/>
  <c r="A91" i="1"/>
  <c r="L89" i="1"/>
  <c r="L82" i="47"/>
  <c r="F83" i="47"/>
  <c r="K21" i="47"/>
  <c r="A112" i="1"/>
  <c r="K81" i="47"/>
  <c r="F81" i="47"/>
  <c r="K21" i="1"/>
  <c r="K89" i="1"/>
  <c r="F89" i="1"/>
  <c r="F21" i="1"/>
  <c r="F21" i="47"/>
  <c r="L21" i="47"/>
  <c r="L21" i="1"/>
  <c r="L111" i="1"/>
  <c r="D17" i="90"/>
  <c r="F15" i="90"/>
  <c r="D20" i="90"/>
  <c r="A17" i="90"/>
  <c r="A69" i="1"/>
  <c r="L67" i="1"/>
  <c r="A39" i="80"/>
  <c r="N37" i="80"/>
  <c r="A64" i="47"/>
  <c r="L63" i="47"/>
  <c r="L20" i="1"/>
  <c r="A116" i="80"/>
  <c r="N115" i="80"/>
  <c r="E10" i="80"/>
  <c r="A63" i="80"/>
  <c r="N60" i="80"/>
  <c r="H114" i="80"/>
  <c r="A47" i="79"/>
  <c r="J46" i="79"/>
  <c r="A23" i="79"/>
  <c r="J22" i="79"/>
  <c r="Q20" i="84"/>
  <c r="A21" i="84"/>
  <c r="A52" i="86"/>
  <c r="H51" i="86"/>
  <c r="L83" i="47"/>
  <c r="A86" i="47"/>
  <c r="L91" i="1"/>
  <c r="A94" i="1"/>
  <c r="L35" i="1"/>
  <c r="A36" i="1"/>
  <c r="F41" i="47"/>
  <c r="L20" i="47"/>
  <c r="A20" i="70"/>
  <c r="H19" i="70"/>
  <c r="H36" i="1"/>
  <c r="I36" i="1"/>
  <c r="J36" i="1"/>
  <c r="E41" i="47"/>
  <c r="E47" i="1"/>
  <c r="H35" i="1"/>
  <c r="E46" i="1"/>
  <c r="J35" i="1"/>
  <c r="I35" i="1"/>
  <c r="H34" i="1"/>
  <c r="I34" i="1"/>
  <c r="J34" i="1"/>
  <c r="K70" i="1"/>
  <c r="F70" i="1"/>
  <c r="F82" i="47"/>
  <c r="K82" i="47"/>
  <c r="F113" i="1"/>
  <c r="K113" i="1"/>
  <c r="C31" i="90"/>
  <c r="C41" i="90" s="1"/>
  <c r="C43" i="90" s="1"/>
  <c r="E21" i="1"/>
  <c r="E10" i="1"/>
  <c r="E10" i="47"/>
  <c r="E21" i="47"/>
  <c r="E77" i="47"/>
  <c r="A22" i="84"/>
  <c r="Q21" i="84"/>
  <c r="A48" i="79"/>
  <c r="J47" i="79"/>
  <c r="L36" i="1"/>
  <c r="A39" i="1"/>
  <c r="A23" i="1"/>
  <c r="L64" i="47"/>
  <c r="L69" i="1"/>
  <c r="A70" i="1"/>
  <c r="F17" i="90"/>
  <c r="A20" i="90"/>
  <c r="E76" i="47"/>
  <c r="L94" i="1"/>
  <c r="A95" i="1"/>
  <c r="L86" i="47"/>
  <c r="A87" i="47"/>
  <c r="K88" i="47"/>
  <c r="A24" i="79"/>
  <c r="J23" i="79"/>
  <c r="N63" i="80"/>
  <c r="H20" i="70"/>
  <c r="A21" i="70"/>
  <c r="A23" i="47"/>
  <c r="A53" i="86"/>
  <c r="H52" i="86"/>
  <c r="H115" i="80"/>
  <c r="A117" i="80"/>
  <c r="N116" i="80"/>
  <c r="C29" i="90"/>
  <c r="G54" i="79" s="1"/>
  <c r="N39" i="80"/>
  <c r="E44" i="80"/>
  <c r="A40" i="80"/>
  <c r="H41" i="47"/>
  <c r="I41" i="47"/>
  <c r="J41" i="47"/>
  <c r="E40" i="47"/>
  <c r="I46" i="1"/>
  <c r="E50" i="1"/>
  <c r="H46" i="1"/>
  <c r="J46" i="1"/>
  <c r="J47" i="1"/>
  <c r="H47" i="1"/>
  <c r="I47" i="1"/>
  <c r="C12" i="125"/>
  <c r="F72" i="1"/>
  <c r="K72" i="1"/>
  <c r="A24" i="47"/>
  <c r="K25" i="47"/>
  <c r="A24" i="1"/>
  <c r="A113" i="1"/>
  <c r="L112" i="1"/>
  <c r="A22" i="70"/>
  <c r="H21" i="70"/>
  <c r="L95" i="1"/>
  <c r="A96" i="1"/>
  <c r="G78" i="80"/>
  <c r="G79" i="80" s="1"/>
  <c r="G94" i="80"/>
  <c r="G95" i="80" s="1"/>
  <c r="G59" i="80"/>
  <c r="G60" i="80" s="1"/>
  <c r="H116" i="80"/>
  <c r="J24" i="79"/>
  <c r="A25" i="79"/>
  <c r="L70" i="1"/>
  <c r="A72" i="1"/>
  <c r="A118" i="80"/>
  <c r="N117" i="80"/>
  <c r="A54" i="86"/>
  <c r="H53" i="86"/>
  <c r="L23" i="47"/>
  <c r="L87" i="47"/>
  <c r="A88" i="47"/>
  <c r="K90" i="47"/>
  <c r="F88" i="47"/>
  <c r="A40" i="1"/>
  <c r="A42" i="1"/>
  <c r="L39" i="1"/>
  <c r="F45" i="1"/>
  <c r="A41" i="80"/>
  <c r="N40" i="80"/>
  <c r="C33" i="90"/>
  <c r="G40" i="80" s="1"/>
  <c r="G41" i="80" s="1"/>
  <c r="N65" i="80"/>
  <c r="N64" i="80"/>
  <c r="A49" i="79"/>
  <c r="J48" i="79"/>
  <c r="I41" i="80"/>
  <c r="A21" i="90"/>
  <c r="F20" i="90"/>
  <c r="L23" i="1"/>
  <c r="A23" i="84"/>
  <c r="Q22" i="84"/>
  <c r="H40" i="47"/>
  <c r="E44" i="47"/>
  <c r="J40" i="47"/>
  <c r="J44" i="47"/>
  <c r="J61" i="47"/>
  <c r="I40" i="47"/>
  <c r="I44" i="47"/>
  <c r="I61" i="47"/>
  <c r="I50" i="1"/>
  <c r="I95" i="1"/>
  <c r="E95" i="1"/>
  <c r="H50" i="1"/>
  <c r="J50" i="1"/>
  <c r="J95" i="1"/>
  <c r="K109" i="1"/>
  <c r="F109" i="1"/>
  <c r="A25" i="47"/>
  <c r="L24" i="47"/>
  <c r="F25" i="47"/>
  <c r="A25" i="1"/>
  <c r="L24" i="1"/>
  <c r="A45" i="1"/>
  <c r="F39" i="47"/>
  <c r="F47" i="1"/>
  <c r="K25" i="1"/>
  <c r="F25" i="1"/>
  <c r="A116" i="1"/>
  <c r="F86" i="47"/>
  <c r="L113" i="1"/>
  <c r="N41" i="80"/>
  <c r="E9" i="80"/>
  <c r="A44" i="80"/>
  <c r="N44" i="80"/>
  <c r="H117" i="80"/>
  <c r="H118" i="80"/>
  <c r="A24" i="84"/>
  <c r="Q23" i="84"/>
  <c r="L88" i="47"/>
  <c r="A90" i="47"/>
  <c r="F90" i="47"/>
  <c r="H54" i="86"/>
  <c r="A55" i="86"/>
  <c r="A119" i="80"/>
  <c r="N118" i="80"/>
  <c r="J25" i="79"/>
  <c r="A26" i="79"/>
  <c r="J26" i="79"/>
  <c r="A54" i="79"/>
  <c r="J49" i="79"/>
  <c r="C59" i="79"/>
  <c r="C56" i="79"/>
  <c r="L40" i="1"/>
  <c r="F46" i="1"/>
  <c r="D24" i="90"/>
  <c r="D23" i="90"/>
  <c r="F21" i="90"/>
  <c r="A23" i="90"/>
  <c r="L72" i="1"/>
  <c r="L96" i="1"/>
  <c r="A97" i="1"/>
  <c r="H22" i="70"/>
  <c r="A23" i="70"/>
  <c r="H95" i="1"/>
  <c r="H44" i="47"/>
  <c r="E61" i="47"/>
  <c r="H61" i="47"/>
  <c r="A26" i="47"/>
  <c r="L25" i="47"/>
  <c r="A26" i="1"/>
  <c r="A27" i="1"/>
  <c r="F29" i="1"/>
  <c r="L25" i="1"/>
  <c r="D45" i="138"/>
  <c r="E110" i="136"/>
  <c r="E110" i="137"/>
  <c r="A117" i="1"/>
  <c r="F87" i="47"/>
  <c r="L116" i="1"/>
  <c r="A120" i="80"/>
  <c r="N119" i="80"/>
  <c r="L90" i="47"/>
  <c r="A56" i="86"/>
  <c r="H55" i="86"/>
  <c r="J54" i="79"/>
  <c r="A56" i="79"/>
  <c r="C57" i="79"/>
  <c r="A24" i="70"/>
  <c r="H23" i="70"/>
  <c r="G24" i="70"/>
  <c r="L97" i="1"/>
  <c r="A98" i="1"/>
  <c r="F23" i="90"/>
  <c r="A24" i="90"/>
  <c r="A27" i="47"/>
  <c r="F29" i="47"/>
  <c r="L26" i="47"/>
  <c r="Q24" i="84"/>
  <c r="A25" i="84"/>
  <c r="L26" i="1"/>
  <c r="K29" i="47"/>
  <c r="K118" i="1"/>
  <c r="F118" i="1"/>
  <c r="K29" i="1"/>
  <c r="E96" i="136"/>
  <c r="D33" i="138"/>
  <c r="E96" i="137"/>
  <c r="A118" i="1"/>
  <c r="L117" i="1"/>
  <c r="A26" i="84"/>
  <c r="Q25" i="84"/>
  <c r="L98" i="1"/>
  <c r="A26" i="70"/>
  <c r="H26" i="70"/>
  <c r="H24" i="70"/>
  <c r="G26" i="70"/>
  <c r="A57" i="79"/>
  <c r="J56" i="79"/>
  <c r="N120" i="80"/>
  <c r="E21" i="80"/>
  <c r="L42" i="1"/>
  <c r="A29" i="47"/>
  <c r="L27" i="47"/>
  <c r="A27" i="90"/>
  <c r="F24" i="90"/>
  <c r="H56" i="86"/>
  <c r="A57" i="86"/>
  <c r="A29" i="1"/>
  <c r="L27" i="1"/>
  <c r="A120" i="1"/>
  <c r="F120" i="1"/>
  <c r="K120" i="1"/>
  <c r="F46" i="47"/>
  <c r="F60" i="47"/>
  <c r="K60" i="47"/>
  <c r="K46" i="47"/>
  <c r="K94" i="1"/>
  <c r="F94" i="1"/>
  <c r="D31" i="90"/>
  <c r="L118" i="1"/>
  <c r="L29" i="47"/>
  <c r="L29" i="1"/>
  <c r="A58" i="86"/>
  <c r="H57" i="86"/>
  <c r="F27" i="90"/>
  <c r="A28" i="90"/>
  <c r="D29" i="90"/>
  <c r="J57" i="79"/>
  <c r="A59" i="79"/>
  <c r="A27" i="84"/>
  <c r="Q26" i="84"/>
  <c r="L120" i="1"/>
  <c r="Q27" i="84"/>
  <c r="A28" i="84"/>
  <c r="A60" i="79"/>
  <c r="J60" i="79"/>
  <c r="J59" i="79"/>
  <c r="C60" i="79"/>
  <c r="A29" i="90"/>
  <c r="F28" i="90"/>
  <c r="H58" i="86"/>
  <c r="A59" i="86"/>
  <c r="L45" i="1"/>
  <c r="A46" i="1"/>
  <c r="F40" i="47"/>
  <c r="L46" i="1"/>
  <c r="A47" i="1"/>
  <c r="A29" i="84"/>
  <c r="Q28" i="84"/>
  <c r="A31" i="90"/>
  <c r="F29" i="90"/>
  <c r="D36" i="90"/>
  <c r="A60" i="86"/>
  <c r="H59" i="86"/>
  <c r="L47" i="1"/>
  <c r="A48" i="1"/>
  <c r="F48" i="1"/>
  <c r="F31" i="90"/>
  <c r="A32" i="90"/>
  <c r="D33" i="90"/>
  <c r="A30" i="84"/>
  <c r="Q29" i="84"/>
  <c r="A61" i="86"/>
  <c r="H60" i="86"/>
  <c r="F50" i="1"/>
  <c r="F52" i="1"/>
  <c r="K52" i="1"/>
  <c r="A31" i="84"/>
  <c r="Q30" i="84"/>
  <c r="A33" i="90"/>
  <c r="A36" i="90"/>
  <c r="F32" i="90"/>
  <c r="A62" i="86"/>
  <c r="H61" i="86"/>
  <c r="L48" i="1"/>
  <c r="A50" i="1"/>
  <c r="A52" i="1"/>
  <c r="K95" i="1"/>
  <c r="F95" i="1"/>
  <c r="L50" i="1"/>
  <c r="H62" i="86"/>
  <c r="A63" i="86"/>
  <c r="H63" i="86"/>
  <c r="F33" i="90"/>
  <c r="Q31" i="84"/>
  <c r="K108" i="1"/>
  <c r="F108" i="1"/>
  <c r="L52" i="1"/>
  <c r="F36" i="90"/>
  <c r="A39" i="90"/>
  <c r="A40" i="90"/>
  <c r="F39" i="90"/>
  <c r="A41" i="90"/>
  <c r="F40" i="90"/>
  <c r="F41" i="90"/>
  <c r="A42" i="90"/>
  <c r="A43" i="90"/>
  <c r="F43" i="90"/>
  <c r="F42" i="90"/>
  <c r="H67" i="83"/>
  <c r="H57" i="83"/>
  <c r="H56" i="83"/>
  <c r="H58" i="83"/>
  <c r="H59" i="83"/>
  <c r="H60" i="83"/>
  <c r="H61" i="83"/>
  <c r="H62" i="83"/>
  <c r="H63" i="83"/>
  <c r="H64" i="83"/>
  <c r="H66" i="83"/>
  <c r="H65" i="83"/>
  <c r="D200" i="108"/>
  <c r="F200" i="108"/>
  <c r="D201" i="108"/>
  <c r="F201" i="108"/>
  <c r="D198" i="108"/>
  <c r="F198" i="108"/>
  <c r="D199" i="108"/>
  <c r="F199" i="108"/>
  <c r="D197" i="108"/>
  <c r="F197" i="108"/>
  <c r="G197" i="108" s="1"/>
  <c r="D323" i="108"/>
  <c r="F323" i="108"/>
  <c r="G323" i="108" s="1"/>
  <c r="D327" i="108"/>
  <c r="F327" i="108"/>
  <c r="D324" i="108"/>
  <c r="F324" i="108"/>
  <c r="D326" i="108"/>
  <c r="F326" i="108"/>
  <c r="D325" i="108"/>
  <c r="F325" i="108"/>
  <c r="D233" i="108"/>
  <c r="F233" i="108"/>
  <c r="D231" i="108"/>
  <c r="F231" i="108"/>
  <c r="D232" i="108"/>
  <c r="F232" i="108"/>
  <c r="D229" i="108"/>
  <c r="F229" i="108"/>
  <c r="G229" i="108" s="1"/>
  <c r="D230" i="108"/>
  <c r="F230" i="108"/>
  <c r="D137" i="108"/>
  <c r="F137" i="108"/>
  <c r="D139" i="108"/>
  <c r="F139" i="108"/>
  <c r="D136" i="108"/>
  <c r="F136" i="108"/>
  <c r="D135" i="108"/>
  <c r="F135" i="108"/>
  <c r="G135" i="108" s="1"/>
  <c r="D138" i="108"/>
  <c r="F138" i="108"/>
  <c r="D262" i="108"/>
  <c r="F262" i="108"/>
  <c r="D265" i="108"/>
  <c r="F265" i="108"/>
  <c r="D263" i="108"/>
  <c r="F263" i="108"/>
  <c r="D264" i="108"/>
  <c r="F264" i="108"/>
  <c r="D261" i="108"/>
  <c r="F261" i="108"/>
  <c r="G261" i="108" s="1"/>
  <c r="G262" i="108" s="1"/>
  <c r="D77" i="108"/>
  <c r="F77" i="108"/>
  <c r="D76" i="108"/>
  <c r="F76" i="108"/>
  <c r="D75" i="108"/>
  <c r="F75" i="108"/>
  <c r="D74" i="108"/>
  <c r="F74" i="108"/>
  <c r="D73" i="108"/>
  <c r="F73" i="108"/>
  <c r="G73" i="108" s="1"/>
  <c r="K51" i="85"/>
  <c r="K59" i="85"/>
  <c r="K63" i="85"/>
  <c r="K56" i="85"/>
  <c r="K53" i="85"/>
  <c r="K57" i="85"/>
  <c r="K61" i="85"/>
  <c r="K55" i="85"/>
  <c r="K52" i="85"/>
  <c r="K60" i="85"/>
  <c r="K50" i="85"/>
  <c r="K54" i="85"/>
  <c r="K58" i="85"/>
  <c r="K62" i="85"/>
  <c r="D295" i="108"/>
  <c r="F295" i="108"/>
  <c r="D292" i="108"/>
  <c r="F292" i="108"/>
  <c r="D291" i="108"/>
  <c r="F291" i="108"/>
  <c r="G291" i="108" s="1"/>
  <c r="D294" i="108"/>
  <c r="F294" i="108"/>
  <c r="D293" i="108"/>
  <c r="F293" i="108"/>
  <c r="D104" i="108"/>
  <c r="F104" i="108"/>
  <c r="D103" i="108"/>
  <c r="F103" i="108"/>
  <c r="G103" i="108" s="1"/>
  <c r="D105" i="108"/>
  <c r="F105" i="108"/>
  <c r="D107" i="108"/>
  <c r="F107" i="108"/>
  <c r="D106" i="108"/>
  <c r="F106" i="108"/>
  <c r="D167" i="108"/>
  <c r="F167" i="108"/>
  <c r="D165" i="108"/>
  <c r="F165" i="108"/>
  <c r="G165" i="108" s="1"/>
  <c r="D166" i="108"/>
  <c r="F166" i="108"/>
  <c r="D169" i="108"/>
  <c r="F169" i="108"/>
  <c r="D168" i="108"/>
  <c r="F168" i="108"/>
  <c r="I229" i="108"/>
  <c r="J229" i="108" s="1"/>
  <c r="I324" i="108"/>
  <c r="I323" i="108"/>
  <c r="J323" i="108" s="1"/>
  <c r="I197" i="108"/>
  <c r="J197" i="108" s="1"/>
  <c r="I136" i="108"/>
  <c r="I135" i="108"/>
  <c r="J135" i="108" s="1"/>
  <c r="I263" i="108"/>
  <c r="I261" i="108"/>
  <c r="J261" i="108" s="1"/>
  <c r="I74" i="108"/>
  <c r="I73" i="108"/>
  <c r="J73" i="108" s="1"/>
  <c r="K64" i="85"/>
  <c r="I230" i="108"/>
  <c r="I75" i="108"/>
  <c r="I325" i="108"/>
  <c r="I165" i="108"/>
  <c r="J165" i="108" s="1"/>
  <c r="I103" i="108"/>
  <c r="J103" i="108" s="1"/>
  <c r="I105" i="108"/>
  <c r="I291" i="108"/>
  <c r="J291" i="108" s="1"/>
  <c r="I199" i="108"/>
  <c r="I198" i="108"/>
  <c r="I231" i="108"/>
  <c r="I262" i="108"/>
  <c r="I166" i="108"/>
  <c r="I200" i="108"/>
  <c r="I104" i="108"/>
  <c r="I293" i="108"/>
  <c r="I167" i="108"/>
  <c r="I292" i="108"/>
  <c r="I264" i="108"/>
  <c r="I137" i="108"/>
  <c r="I76" i="108"/>
  <c r="I326" i="108"/>
  <c r="I106" i="108"/>
  <c r="I327" i="108"/>
  <c r="I232" i="108"/>
  <c r="I201" i="108"/>
  <c r="I233" i="108"/>
  <c r="I77" i="108"/>
  <c r="I265" i="108"/>
  <c r="I138" i="108"/>
  <c r="I168" i="108"/>
  <c r="I294" i="108"/>
  <c r="I169" i="108"/>
  <c r="I107" i="108"/>
  <c r="I295" i="108"/>
  <c r="I139" i="108"/>
  <c r="I23" i="85" l="1"/>
  <c r="K23" i="85"/>
  <c r="F27" i="85" s="1"/>
  <c r="F30" i="85" s="1"/>
  <c r="F32" i="85" s="1"/>
  <c r="F26" i="70"/>
  <c r="E39" i="1" s="1"/>
  <c r="J39" i="1" s="1"/>
  <c r="L21" i="84"/>
  <c r="C24" i="90"/>
  <c r="C23" i="90"/>
  <c r="N15" i="84"/>
  <c r="O15" i="84" s="1"/>
  <c r="M21" i="84"/>
  <c r="L11" i="84"/>
  <c r="I54" i="79"/>
  <c r="E101" i="136"/>
  <c r="F101" i="136" s="1"/>
  <c r="H59" i="80"/>
  <c r="H60" i="80" s="1"/>
  <c r="D38" i="138"/>
  <c r="E38" i="138" s="1"/>
  <c r="F38" i="138" s="1"/>
  <c r="C36" i="90"/>
  <c r="H54" i="79" s="1"/>
  <c r="H57" i="79" s="1"/>
  <c r="E39" i="141"/>
  <c r="H78" i="80"/>
  <c r="H79" i="80" s="1"/>
  <c r="D79" i="80" s="1"/>
  <c r="D11" i="80" s="1"/>
  <c r="E101" i="137"/>
  <c r="F101" i="137" s="1"/>
  <c r="E102" i="137"/>
  <c r="F102" i="137" s="1"/>
  <c r="G102" i="137" s="1"/>
  <c r="H94" i="80"/>
  <c r="H95" i="80" s="1"/>
  <c r="D95" i="80" s="1"/>
  <c r="D12" i="80" s="1"/>
  <c r="E102" i="136"/>
  <c r="F102" i="136" s="1"/>
  <c r="G102" i="136" s="1"/>
  <c r="E115" i="136"/>
  <c r="F115" i="136" s="1"/>
  <c r="D50" i="138"/>
  <c r="E50" i="138" s="1"/>
  <c r="F50" i="138" s="1"/>
  <c r="E115" i="137"/>
  <c r="F115" i="137" s="1"/>
  <c r="F33" i="85"/>
  <c r="F34" i="85" s="1"/>
  <c r="E116" i="136"/>
  <c r="F116" i="136" s="1"/>
  <c r="G116" i="136" s="1"/>
  <c r="J69" i="1"/>
  <c r="D60" i="80"/>
  <c r="D10" i="80" s="1"/>
  <c r="E69" i="1"/>
  <c r="K35" i="105"/>
  <c r="K37" i="105"/>
  <c r="D26" i="105"/>
  <c r="F40" i="105" s="1"/>
  <c r="E40" i="105" s="1"/>
  <c r="C40" i="105" s="1"/>
  <c r="C30" i="106"/>
  <c r="BD116" i="139"/>
  <c r="BF118" i="139"/>
  <c r="BF116" i="139" s="1"/>
  <c r="BF19" i="139" s="1"/>
  <c r="AT22" i="139"/>
  <c r="BF109" i="139"/>
  <c r="BF108" i="139" s="1"/>
  <c r="BF15" i="139" s="1"/>
  <c r="BF98" i="139"/>
  <c r="BD14" i="139"/>
  <c r="BB16" i="139"/>
  <c r="BB22" i="139" s="1"/>
  <c r="BD99" i="139"/>
  <c r="BF99" i="139" s="1"/>
  <c r="AZ34" i="139"/>
  <c r="AZ13" i="139" s="1"/>
  <c r="BD34" i="139"/>
  <c r="BD13" i="139"/>
  <c r="AZ16" i="139"/>
  <c r="AZ22" i="139" s="1"/>
  <c r="E85" i="1"/>
  <c r="E87" i="1" s="1"/>
  <c r="E63" i="47" s="1"/>
  <c r="BF35" i="139"/>
  <c r="BF34" i="139" s="1"/>
  <c r="BF13" i="139" s="1"/>
  <c r="BD25" i="139"/>
  <c r="BF26" i="139"/>
  <c r="BF25" i="139" s="1"/>
  <c r="BF12" i="139" s="1"/>
  <c r="AX25" i="139"/>
  <c r="AX12" i="139" s="1"/>
  <c r="C48" i="90"/>
  <c r="F36" i="85" s="1"/>
  <c r="F39" i="85" s="1"/>
  <c r="G57" i="79"/>
  <c r="G60" i="79"/>
  <c r="H60" i="79"/>
  <c r="I58" i="1"/>
  <c r="E58" i="1"/>
  <c r="J58" i="1"/>
  <c r="G324" i="108"/>
  <c r="G325" i="108" s="1"/>
  <c r="G326" i="108" s="1"/>
  <c r="G327" i="108" s="1"/>
  <c r="F42" i="85"/>
  <c r="F43" i="85" s="1"/>
  <c r="I76" i="47"/>
  <c r="D26" i="138"/>
  <c r="I4" i="47"/>
  <c r="M18" i="84"/>
  <c r="M13" i="84"/>
  <c r="AC42" i="136"/>
  <c r="D73" i="137"/>
  <c r="AC73" i="137" s="1"/>
  <c r="D68" i="136"/>
  <c r="D15" i="138"/>
  <c r="D69" i="137"/>
  <c r="AC69" i="137" s="1"/>
  <c r="E70" i="137"/>
  <c r="AC70" i="137" s="1"/>
  <c r="D66" i="136"/>
  <c r="D75" i="137"/>
  <c r="AC75" i="137" s="1"/>
  <c r="J19" i="1" s="1"/>
  <c r="F61" i="135"/>
  <c r="F75" i="135" s="1"/>
  <c r="F85" i="135" s="1"/>
  <c r="D64" i="136"/>
  <c r="AC64" i="136" s="1"/>
  <c r="E71" i="136"/>
  <c r="D71" i="136"/>
  <c r="AC71" i="136" s="1"/>
  <c r="AC45" i="137"/>
  <c r="AC45" i="136"/>
  <c r="D74" i="136"/>
  <c r="E68" i="137"/>
  <c r="AC68" i="137" s="1"/>
  <c r="D67" i="137"/>
  <c r="M12" i="84"/>
  <c r="D75" i="136"/>
  <c r="E66" i="136"/>
  <c r="D71" i="137"/>
  <c r="AC71" i="137" s="1"/>
  <c r="D66" i="137"/>
  <c r="AC66" i="137" s="1"/>
  <c r="D72" i="136"/>
  <c r="AC72" i="136" s="1"/>
  <c r="E63" i="136"/>
  <c r="E88" i="137"/>
  <c r="AC41" i="136"/>
  <c r="AC46" i="137"/>
  <c r="AC46" i="136"/>
  <c r="D43" i="137"/>
  <c r="AC43" i="137" s="1"/>
  <c r="D38" i="137"/>
  <c r="D49" i="136"/>
  <c r="AC49" i="136" s="1"/>
  <c r="E49" i="136"/>
  <c r="E38" i="136"/>
  <c r="E47" i="137"/>
  <c r="E51" i="137" s="1"/>
  <c r="E40" i="136"/>
  <c r="AC40" i="136" s="1"/>
  <c r="D47" i="137"/>
  <c r="AC47" i="137" s="1"/>
  <c r="D43" i="136"/>
  <c r="D51" i="136" s="1"/>
  <c r="E43" i="136"/>
  <c r="D47" i="136"/>
  <c r="AC47" i="136" s="1"/>
  <c r="AC63" i="136"/>
  <c r="E88" i="136"/>
  <c r="E87" i="136"/>
  <c r="E65" i="137"/>
  <c r="AC65" i="137" s="1"/>
  <c r="E72" i="137"/>
  <c r="AC72" i="137" s="1"/>
  <c r="E68" i="136"/>
  <c r="E64" i="137"/>
  <c r="E76" i="137" s="1"/>
  <c r="E75" i="136"/>
  <c r="E74" i="136"/>
  <c r="E73" i="136"/>
  <c r="AC73" i="136" s="1"/>
  <c r="E69" i="136"/>
  <c r="AC69" i="136" s="1"/>
  <c r="D64" i="137"/>
  <c r="D70" i="136"/>
  <c r="AC70" i="136" s="1"/>
  <c r="E67" i="136"/>
  <c r="D67" i="136"/>
  <c r="AC67" i="136" s="1"/>
  <c r="D65" i="136"/>
  <c r="AC65" i="136" s="1"/>
  <c r="E67" i="137"/>
  <c r="E15" i="138"/>
  <c r="I4" i="1"/>
  <c r="K51" i="137"/>
  <c r="K76" i="137"/>
  <c r="C24" i="105"/>
  <c r="F26" i="105"/>
  <c r="H37" i="105" s="1"/>
  <c r="E37" i="105" s="1"/>
  <c r="C37" i="105" s="1"/>
  <c r="F24" i="105"/>
  <c r="F35" i="105"/>
  <c r="F36" i="105"/>
  <c r="D24" i="105"/>
  <c r="C18" i="106"/>
  <c r="C37" i="106" s="1"/>
  <c r="C41" i="108"/>
  <c r="J166" i="108"/>
  <c r="J167" i="108" s="1"/>
  <c r="J168" i="108" s="1"/>
  <c r="J169" i="108" s="1"/>
  <c r="J198" i="108"/>
  <c r="J199" i="108" s="1"/>
  <c r="J200" i="108" s="1"/>
  <c r="J201" i="108" s="1"/>
  <c r="G74" i="108"/>
  <c r="G75" i="108" s="1"/>
  <c r="G76" i="108" s="1"/>
  <c r="G292" i="108"/>
  <c r="G293" i="108" s="1"/>
  <c r="G294" i="108" s="1"/>
  <c r="G295" i="108" s="1"/>
  <c r="G230" i="108"/>
  <c r="G231" i="108" s="1"/>
  <c r="G232" i="108" s="1"/>
  <c r="J262" i="108"/>
  <c r="J263" i="108" s="1"/>
  <c r="J264" i="108" s="1"/>
  <c r="J265" i="108" s="1"/>
  <c r="G104" i="108"/>
  <c r="G105" i="108" s="1"/>
  <c r="G106" i="108" s="1"/>
  <c r="K103" i="108"/>
  <c r="G136" i="108"/>
  <c r="G137" i="108" s="1"/>
  <c r="G138" i="108" s="1"/>
  <c r="G139" i="108" s="1"/>
  <c r="K261" i="108"/>
  <c r="K291" i="108"/>
  <c r="J104" i="108"/>
  <c r="J105" i="108" s="1"/>
  <c r="J106" i="108" s="1"/>
  <c r="J107" i="108" s="1"/>
  <c r="J230" i="108"/>
  <c r="J74" i="108"/>
  <c r="K73" i="108"/>
  <c r="K229" i="108"/>
  <c r="J136" i="108"/>
  <c r="K135" i="108"/>
  <c r="J292" i="108"/>
  <c r="J324" i="108"/>
  <c r="K323" i="108"/>
  <c r="G263" i="108"/>
  <c r="K197" i="108"/>
  <c r="G198" i="108"/>
  <c r="G166" i="108"/>
  <c r="K165" i="108"/>
  <c r="I111" i="1"/>
  <c r="E81" i="47"/>
  <c r="F45" i="85" l="1"/>
  <c r="E105" i="1" s="1"/>
  <c r="I105" i="1" s="1"/>
  <c r="H39" i="1"/>
  <c r="E45" i="1"/>
  <c r="I39" i="1"/>
  <c r="H45" i="1"/>
  <c r="J45" i="1"/>
  <c r="E39" i="47"/>
  <c r="E48" i="1"/>
  <c r="I45" i="1"/>
  <c r="E116" i="137"/>
  <c r="F116" i="137" s="1"/>
  <c r="G116" i="137" s="1"/>
  <c r="I69" i="1"/>
  <c r="H40" i="80"/>
  <c r="H41" i="80" s="1"/>
  <c r="D41" i="80" s="1"/>
  <c r="D9" i="80" s="1"/>
  <c r="D13" i="80" s="1"/>
  <c r="D112" i="80" s="1"/>
  <c r="I112" i="80" s="1"/>
  <c r="G101" i="136"/>
  <c r="G103" i="136" s="1"/>
  <c r="F103" i="136"/>
  <c r="D129" i="136"/>
  <c r="I9" i="1" s="1"/>
  <c r="I10" i="1" s="1"/>
  <c r="D129" i="137"/>
  <c r="I20" i="1" s="1"/>
  <c r="I21" i="1" s="1"/>
  <c r="G115" i="137"/>
  <c r="G117" i="137" s="1"/>
  <c r="D39" i="141"/>
  <c r="D40" i="141" s="1"/>
  <c r="D19" i="141" s="1"/>
  <c r="E13" i="141" s="1"/>
  <c r="E26" i="1" s="1"/>
  <c r="I26" i="1" s="1"/>
  <c r="E40" i="141"/>
  <c r="E19" i="141" s="1"/>
  <c r="E12" i="141" s="1"/>
  <c r="E26" i="47" s="1"/>
  <c r="I26" i="47" s="1"/>
  <c r="I60" i="79"/>
  <c r="F60" i="79" s="1"/>
  <c r="E14" i="1" s="1"/>
  <c r="I14" i="1" s="1"/>
  <c r="I57" i="79"/>
  <c r="G115" i="136"/>
  <c r="G117" i="136" s="1"/>
  <c r="F117" i="136"/>
  <c r="H69" i="1"/>
  <c r="E70" i="1"/>
  <c r="F103" i="137"/>
  <c r="G101" i="137"/>
  <c r="D5" i="84"/>
  <c r="E104" i="1"/>
  <c r="E74" i="47" s="1"/>
  <c r="F38" i="105"/>
  <c r="F39" i="105"/>
  <c r="E39" i="105" s="1"/>
  <c r="C39" i="105" s="1"/>
  <c r="F41" i="105"/>
  <c r="E41" i="105" s="1"/>
  <c r="C41" i="105" s="1"/>
  <c r="E97" i="1"/>
  <c r="BD94" i="139"/>
  <c r="BF94" i="139"/>
  <c r="BF14" i="139" s="1"/>
  <c r="BF16" i="139" s="1"/>
  <c r="BF22" i="139" s="1"/>
  <c r="BD12" i="139"/>
  <c r="BD16" i="139" s="1"/>
  <c r="BD22" i="139" s="1"/>
  <c r="C47" i="83" s="1"/>
  <c r="AX16" i="139"/>
  <c r="AX22" i="139" s="1"/>
  <c r="H35" i="105"/>
  <c r="F57" i="79"/>
  <c r="E14" i="47" s="1"/>
  <c r="I14" i="47" s="1"/>
  <c r="E75" i="47"/>
  <c r="I75" i="47" s="1"/>
  <c r="E59" i="1"/>
  <c r="H58" i="1"/>
  <c r="AC64" i="137"/>
  <c r="M11" i="84"/>
  <c r="C61" i="138"/>
  <c r="I107" i="1" s="1"/>
  <c r="E89" i="137"/>
  <c r="I65" i="1"/>
  <c r="I13" i="1"/>
  <c r="I57" i="1"/>
  <c r="I81" i="1"/>
  <c r="I85" i="1"/>
  <c r="I112" i="1"/>
  <c r="I66" i="1"/>
  <c r="I64" i="1"/>
  <c r="I62" i="1"/>
  <c r="I27" i="1"/>
  <c r="I86" i="1"/>
  <c r="I63" i="1"/>
  <c r="E89" i="136"/>
  <c r="E76" i="136"/>
  <c r="AC67" i="137"/>
  <c r="J4" i="47"/>
  <c r="F88" i="137"/>
  <c r="E26" i="138"/>
  <c r="F87" i="136"/>
  <c r="F87" i="137"/>
  <c r="H101" i="136"/>
  <c r="H115" i="137"/>
  <c r="N23" i="84"/>
  <c r="O23" i="84" s="1"/>
  <c r="N31" i="84"/>
  <c r="O31" i="84" s="1"/>
  <c r="N22" i="84"/>
  <c r="O22" i="84" s="1"/>
  <c r="N21" i="84"/>
  <c r="O21" i="84" s="1"/>
  <c r="H115" i="136"/>
  <c r="G50" i="138"/>
  <c r="H102" i="137"/>
  <c r="H102" i="136"/>
  <c r="J4" i="1"/>
  <c r="F88" i="136"/>
  <c r="N17" i="84"/>
  <c r="O17" i="84" s="1"/>
  <c r="N12" i="84"/>
  <c r="O12" i="84" s="1"/>
  <c r="N13" i="84"/>
  <c r="H116" i="137"/>
  <c r="G38" i="138"/>
  <c r="H116" i="136"/>
  <c r="H101" i="137"/>
  <c r="N18" i="84"/>
  <c r="O13" i="84"/>
  <c r="D51" i="137"/>
  <c r="AC38" i="137"/>
  <c r="AC51" i="137" s="1"/>
  <c r="I19" i="47" s="1"/>
  <c r="AC15" i="138"/>
  <c r="J106" i="1" s="1"/>
  <c r="O18" i="84"/>
  <c r="D76" i="137"/>
  <c r="D76" i="136"/>
  <c r="AC43" i="136"/>
  <c r="AC38" i="136"/>
  <c r="AC51" i="136" s="1"/>
  <c r="I8" i="47" s="1"/>
  <c r="E51" i="136"/>
  <c r="AC75" i="136"/>
  <c r="J8" i="1" s="1"/>
  <c r="AC74" i="136"/>
  <c r="AC66" i="136"/>
  <c r="AC76" i="136" s="1"/>
  <c r="J8" i="47" s="1"/>
  <c r="AC68" i="136"/>
  <c r="I13" i="47"/>
  <c r="I27" i="47"/>
  <c r="H19" i="1"/>
  <c r="H36" i="105"/>
  <c r="K262" i="108"/>
  <c r="E36" i="105"/>
  <c r="C36" i="105" s="1"/>
  <c r="E35" i="105"/>
  <c r="C35" i="105" s="1"/>
  <c r="E38" i="105"/>
  <c r="C38" i="105" s="1"/>
  <c r="C11" i="108" s="1"/>
  <c r="C25" i="106" s="1"/>
  <c r="K292" i="108"/>
  <c r="K104" i="108"/>
  <c r="K105" i="108"/>
  <c r="J75" i="108"/>
  <c r="K74" i="108"/>
  <c r="K230" i="108"/>
  <c r="J231" i="108"/>
  <c r="G233" i="108"/>
  <c r="G107" i="108"/>
  <c r="K107" i="108" s="1"/>
  <c r="K106" i="108"/>
  <c r="J293" i="108"/>
  <c r="I81" i="47"/>
  <c r="K166" i="108"/>
  <c r="G167" i="108"/>
  <c r="G264" i="108"/>
  <c r="K263" i="108"/>
  <c r="K198" i="108"/>
  <c r="G199" i="108"/>
  <c r="G77" i="108"/>
  <c r="J325" i="108"/>
  <c r="K324" i="108"/>
  <c r="K136" i="108"/>
  <c r="J137" i="108"/>
  <c r="E23" i="1" l="1"/>
  <c r="I23" i="1" s="1"/>
  <c r="D114" i="80"/>
  <c r="I114" i="80" s="1"/>
  <c r="D118" i="80"/>
  <c r="I118" i="80" s="1"/>
  <c r="D113" i="80"/>
  <c r="I113" i="80" s="1"/>
  <c r="D110" i="80"/>
  <c r="I110" i="80" s="1"/>
  <c r="D117" i="80"/>
  <c r="I117" i="80" s="1"/>
  <c r="D116" i="80"/>
  <c r="I116" i="80" s="1"/>
  <c r="D111" i="80"/>
  <c r="I111" i="80" s="1"/>
  <c r="D109" i="80"/>
  <c r="I109" i="80" s="1"/>
  <c r="H48" i="1"/>
  <c r="J48" i="1"/>
  <c r="I48" i="1"/>
  <c r="E42" i="47"/>
  <c r="H42" i="47" s="1"/>
  <c r="H39" i="47"/>
  <c r="I39" i="47"/>
  <c r="I42" i="47" s="1"/>
  <c r="J39" i="47"/>
  <c r="J42" i="47" s="1"/>
  <c r="D107" i="80"/>
  <c r="I107" i="80" s="1"/>
  <c r="J107" i="80" s="1"/>
  <c r="E119" i="80"/>
  <c r="D115" i="80"/>
  <c r="I115" i="80" s="1"/>
  <c r="E72" i="1"/>
  <c r="E109" i="1" s="1"/>
  <c r="E79" i="47" s="1"/>
  <c r="F117" i="137"/>
  <c r="D108" i="80"/>
  <c r="I108" i="80" s="1"/>
  <c r="D128" i="136"/>
  <c r="D130" i="136" s="1"/>
  <c r="I9" i="47" s="1"/>
  <c r="D128" i="137"/>
  <c r="D130" i="137" s="1"/>
  <c r="I20" i="47" s="1"/>
  <c r="I21" i="47" s="1"/>
  <c r="G103" i="137"/>
  <c r="E15" i="1"/>
  <c r="J15" i="1" s="1"/>
  <c r="E15" i="47"/>
  <c r="I15" i="47" s="1"/>
  <c r="I16" i="47" s="1"/>
  <c r="D66" i="83"/>
  <c r="I66" i="83" s="1"/>
  <c r="D62" i="83"/>
  <c r="I62" i="83" s="1"/>
  <c r="D60" i="83"/>
  <c r="I60" i="83" s="1"/>
  <c r="D67" i="83"/>
  <c r="I67" i="83" s="1"/>
  <c r="D65" i="83"/>
  <c r="I65" i="83" s="1"/>
  <c r="D56" i="83"/>
  <c r="D63" i="83"/>
  <c r="I63" i="83" s="1"/>
  <c r="D59" i="83"/>
  <c r="I59" i="83" s="1"/>
  <c r="D64" i="83"/>
  <c r="I64" i="83" s="1"/>
  <c r="E68" i="83"/>
  <c r="D58" i="83"/>
  <c r="I58" i="83" s="1"/>
  <c r="E24" i="1"/>
  <c r="D61" i="83"/>
  <c r="I61" i="83" s="1"/>
  <c r="D57" i="83"/>
  <c r="I57" i="83" s="1"/>
  <c r="H8" i="47"/>
  <c r="I10" i="47"/>
  <c r="H103" i="136"/>
  <c r="E129" i="137"/>
  <c r="J20" i="1" s="1"/>
  <c r="I82" i="1"/>
  <c r="H13" i="47"/>
  <c r="E129" i="136"/>
  <c r="J9" i="1" s="1"/>
  <c r="H9" i="1" s="1"/>
  <c r="F89" i="137"/>
  <c r="E128" i="137"/>
  <c r="J27" i="47"/>
  <c r="H27" i="47" s="1"/>
  <c r="J13" i="47"/>
  <c r="J75" i="47"/>
  <c r="H75" i="47" s="1"/>
  <c r="J14" i="47"/>
  <c r="H14" i="47" s="1"/>
  <c r="J26" i="47"/>
  <c r="H26" i="47" s="1"/>
  <c r="I67" i="1"/>
  <c r="H112" i="1"/>
  <c r="I82" i="47"/>
  <c r="I59" i="1"/>
  <c r="I77" i="47"/>
  <c r="H8" i="1"/>
  <c r="J76" i="47"/>
  <c r="H76" i="47" s="1"/>
  <c r="H106" i="1"/>
  <c r="H103" i="137"/>
  <c r="J81" i="1"/>
  <c r="J82" i="1" s="1"/>
  <c r="J57" i="1"/>
  <c r="J59" i="1" s="1"/>
  <c r="J27" i="1"/>
  <c r="H27" i="1" s="1"/>
  <c r="J65" i="1"/>
  <c r="J66" i="1"/>
  <c r="J86" i="1"/>
  <c r="J112" i="1"/>
  <c r="J82" i="47" s="1"/>
  <c r="J14" i="1"/>
  <c r="H14" i="1" s="1"/>
  <c r="J62" i="1"/>
  <c r="J67" i="1" s="1"/>
  <c r="J70" i="1" s="1"/>
  <c r="J63" i="1"/>
  <c r="H63" i="1" s="1"/>
  <c r="J64" i="1"/>
  <c r="J85" i="1"/>
  <c r="J87" i="1" s="1"/>
  <c r="J13" i="1"/>
  <c r="J105" i="1"/>
  <c r="H105" i="1" s="1"/>
  <c r="J26" i="1"/>
  <c r="H26" i="1" s="1"/>
  <c r="J111" i="1"/>
  <c r="H117" i="136"/>
  <c r="F89" i="136"/>
  <c r="E128" i="136"/>
  <c r="H64" i="1"/>
  <c r="H13" i="1"/>
  <c r="N11" i="84"/>
  <c r="H117" i="137"/>
  <c r="D61" i="138"/>
  <c r="J107" i="1" s="1"/>
  <c r="J77" i="47" s="1"/>
  <c r="H86" i="1"/>
  <c r="H66" i="1"/>
  <c r="I87" i="1"/>
  <c r="H85" i="1"/>
  <c r="H65" i="1"/>
  <c r="I104" i="1"/>
  <c r="I74" i="47"/>
  <c r="E5" i="84"/>
  <c r="AC76" i="137"/>
  <c r="J19" i="47" s="1"/>
  <c r="I8" i="108"/>
  <c r="H13" i="106" s="1"/>
  <c r="D8" i="108"/>
  <c r="E8" i="108"/>
  <c r="D13" i="106" s="1"/>
  <c r="F8" i="108"/>
  <c r="E13" i="106" s="1"/>
  <c r="H8" i="108"/>
  <c r="G13" i="106" s="1"/>
  <c r="G8" i="108"/>
  <c r="F13" i="106" s="1"/>
  <c r="C8" i="108"/>
  <c r="C13" i="106" s="1"/>
  <c r="D11" i="108"/>
  <c r="E11" i="108"/>
  <c r="D25" i="106" s="1"/>
  <c r="J232" i="108"/>
  <c r="K231" i="108"/>
  <c r="K75" i="108"/>
  <c r="J76" i="108"/>
  <c r="K199" i="108"/>
  <c r="G200" i="108"/>
  <c r="J326" i="108"/>
  <c r="K325" i="108"/>
  <c r="K293" i="108"/>
  <c r="J294" i="108"/>
  <c r="K137" i="108"/>
  <c r="J138" i="108"/>
  <c r="K167" i="108"/>
  <c r="G168" i="108"/>
  <c r="K264" i="108"/>
  <c r="G265" i="108"/>
  <c r="K265" i="108" s="1"/>
  <c r="J23" i="1" l="1"/>
  <c r="J108" i="80"/>
  <c r="J109" i="80" s="1"/>
  <c r="J110" i="80" s="1"/>
  <c r="J111" i="80" s="1"/>
  <c r="J112" i="80" s="1"/>
  <c r="J113" i="80" s="1"/>
  <c r="J114" i="80" s="1"/>
  <c r="J115" i="80" s="1"/>
  <c r="J116" i="80" s="1"/>
  <c r="J117" i="80" s="1"/>
  <c r="J118" i="80" s="1"/>
  <c r="J120" i="80" s="1"/>
  <c r="D21" i="80" s="1"/>
  <c r="E23" i="47" s="1"/>
  <c r="I23" i="47" s="1"/>
  <c r="H23" i="47" s="1"/>
  <c r="E107" i="80"/>
  <c r="E108" i="80" s="1"/>
  <c r="E109" i="80" s="1"/>
  <c r="E110" i="80" s="1"/>
  <c r="E111" i="80" s="1"/>
  <c r="E112" i="80" s="1"/>
  <c r="E113" i="80" s="1"/>
  <c r="E114" i="80" s="1"/>
  <c r="E115" i="80" s="1"/>
  <c r="E116" i="80" s="1"/>
  <c r="E117" i="80" s="1"/>
  <c r="E118" i="80" s="1"/>
  <c r="J15" i="47"/>
  <c r="H15" i="47" s="1"/>
  <c r="E130" i="136"/>
  <c r="J9" i="47" s="1"/>
  <c r="J10" i="47" s="1"/>
  <c r="J23" i="47"/>
  <c r="J10" i="1"/>
  <c r="H10" i="1" s="1"/>
  <c r="E16" i="47"/>
  <c r="E16" i="1"/>
  <c r="I15" i="1"/>
  <c r="I16" i="1" s="1"/>
  <c r="E130" i="137"/>
  <c r="J20" i="47" s="1"/>
  <c r="H20" i="47" s="1"/>
  <c r="I56" i="83"/>
  <c r="J56" i="83" s="1"/>
  <c r="J57" i="83" s="1"/>
  <c r="J58" i="83" s="1"/>
  <c r="J59" i="83" s="1"/>
  <c r="J60" i="83" s="1"/>
  <c r="J61" i="83" s="1"/>
  <c r="J62" i="83" s="1"/>
  <c r="J63" i="83" s="1"/>
  <c r="J64" i="83" s="1"/>
  <c r="J65" i="83" s="1"/>
  <c r="J66" i="83" s="1"/>
  <c r="J67" i="83" s="1"/>
  <c r="J69" i="83" s="1"/>
  <c r="C48" i="83" s="1"/>
  <c r="E24" i="47" s="1"/>
  <c r="E56" i="83"/>
  <c r="E57" i="83" s="1"/>
  <c r="E58" i="83" s="1"/>
  <c r="E59" i="83" s="1"/>
  <c r="E60" i="83" s="1"/>
  <c r="E61" i="83" s="1"/>
  <c r="E62" i="83" s="1"/>
  <c r="E63" i="83" s="1"/>
  <c r="E64" i="83" s="1"/>
  <c r="E65" i="83" s="1"/>
  <c r="E66" i="83" s="1"/>
  <c r="E67" i="83" s="1"/>
  <c r="E25" i="1"/>
  <c r="I24" i="1"/>
  <c r="J24" i="1"/>
  <c r="J25" i="1" s="1"/>
  <c r="J72" i="1"/>
  <c r="J109" i="1" s="1"/>
  <c r="J79" i="47" s="1"/>
  <c r="H23" i="1"/>
  <c r="H87" i="1"/>
  <c r="I97" i="1"/>
  <c r="I63" i="47"/>
  <c r="J81" i="47"/>
  <c r="H111" i="1"/>
  <c r="J16" i="1"/>
  <c r="H107" i="1"/>
  <c r="H82" i="47"/>
  <c r="H81" i="1"/>
  <c r="H77" i="47"/>
  <c r="I98" i="1"/>
  <c r="I64" i="47"/>
  <c r="H82" i="1"/>
  <c r="H9" i="47"/>
  <c r="H19" i="47"/>
  <c r="J74" i="47"/>
  <c r="H74" i="47" s="1"/>
  <c r="J104" i="1"/>
  <c r="F5" i="84"/>
  <c r="J63" i="47"/>
  <c r="J97" i="1"/>
  <c r="J64" i="47"/>
  <c r="J98" i="1"/>
  <c r="H59" i="1"/>
  <c r="I70" i="1"/>
  <c r="H67" i="1"/>
  <c r="J21" i="1"/>
  <c r="H21" i="1" s="1"/>
  <c r="H20" i="1"/>
  <c r="O11" i="84"/>
  <c r="G5" i="84" s="1"/>
  <c r="H57" i="1"/>
  <c r="H62" i="1"/>
  <c r="J16" i="47"/>
  <c r="H16" i="47" s="1"/>
  <c r="H10" i="47"/>
  <c r="J233" i="108"/>
  <c r="K233" i="108" s="1"/>
  <c r="K232" i="108"/>
  <c r="J77" i="108"/>
  <c r="K77" i="108" s="1"/>
  <c r="K76" i="108"/>
  <c r="K168" i="108"/>
  <c r="G169" i="108"/>
  <c r="K169" i="108" s="1"/>
  <c r="K326" i="108"/>
  <c r="J327" i="108"/>
  <c r="K327" i="108" s="1"/>
  <c r="K294" i="108"/>
  <c r="J295" i="108"/>
  <c r="K295" i="108" s="1"/>
  <c r="K200" i="108"/>
  <c r="G201" i="108"/>
  <c r="K201" i="108" s="1"/>
  <c r="J139" i="108"/>
  <c r="K139" i="108" s="1"/>
  <c r="K138" i="108"/>
  <c r="J21" i="47" l="1"/>
  <c r="H21" i="47" s="1"/>
  <c r="H15" i="1"/>
  <c r="H16" i="1"/>
  <c r="E29" i="1"/>
  <c r="E52" i="1" s="1"/>
  <c r="E108" i="1" s="1"/>
  <c r="I25" i="1"/>
  <c r="H24" i="1"/>
  <c r="I24" i="47"/>
  <c r="E25" i="47"/>
  <c r="E29" i="47" s="1"/>
  <c r="J24" i="47"/>
  <c r="J25" i="47" s="1"/>
  <c r="J29" i="47" s="1"/>
  <c r="J29" i="1"/>
  <c r="J94" i="1" s="1"/>
  <c r="H63" i="47"/>
  <c r="I72" i="1"/>
  <c r="H70" i="1"/>
  <c r="H97" i="1"/>
  <c r="H64" i="47"/>
  <c r="H98" i="1"/>
  <c r="H104" i="1"/>
  <c r="H81" i="47"/>
  <c r="E94" i="1" l="1"/>
  <c r="E89" i="1" s="1"/>
  <c r="E110" i="1" s="1"/>
  <c r="C13" i="125" s="1"/>
  <c r="C14" i="125" s="1"/>
  <c r="E46" i="47"/>
  <c r="E78" i="47" s="1"/>
  <c r="E60" i="47"/>
  <c r="E55" i="47" s="1"/>
  <c r="E80" i="47" s="1"/>
  <c r="H24" i="47"/>
  <c r="I25" i="47"/>
  <c r="I29" i="47" s="1"/>
  <c r="I29" i="1"/>
  <c r="H29" i="1" s="1"/>
  <c r="H25" i="1"/>
  <c r="J52" i="1"/>
  <c r="J89" i="1"/>
  <c r="J110" i="1" s="1"/>
  <c r="H72" i="1"/>
  <c r="I109" i="1"/>
  <c r="J60" i="47"/>
  <c r="J55" i="47" s="1"/>
  <c r="J80" i="47" s="1"/>
  <c r="J46" i="47"/>
  <c r="J78" i="47" s="1"/>
  <c r="E113" i="1" l="1"/>
  <c r="E118" i="1" s="1"/>
  <c r="E120" i="1" s="1"/>
  <c r="C9" i="125" s="1"/>
  <c r="C15" i="125" s="1"/>
  <c r="C16" i="125" s="1"/>
  <c r="C17" i="125" s="1"/>
  <c r="C5" i="125" s="1"/>
  <c r="I60" i="47"/>
  <c r="I55" i="47" s="1"/>
  <c r="I80" i="47" s="1"/>
  <c r="H80" i="47" s="1"/>
  <c r="I46" i="47"/>
  <c r="I78" i="47" s="1"/>
  <c r="H78" i="47" s="1"/>
  <c r="E83" i="47"/>
  <c r="E88" i="47" s="1"/>
  <c r="E90" i="47" s="1"/>
  <c r="H25" i="47"/>
  <c r="I94" i="1"/>
  <c r="I52" i="1"/>
  <c r="I108" i="1" s="1"/>
  <c r="H29" i="47"/>
  <c r="J108" i="1"/>
  <c r="J83" i="47"/>
  <c r="J88" i="47" s="1"/>
  <c r="J90" i="47" s="1"/>
  <c r="C29" i="108" s="1"/>
  <c r="I79" i="47"/>
  <c r="H79" i="47" s="1"/>
  <c r="H109" i="1"/>
  <c r="H46" i="47"/>
  <c r="H55" i="47" l="1"/>
  <c r="H60" i="47"/>
  <c r="I89" i="1"/>
  <c r="H94" i="1"/>
  <c r="H52" i="1"/>
  <c r="H108" i="1"/>
  <c r="J113" i="1"/>
  <c r="I83" i="47"/>
  <c r="I88" i="47" s="1"/>
  <c r="D32" i="108"/>
  <c r="D34" i="108" s="1"/>
  <c r="D45" i="108" s="1"/>
  <c r="E32" i="108"/>
  <c r="E34" i="108" s="1"/>
  <c r="E45" i="108" s="1"/>
  <c r="C32" i="108"/>
  <c r="C34" i="108" s="1"/>
  <c r="C45" i="108" s="1"/>
  <c r="H83" i="47" l="1"/>
  <c r="H89" i="1"/>
  <c r="I110" i="1"/>
  <c r="J118" i="1"/>
  <c r="H88" i="47"/>
  <c r="I90" i="47"/>
  <c r="H110" i="1" l="1"/>
  <c r="I113" i="1"/>
  <c r="J120" i="1"/>
  <c r="C22" i="106" s="1"/>
  <c r="C17" i="108"/>
  <c r="H90" i="47"/>
  <c r="I118" i="1" l="1"/>
  <c r="H113" i="1"/>
  <c r="D26" i="106"/>
  <c r="C26" i="106"/>
  <c r="G23" i="108"/>
  <c r="D23" i="108"/>
  <c r="E23" i="108"/>
  <c r="C23" i="108"/>
  <c r="I23" i="108"/>
  <c r="I26" i="108" s="1"/>
  <c r="I40" i="108" s="1"/>
  <c r="H23" i="108"/>
  <c r="F23" i="108"/>
  <c r="I120" i="1" l="1"/>
  <c r="C7" i="106" s="1"/>
  <c r="H118" i="1"/>
  <c r="H120" i="1" s="1"/>
  <c r="F24" i="108"/>
  <c r="F26" i="108" s="1"/>
  <c r="F40" i="108" s="1"/>
  <c r="F42" i="108" s="1"/>
  <c r="D235" i="108" s="1"/>
  <c r="F235" i="108" s="1"/>
  <c r="C24" i="108"/>
  <c r="C26" i="108" s="1"/>
  <c r="C40" i="108" s="1"/>
  <c r="C42" i="108" s="1"/>
  <c r="E24" i="108"/>
  <c r="E26" i="108" s="1"/>
  <c r="E40" i="108" s="1"/>
  <c r="E42" i="108" s="1"/>
  <c r="H24" i="108"/>
  <c r="H26" i="108" s="1"/>
  <c r="H40" i="108" s="1"/>
  <c r="H42" i="108" s="1"/>
  <c r="D24" i="108"/>
  <c r="D26" i="108" s="1"/>
  <c r="D40" i="108" s="1"/>
  <c r="D42" i="108" s="1"/>
  <c r="G24" i="108"/>
  <c r="G26" i="108" s="1"/>
  <c r="G40" i="108" s="1"/>
  <c r="G42" i="108" s="1"/>
  <c r="D234" i="108" l="1"/>
  <c r="F234" i="108" s="1"/>
  <c r="I234" i="108" s="1"/>
  <c r="J234" i="108" s="1"/>
  <c r="D236" i="108"/>
  <c r="F236" i="108" s="1"/>
  <c r="D237" i="108"/>
  <c r="F237" i="108" s="1"/>
  <c r="D240" i="108"/>
  <c r="F240" i="108" s="1"/>
  <c r="D239" i="108"/>
  <c r="F239" i="108" s="1"/>
  <c r="D238" i="108"/>
  <c r="F238" i="108" s="1"/>
  <c r="F14" i="106"/>
  <c r="H14" i="106"/>
  <c r="H17" i="106" s="1"/>
  <c r="G14" i="106"/>
  <c r="C14" i="106"/>
  <c r="E14" i="106"/>
  <c r="D14" i="106"/>
  <c r="E46" i="108"/>
  <c r="E47" i="108" s="1"/>
  <c r="E49" i="108" s="1"/>
  <c r="D272" i="108"/>
  <c r="F272" i="108" s="1"/>
  <c r="D268" i="108"/>
  <c r="F268" i="108" s="1"/>
  <c r="D267" i="108"/>
  <c r="F267" i="108" s="1"/>
  <c r="D266" i="108"/>
  <c r="F266" i="108" s="1"/>
  <c r="D269" i="108"/>
  <c r="F269" i="108" s="1"/>
  <c r="D270" i="108"/>
  <c r="F270" i="108" s="1"/>
  <c r="D271" i="108"/>
  <c r="F271" i="108" s="1"/>
  <c r="D46" i="108"/>
  <c r="D47" i="108" s="1"/>
  <c r="D49" i="108" s="1"/>
  <c r="D144" i="108"/>
  <c r="F144" i="108" s="1"/>
  <c r="D143" i="108"/>
  <c r="F143" i="108" s="1"/>
  <c r="D142" i="108"/>
  <c r="F142" i="108" s="1"/>
  <c r="D141" i="108"/>
  <c r="F141" i="108" s="1"/>
  <c r="D146" i="108"/>
  <c r="F146" i="108" s="1"/>
  <c r="D145" i="108"/>
  <c r="F145" i="108" s="1"/>
  <c r="D140" i="108"/>
  <c r="F140" i="108" s="1"/>
  <c r="D331" i="108"/>
  <c r="F331" i="108" s="1"/>
  <c r="D328" i="108"/>
  <c r="F328" i="108" s="1"/>
  <c r="D332" i="108"/>
  <c r="F332" i="108" s="1"/>
  <c r="D333" i="108"/>
  <c r="F333" i="108" s="1"/>
  <c r="D334" i="108"/>
  <c r="F334" i="108" s="1"/>
  <c r="D330" i="108"/>
  <c r="F330" i="108" s="1"/>
  <c r="D329" i="108"/>
  <c r="F329" i="108" s="1"/>
  <c r="D208" i="108"/>
  <c r="F208" i="108" s="1"/>
  <c r="D202" i="108"/>
  <c r="F202" i="108" s="1"/>
  <c r="D205" i="108"/>
  <c r="F205" i="108" s="1"/>
  <c r="D207" i="108"/>
  <c r="F207" i="108" s="1"/>
  <c r="D203" i="108"/>
  <c r="F203" i="108" s="1"/>
  <c r="D204" i="108"/>
  <c r="F204" i="108" s="1"/>
  <c r="D206" i="108"/>
  <c r="F206" i="108" s="1"/>
  <c r="C46" i="108"/>
  <c r="C47" i="108" s="1"/>
  <c r="C49" i="108" s="1"/>
  <c r="D83" i="108"/>
  <c r="F83" i="108" s="1"/>
  <c r="D80" i="108"/>
  <c r="F80" i="108" s="1"/>
  <c r="D84" i="108"/>
  <c r="F84" i="108" s="1"/>
  <c r="D81" i="108"/>
  <c r="F81" i="108" s="1"/>
  <c r="D79" i="108"/>
  <c r="F79" i="108" s="1"/>
  <c r="D78" i="108"/>
  <c r="F78" i="108" s="1"/>
  <c r="D82" i="108"/>
  <c r="F82" i="108" s="1"/>
  <c r="G234" i="108" l="1"/>
  <c r="G235" i="108" s="1"/>
  <c r="G236" i="108" s="1"/>
  <c r="E15" i="106"/>
  <c r="D15" i="106"/>
  <c r="C15" i="106"/>
  <c r="C36" i="106"/>
  <c r="C38" i="106" s="1"/>
  <c r="G15" i="106"/>
  <c r="F15" i="106"/>
  <c r="I236" i="108"/>
  <c r="G328" i="108"/>
  <c r="G329" i="108" s="1"/>
  <c r="G330" i="108" s="1"/>
  <c r="I328" i="108"/>
  <c r="J328" i="108" s="1"/>
  <c r="G78" i="108"/>
  <c r="I78" i="108"/>
  <c r="J78" i="108" s="1"/>
  <c r="D172" i="108"/>
  <c r="F172" i="108" s="1"/>
  <c r="D170" i="108"/>
  <c r="F170" i="108" s="1"/>
  <c r="D173" i="108"/>
  <c r="F173" i="108" s="1"/>
  <c r="D175" i="108"/>
  <c r="F175" i="108" s="1"/>
  <c r="D174" i="108"/>
  <c r="F174" i="108" s="1"/>
  <c r="D176" i="108"/>
  <c r="F176" i="108" s="1"/>
  <c r="D171" i="108"/>
  <c r="F171" i="108" s="1"/>
  <c r="I202" i="108"/>
  <c r="J202" i="108" s="1"/>
  <c r="G202" i="108"/>
  <c r="I140" i="108"/>
  <c r="J140" i="108" s="1"/>
  <c r="G140" i="108"/>
  <c r="D112" i="108"/>
  <c r="F112" i="108" s="1"/>
  <c r="D111" i="108"/>
  <c r="F111" i="108" s="1"/>
  <c r="D114" i="108"/>
  <c r="F114" i="108" s="1"/>
  <c r="D108" i="108"/>
  <c r="F108" i="108" s="1"/>
  <c r="D109" i="108"/>
  <c r="F109" i="108" s="1"/>
  <c r="D113" i="108"/>
  <c r="F113" i="108" s="1"/>
  <c r="D110" i="108"/>
  <c r="F110" i="108" s="1"/>
  <c r="G266" i="108"/>
  <c r="I266" i="108"/>
  <c r="J266" i="108" s="1"/>
  <c r="D297" i="108"/>
  <c r="F297" i="108" s="1"/>
  <c r="D299" i="108"/>
  <c r="F299" i="108" s="1"/>
  <c r="D300" i="108"/>
  <c r="F300" i="108" s="1"/>
  <c r="D301" i="108"/>
  <c r="F301" i="108" s="1"/>
  <c r="D296" i="108"/>
  <c r="F296" i="108" s="1"/>
  <c r="D298" i="108"/>
  <c r="F298" i="108" s="1"/>
  <c r="D302" i="108"/>
  <c r="F302" i="108" s="1"/>
  <c r="K234" i="108" l="1"/>
  <c r="I235" i="108"/>
  <c r="J235" i="108" s="1"/>
  <c r="K235" i="108" s="1"/>
  <c r="I79" i="108"/>
  <c r="J79" i="108" s="1"/>
  <c r="I329" i="108"/>
  <c r="J329" i="108" s="1"/>
  <c r="K329" i="108" s="1"/>
  <c r="I203" i="108"/>
  <c r="J203" i="108" s="1"/>
  <c r="I141" i="108"/>
  <c r="J141" i="108" s="1"/>
  <c r="K266" i="108"/>
  <c r="G331" i="108"/>
  <c r="I331" i="108"/>
  <c r="G108" i="108"/>
  <c r="G109" i="108" s="1"/>
  <c r="I108" i="108"/>
  <c r="J108" i="108" s="1"/>
  <c r="K140" i="108"/>
  <c r="I267" i="108"/>
  <c r="J267" i="108" s="1"/>
  <c r="G203" i="108"/>
  <c r="K202" i="108"/>
  <c r="G141" i="108"/>
  <c r="G79" i="108"/>
  <c r="K78" i="108"/>
  <c r="K328" i="108"/>
  <c r="I296" i="108"/>
  <c r="J296" i="108" s="1"/>
  <c r="G296" i="108"/>
  <c r="G297" i="108" s="1"/>
  <c r="G170" i="108"/>
  <c r="G171" i="108" s="1"/>
  <c r="I170" i="108"/>
  <c r="J170" i="108" s="1"/>
  <c r="G267" i="108"/>
  <c r="I330" i="108"/>
  <c r="I237" i="108"/>
  <c r="G237" i="108"/>
  <c r="J236" i="108" l="1"/>
  <c r="K236" i="108" s="1"/>
  <c r="J330" i="108"/>
  <c r="K330" i="108" s="1"/>
  <c r="K79" i="108"/>
  <c r="K203" i="108"/>
  <c r="I109" i="108"/>
  <c r="J109" i="108" s="1"/>
  <c r="K109" i="108" s="1"/>
  <c r="I297" i="108"/>
  <c r="J297" i="108" s="1"/>
  <c r="K297" i="108" s="1"/>
  <c r="G172" i="108"/>
  <c r="I172" i="108"/>
  <c r="G238" i="108"/>
  <c r="G268" i="108"/>
  <c r="K267" i="108"/>
  <c r="I268" i="108"/>
  <c r="J268" i="108" s="1"/>
  <c r="G110" i="108"/>
  <c r="K141" i="108"/>
  <c r="I142" i="108"/>
  <c r="J142" i="108" s="1"/>
  <c r="G142" i="108"/>
  <c r="I110" i="108"/>
  <c r="K170" i="108"/>
  <c r="G204" i="108"/>
  <c r="I204" i="108"/>
  <c r="J204" i="108" s="1"/>
  <c r="I298" i="108"/>
  <c r="K296" i="108"/>
  <c r="G80" i="108"/>
  <c r="I80" i="108"/>
  <c r="J80" i="108" s="1"/>
  <c r="I171" i="108"/>
  <c r="J171" i="108" s="1"/>
  <c r="K171" i="108" s="1"/>
  <c r="G298" i="108"/>
  <c r="K108" i="108"/>
  <c r="G332" i="108"/>
  <c r="J237" i="108" l="1"/>
  <c r="J331" i="108"/>
  <c r="I332" i="108" s="1"/>
  <c r="J332" i="108" s="1"/>
  <c r="K332" i="108" s="1"/>
  <c r="J110" i="108"/>
  <c r="K110" i="108" s="1"/>
  <c r="J298" i="108"/>
  <c r="K298" i="108" s="1"/>
  <c r="K204" i="108"/>
  <c r="K80" i="108"/>
  <c r="K331" i="108"/>
  <c r="G333" i="108"/>
  <c r="G239" i="108"/>
  <c r="I239" i="108"/>
  <c r="G81" i="108"/>
  <c r="I81" i="108"/>
  <c r="J81" i="108" s="1"/>
  <c r="I205" i="108"/>
  <c r="J205" i="108" s="1"/>
  <c r="G205" i="108"/>
  <c r="G269" i="108"/>
  <c r="K268" i="108"/>
  <c r="I269" i="108"/>
  <c r="J269" i="108" s="1"/>
  <c r="J172" i="108"/>
  <c r="K172" i="108" s="1"/>
  <c r="G299" i="108"/>
  <c r="I299" i="108"/>
  <c r="J299" i="108" s="1"/>
  <c r="K142" i="108"/>
  <c r="I143" i="108"/>
  <c r="J143" i="108" s="1"/>
  <c r="G143" i="108"/>
  <c r="G111" i="108"/>
  <c r="I111" i="108"/>
  <c r="I173" i="108"/>
  <c r="G173" i="108"/>
  <c r="I333" i="108" l="1"/>
  <c r="J333" i="108" s="1"/>
  <c r="K333" i="108" s="1"/>
  <c r="K237" i="108"/>
  <c r="I238" i="108"/>
  <c r="J238" i="108" s="1"/>
  <c r="K238" i="108" s="1"/>
  <c r="J111" i="108"/>
  <c r="K111" i="108" s="1"/>
  <c r="I112" i="108"/>
  <c r="J112" i="108" s="1"/>
  <c r="J173" i="108"/>
  <c r="K173" i="108" s="1"/>
  <c r="K81" i="108"/>
  <c r="G174" i="108"/>
  <c r="K143" i="108"/>
  <c r="G144" i="108"/>
  <c r="I144" i="108"/>
  <c r="J144" i="108" s="1"/>
  <c r="G300" i="108"/>
  <c r="I300" i="108"/>
  <c r="J300" i="108" s="1"/>
  <c r="K299" i="108"/>
  <c r="K269" i="108"/>
  <c r="G270" i="108"/>
  <c r="I270" i="108"/>
  <c r="J270" i="108" s="1"/>
  <c r="G82" i="108"/>
  <c r="I82" i="108"/>
  <c r="J82" i="108" s="1"/>
  <c r="K205" i="108"/>
  <c r="G206" i="108"/>
  <c r="G112" i="108"/>
  <c r="I206" i="108"/>
  <c r="J206" i="108" s="1"/>
  <c r="I240" i="108"/>
  <c r="G240" i="108"/>
  <c r="G334" i="108"/>
  <c r="I334" i="108"/>
  <c r="J334" i="108" l="1"/>
  <c r="J239" i="108"/>
  <c r="K239" i="108" s="1"/>
  <c r="I174" i="108"/>
  <c r="J174" i="108" s="1"/>
  <c r="K174" i="108" s="1"/>
  <c r="G241" i="108"/>
  <c r="I113" i="108"/>
  <c r="J113" i="108" s="1"/>
  <c r="G113" i="108"/>
  <c r="K112" i="108"/>
  <c r="I83" i="108"/>
  <c r="J83" i="108" s="1"/>
  <c r="G83" i="108"/>
  <c r="K82" i="108"/>
  <c r="I145" i="108"/>
  <c r="J145" i="108" s="1"/>
  <c r="G145" i="108"/>
  <c r="K144" i="108"/>
  <c r="I335" i="108"/>
  <c r="J335" i="108" s="1"/>
  <c r="G335" i="108"/>
  <c r="K334" i="108"/>
  <c r="K206" i="108"/>
  <c r="G207" i="108"/>
  <c r="I207" i="108"/>
  <c r="J207" i="108" s="1"/>
  <c r="K270" i="108"/>
  <c r="I271" i="108"/>
  <c r="J271" i="108" s="1"/>
  <c r="G271" i="108"/>
  <c r="G301" i="108"/>
  <c r="K300" i="108"/>
  <c r="I301" i="108"/>
  <c r="J301" i="108" s="1"/>
  <c r="I175" i="108"/>
  <c r="G175" i="108"/>
  <c r="J240" i="108" l="1"/>
  <c r="J175" i="108"/>
  <c r="K83" i="108"/>
  <c r="G84" i="108"/>
  <c r="I84" i="108"/>
  <c r="J84" i="108" s="1"/>
  <c r="K175" i="108"/>
  <c r="G176" i="108"/>
  <c r="I176" i="108"/>
  <c r="J176" i="108" s="1"/>
  <c r="K145" i="108"/>
  <c r="I146" i="108"/>
  <c r="J146" i="108" s="1"/>
  <c r="G146" i="108"/>
  <c r="I242" i="108"/>
  <c r="G242" i="108"/>
  <c r="G302" i="108"/>
  <c r="I302" i="108"/>
  <c r="J302" i="108" s="1"/>
  <c r="K301" i="108"/>
  <c r="I336" i="108"/>
  <c r="J336" i="108" s="1"/>
  <c r="G336" i="108"/>
  <c r="K335" i="108"/>
  <c r="K271" i="108"/>
  <c r="I272" i="108"/>
  <c r="J272" i="108" s="1"/>
  <c r="G272" i="108"/>
  <c r="I208" i="108"/>
  <c r="J208" i="108" s="1"/>
  <c r="K207" i="108"/>
  <c r="G208" i="108"/>
  <c r="K113" i="108"/>
  <c r="G114" i="108"/>
  <c r="I114" i="108"/>
  <c r="J114" i="108" s="1"/>
  <c r="I241" i="108" l="1"/>
  <c r="J241" i="108" s="1"/>
  <c r="K241" i="108" s="1"/>
  <c r="K240" i="108"/>
  <c r="G209" i="108"/>
  <c r="K208" i="108"/>
  <c r="I209" i="108"/>
  <c r="J209" i="108" s="1"/>
  <c r="G243" i="108"/>
  <c r="I243" i="108"/>
  <c r="G85" i="108"/>
  <c r="I85" i="108"/>
  <c r="J85" i="108" s="1"/>
  <c r="K84" i="108"/>
  <c r="G115" i="108"/>
  <c r="I115" i="108"/>
  <c r="J115" i="108" s="1"/>
  <c r="K114" i="108"/>
  <c r="K272" i="108"/>
  <c r="G273" i="108"/>
  <c r="I273" i="108"/>
  <c r="J273" i="108" s="1"/>
  <c r="I337" i="108"/>
  <c r="J337" i="108" s="1"/>
  <c r="G337" i="108"/>
  <c r="K336" i="108"/>
  <c r="G303" i="108"/>
  <c r="I303" i="108"/>
  <c r="J303" i="108" s="1"/>
  <c r="K302" i="108"/>
  <c r="K146" i="108"/>
  <c r="I147" i="108"/>
  <c r="J147" i="108" s="1"/>
  <c r="G147" i="108"/>
  <c r="G177" i="108"/>
  <c r="I177" i="108"/>
  <c r="J177" i="108" s="1"/>
  <c r="K176" i="108"/>
  <c r="J242" i="108" l="1"/>
  <c r="K242" i="108" s="1"/>
  <c r="G148" i="108"/>
  <c r="K147" i="108"/>
  <c r="I148" i="108"/>
  <c r="J148" i="108" s="1"/>
  <c r="G304" i="108"/>
  <c r="K303" i="108"/>
  <c r="I304" i="108"/>
  <c r="J304" i="108" s="1"/>
  <c r="I86" i="108"/>
  <c r="J86" i="108" s="1"/>
  <c r="G86" i="108"/>
  <c r="K85" i="108"/>
  <c r="I274" i="108"/>
  <c r="J274" i="108" s="1"/>
  <c r="G274" i="108"/>
  <c r="K273" i="108"/>
  <c r="I116" i="108"/>
  <c r="J116" i="108" s="1"/>
  <c r="K115" i="108"/>
  <c r="G116" i="108"/>
  <c r="K177" i="108"/>
  <c r="G178" i="108"/>
  <c r="I178" i="108"/>
  <c r="J178" i="108" s="1"/>
  <c r="K337" i="108"/>
  <c r="I338" i="108"/>
  <c r="J338" i="108" s="1"/>
  <c r="G338" i="108"/>
  <c r="G244" i="108"/>
  <c r="I210" i="108"/>
  <c r="J210" i="108" s="1"/>
  <c r="G210" i="108"/>
  <c r="K209" i="108"/>
  <c r="J243" i="108" l="1"/>
  <c r="I245" i="108" s="1"/>
  <c r="G305" i="108"/>
  <c r="K304" i="108"/>
  <c r="I305" i="108"/>
  <c r="J305" i="108" s="1"/>
  <c r="G245" i="108"/>
  <c r="G117" i="108"/>
  <c r="K116" i="108"/>
  <c r="I117" i="108"/>
  <c r="J117" i="108" s="1"/>
  <c r="G275" i="108"/>
  <c r="K274" i="108"/>
  <c r="I275" i="108"/>
  <c r="J275" i="108" s="1"/>
  <c r="G87" i="108"/>
  <c r="I87" i="108"/>
  <c r="J87" i="108" s="1"/>
  <c r="K86" i="108"/>
  <c r="K210" i="108"/>
  <c r="I211" i="108"/>
  <c r="J211" i="108" s="1"/>
  <c r="G211" i="108"/>
  <c r="I339" i="108"/>
  <c r="J339" i="108" s="1"/>
  <c r="G339" i="108"/>
  <c r="K338" i="108"/>
  <c r="K178" i="108"/>
  <c r="G179" i="108"/>
  <c r="I179" i="108"/>
  <c r="J179" i="108" s="1"/>
  <c r="K148" i="108"/>
  <c r="G149" i="108"/>
  <c r="I149" i="108"/>
  <c r="J149" i="108" s="1"/>
  <c r="K243" i="108" l="1"/>
  <c r="I244" i="108"/>
  <c r="J244" i="108" s="1"/>
  <c r="K244" i="108" s="1"/>
  <c r="K339" i="108"/>
  <c r="G340" i="108"/>
  <c r="I340" i="108"/>
  <c r="J340" i="108" s="1"/>
  <c r="G180" i="108"/>
  <c r="K179" i="108"/>
  <c r="I180" i="108"/>
  <c r="J180" i="108" s="1"/>
  <c r="I118" i="108"/>
  <c r="J118" i="108" s="1"/>
  <c r="K117" i="108"/>
  <c r="G118" i="108"/>
  <c r="K149" i="108"/>
  <c r="I150" i="108"/>
  <c r="J150" i="108" s="1"/>
  <c r="G150" i="108"/>
  <c r="I212" i="108"/>
  <c r="J212" i="108" s="1"/>
  <c r="K211" i="108"/>
  <c r="G212" i="108"/>
  <c r="G276" i="108"/>
  <c r="K275" i="108"/>
  <c r="I276" i="108"/>
  <c r="J276" i="108" s="1"/>
  <c r="G246" i="108"/>
  <c r="I246" i="108"/>
  <c r="I88" i="108"/>
  <c r="J88" i="108" s="1"/>
  <c r="G88" i="108"/>
  <c r="K87" i="108"/>
  <c r="K305" i="108"/>
  <c r="I306" i="108"/>
  <c r="J306" i="108" s="1"/>
  <c r="G306" i="108"/>
  <c r="J245" i="108" l="1"/>
  <c r="K245" i="108" s="1"/>
  <c r="G247" i="108"/>
  <c r="I277" i="108"/>
  <c r="J277" i="108" s="1"/>
  <c r="G277" i="108"/>
  <c r="K276" i="108"/>
  <c r="I151" i="108"/>
  <c r="J151" i="108" s="1"/>
  <c r="G151" i="108"/>
  <c r="K150" i="108"/>
  <c r="K180" i="108"/>
  <c r="I181" i="108"/>
  <c r="J181" i="108" s="1"/>
  <c r="G181" i="108"/>
  <c r="G307" i="108"/>
  <c r="K306" i="108"/>
  <c r="I307" i="108"/>
  <c r="J307" i="108" s="1"/>
  <c r="K88" i="108"/>
  <c r="I89" i="108"/>
  <c r="J89" i="108" s="1"/>
  <c r="G89" i="108"/>
  <c r="K212" i="108"/>
  <c r="I213" i="108"/>
  <c r="J213" i="108" s="1"/>
  <c r="G213" i="108"/>
  <c r="I341" i="108"/>
  <c r="J341" i="108" s="1"/>
  <c r="G341" i="108"/>
  <c r="K340" i="108"/>
  <c r="K118" i="108"/>
  <c r="I119" i="108"/>
  <c r="J119" i="108" s="1"/>
  <c r="G119" i="108"/>
  <c r="J246" i="108" l="1"/>
  <c r="I248" i="108" s="1"/>
  <c r="G182" i="108"/>
  <c r="I182" i="108"/>
  <c r="J182" i="108" s="1"/>
  <c r="K181" i="108"/>
  <c r="I152" i="108"/>
  <c r="J152" i="108" s="1"/>
  <c r="K151" i="108"/>
  <c r="G152" i="108"/>
  <c r="K341" i="108"/>
  <c r="G342" i="108"/>
  <c r="I342" i="108"/>
  <c r="J342" i="108" s="1"/>
  <c r="K89" i="108"/>
  <c r="G90" i="108"/>
  <c r="I90" i="108"/>
  <c r="J90" i="108" s="1"/>
  <c r="K119" i="108"/>
  <c r="G120" i="108"/>
  <c r="I120" i="108"/>
  <c r="J120" i="108" s="1"/>
  <c r="G214" i="108"/>
  <c r="I214" i="108"/>
  <c r="J214" i="108" s="1"/>
  <c r="K213" i="108"/>
  <c r="I308" i="108"/>
  <c r="J308" i="108" s="1"/>
  <c r="G308" i="108"/>
  <c r="K307" i="108"/>
  <c r="K277" i="108"/>
  <c r="I278" i="108"/>
  <c r="J278" i="108" s="1"/>
  <c r="G278" i="108"/>
  <c r="G248" i="108"/>
  <c r="I247" i="108" l="1"/>
  <c r="J247" i="108" s="1"/>
  <c r="K247" i="108" s="1"/>
  <c r="K246" i="108"/>
  <c r="K278" i="108"/>
  <c r="I279" i="108"/>
  <c r="J279" i="108" s="1"/>
  <c r="G279" i="108"/>
  <c r="K308" i="108"/>
  <c r="G309" i="108"/>
  <c r="I309" i="108"/>
  <c r="J309" i="108" s="1"/>
  <c r="K214" i="108"/>
  <c r="G215" i="108"/>
  <c r="I215" i="108"/>
  <c r="J215" i="108" s="1"/>
  <c r="G343" i="108"/>
  <c r="K342" i="108"/>
  <c r="I343" i="108"/>
  <c r="J343" i="108" s="1"/>
  <c r="G91" i="108"/>
  <c r="K90" i="108"/>
  <c r="I91" i="108"/>
  <c r="J91" i="108" s="1"/>
  <c r="G249" i="108"/>
  <c r="I249" i="108"/>
  <c r="I121" i="108"/>
  <c r="J121" i="108" s="1"/>
  <c r="G121" i="108"/>
  <c r="K120" i="108"/>
  <c r="G153" i="108"/>
  <c r="I153" i="108"/>
  <c r="J153" i="108" s="1"/>
  <c r="K152" i="108"/>
  <c r="G183" i="108"/>
  <c r="K182" i="108"/>
  <c r="I183" i="108"/>
  <c r="J183" i="108" s="1"/>
  <c r="J248" i="108" l="1"/>
  <c r="K248" i="108" s="1"/>
  <c r="K121" i="108"/>
  <c r="I122" i="108"/>
  <c r="J122" i="108" s="1"/>
  <c r="G122" i="108"/>
  <c r="G250" i="108"/>
  <c r="K215" i="108"/>
  <c r="G216" i="108"/>
  <c r="I216" i="108"/>
  <c r="J216" i="108" s="1"/>
  <c r="G280" i="108"/>
  <c r="I280" i="108"/>
  <c r="J280" i="108" s="1"/>
  <c r="K279" i="108"/>
  <c r="K153" i="108"/>
  <c r="I154" i="108"/>
  <c r="J154" i="108" s="1"/>
  <c r="G154" i="108"/>
  <c r="I344" i="108"/>
  <c r="J344" i="108" s="1"/>
  <c r="K343" i="108"/>
  <c r="G344" i="108"/>
  <c r="G184" i="108"/>
  <c r="K183" i="108"/>
  <c r="I184" i="108"/>
  <c r="J184" i="108" s="1"/>
  <c r="G92" i="108"/>
  <c r="I92" i="108"/>
  <c r="J92" i="108" s="1"/>
  <c r="K91" i="108"/>
  <c r="G310" i="108"/>
  <c r="K309" i="108"/>
  <c r="I310" i="108"/>
  <c r="J310" i="108" s="1"/>
  <c r="J249" i="108" l="1"/>
  <c r="I251" i="108" s="1"/>
  <c r="G217" i="108"/>
  <c r="I217" i="108"/>
  <c r="J217" i="108" s="1"/>
  <c r="K216" i="108"/>
  <c r="G251" i="108"/>
  <c r="G185" i="108"/>
  <c r="K184" i="108"/>
  <c r="I185" i="108"/>
  <c r="J185" i="108" s="1"/>
  <c r="G155" i="108"/>
  <c r="I155" i="108"/>
  <c r="J155" i="108" s="1"/>
  <c r="K154" i="108"/>
  <c r="G123" i="108"/>
  <c r="K122" i="108"/>
  <c r="I123" i="108"/>
  <c r="J123" i="108" s="1"/>
  <c r="K92" i="108"/>
  <c r="G93" i="108"/>
  <c r="I93" i="108"/>
  <c r="J93" i="108" s="1"/>
  <c r="G345" i="108"/>
  <c r="I345" i="108"/>
  <c r="J345" i="108" s="1"/>
  <c r="K344" i="108"/>
  <c r="I281" i="108"/>
  <c r="J281" i="108" s="1"/>
  <c r="K280" i="108"/>
  <c r="G281" i="108"/>
  <c r="G311" i="108"/>
  <c r="K310" i="108"/>
  <c r="I311" i="108"/>
  <c r="J311" i="108" s="1"/>
  <c r="K249" i="108" l="1"/>
  <c r="I250" i="108"/>
  <c r="J250" i="108" s="1"/>
  <c r="K250" i="108" s="1"/>
  <c r="G282" i="108"/>
  <c r="K281" i="108"/>
  <c r="I282" i="108"/>
  <c r="J282" i="108" s="1"/>
  <c r="K345" i="108"/>
  <c r="I346" i="108"/>
  <c r="J346" i="108" s="1"/>
  <c r="G346" i="108"/>
  <c r="G186" i="108"/>
  <c r="K185" i="108"/>
  <c r="I186" i="108"/>
  <c r="J186" i="108" s="1"/>
  <c r="G156" i="108"/>
  <c r="I156" i="108"/>
  <c r="J156" i="108" s="1"/>
  <c r="K155" i="108"/>
  <c r="G312" i="108"/>
  <c r="K311" i="108"/>
  <c r="I312" i="108"/>
  <c r="J312" i="108" s="1"/>
  <c r="G94" i="108"/>
  <c r="K93" i="108"/>
  <c r="I94" i="108"/>
  <c r="J94" i="108" s="1"/>
  <c r="G124" i="108"/>
  <c r="I124" i="108"/>
  <c r="J124" i="108" s="1"/>
  <c r="K123" i="108"/>
  <c r="G252" i="108"/>
  <c r="I252" i="108"/>
  <c r="G218" i="108"/>
  <c r="I218" i="108"/>
  <c r="J218" i="108" s="1"/>
  <c r="K217" i="108"/>
  <c r="J251" i="108" l="1"/>
  <c r="K251" i="108" s="1"/>
  <c r="K346" i="108"/>
  <c r="H59" i="108" s="1"/>
  <c r="G16" i="106" s="1"/>
  <c r="G17" i="106" s="1"/>
  <c r="G19" i="106" s="1"/>
  <c r="I95" i="108"/>
  <c r="J95" i="108" s="1"/>
  <c r="K94" i="108"/>
  <c r="G95" i="108"/>
  <c r="G125" i="108"/>
  <c r="K124" i="108"/>
  <c r="I125" i="108"/>
  <c r="J125" i="108" s="1"/>
  <c r="K186" i="108"/>
  <c r="I187" i="108"/>
  <c r="J187" i="108" s="1"/>
  <c r="G187" i="108"/>
  <c r="G157" i="108"/>
  <c r="I157" i="108"/>
  <c r="J157" i="108" s="1"/>
  <c r="K156" i="108"/>
  <c r="K218" i="108"/>
  <c r="G219" i="108"/>
  <c r="I219" i="108"/>
  <c r="J219" i="108" s="1"/>
  <c r="G313" i="108"/>
  <c r="I313" i="108"/>
  <c r="J313" i="108" s="1"/>
  <c r="K312" i="108"/>
  <c r="K282" i="108"/>
  <c r="I283" i="108"/>
  <c r="J283" i="108" s="1"/>
  <c r="G283" i="108"/>
  <c r="J252" i="108" l="1"/>
  <c r="K252" i="108" s="1"/>
  <c r="F59" i="108" s="1"/>
  <c r="E16" i="106" s="1"/>
  <c r="E17" i="106" s="1"/>
  <c r="E19" i="106" s="1"/>
  <c r="G314" i="108"/>
  <c r="K313" i="108"/>
  <c r="I314" i="108"/>
  <c r="J314" i="108" s="1"/>
  <c r="G126" i="108"/>
  <c r="K125" i="108"/>
  <c r="I126" i="108"/>
  <c r="J126" i="108" s="1"/>
  <c r="K95" i="108"/>
  <c r="G96" i="108"/>
  <c r="I96" i="108"/>
  <c r="J96" i="108" s="1"/>
  <c r="I220" i="108"/>
  <c r="J220" i="108" s="1"/>
  <c r="G220" i="108"/>
  <c r="K219" i="108"/>
  <c r="G158" i="108"/>
  <c r="I158" i="108"/>
  <c r="J158" i="108" s="1"/>
  <c r="K157" i="108"/>
  <c r="K283" i="108"/>
  <c r="G284" i="108"/>
  <c r="I284" i="108"/>
  <c r="J284" i="108" s="1"/>
  <c r="G188" i="108"/>
  <c r="K187" i="108"/>
  <c r="I188" i="108"/>
  <c r="J188" i="108" s="1"/>
  <c r="K220" i="108" l="1"/>
  <c r="E59" i="108" s="1"/>
  <c r="D16" i="106" s="1"/>
  <c r="D17" i="106" s="1"/>
  <c r="D19" i="106" s="1"/>
  <c r="K188" i="108"/>
  <c r="D63" i="108" s="1"/>
  <c r="K96" i="108"/>
  <c r="C59" i="108" s="1"/>
  <c r="C16" i="106" s="1"/>
  <c r="C17" i="106" s="1"/>
  <c r="K126" i="108"/>
  <c r="C63" i="108" s="1"/>
  <c r="C27" i="106" s="1"/>
  <c r="K284" i="108"/>
  <c r="G59" i="108" s="1"/>
  <c r="F16" i="106" s="1"/>
  <c r="F17" i="106" s="1"/>
  <c r="F19" i="106" s="1"/>
  <c r="D28" i="106" s="1"/>
  <c r="K158" i="108"/>
  <c r="D59" i="108" s="1"/>
  <c r="K314" i="108"/>
  <c r="E63" i="108" s="1"/>
  <c r="D27" i="106" s="1"/>
  <c r="D29" i="106" l="1"/>
  <c r="D31" i="106" s="1"/>
  <c r="C19" i="106"/>
  <c r="C28" i="106" s="1"/>
  <c r="C29" i="106" s="1"/>
  <c r="C31" i="10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<sst xmlns="http://schemas.openxmlformats.org/spreadsheetml/2006/main" count="5422" uniqueCount="1812">
  <si>
    <t>Rate Base</t>
  </si>
  <si>
    <t>Common + General + Intangible Plant</t>
  </si>
  <si>
    <t>Plant</t>
  </si>
  <si>
    <t>Working Capital</t>
  </si>
  <si>
    <t>Materials and Supplies</t>
  </si>
  <si>
    <t>Cash Working Capital</t>
  </si>
  <si>
    <t>Accumulated Depreciation Reserve</t>
  </si>
  <si>
    <t>Accumulated Deferred Income Taxes</t>
  </si>
  <si>
    <t>Notes</t>
  </si>
  <si>
    <t>Total Plant</t>
  </si>
  <si>
    <t>Total Working Capital</t>
  </si>
  <si>
    <t>Total Accumulated Depreciation Reserve</t>
  </si>
  <si>
    <t>Other Regulatory Assets or Liabilities</t>
  </si>
  <si>
    <t>Common + General + Intangible Depreciation Reserve</t>
  </si>
  <si>
    <t>Other Taxes</t>
  </si>
  <si>
    <t>Property Taxes</t>
  </si>
  <si>
    <t>Sub-Total Local Taxes</t>
  </si>
  <si>
    <t>Payroll Tax Expense</t>
  </si>
  <si>
    <t>Fed Ins Cont Amt -- Current</t>
  </si>
  <si>
    <t>CA SUI Current</t>
  </si>
  <si>
    <t>Fed Unemp Tax Act- Current</t>
  </si>
  <si>
    <t xml:space="preserve">SF Pyrl Exp Tx </t>
  </si>
  <si>
    <t>Total Electric Payroll Tax Expense</t>
  </si>
  <si>
    <t>Total Other Taxes</t>
  </si>
  <si>
    <t>Preferred Stock</t>
  </si>
  <si>
    <t>Preferred Stock Cost Percentage</t>
  </si>
  <si>
    <t>Capital Percentages</t>
  </si>
  <si>
    <t>Long Term Debt Capital Percentage</t>
  </si>
  <si>
    <t>Preferred Stock Capital Percentage</t>
  </si>
  <si>
    <t>Common Stock Capital Percentage</t>
  </si>
  <si>
    <t>Annual Cost of Capital Components</t>
  </si>
  <si>
    <t>Long Term Debt Cost Percentage</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</si>
  <si>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</si>
  <si>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</si>
  <si>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</si>
  <si>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</si>
  <si>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</si>
  <si>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</si>
  <si>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Source</t>
  </si>
  <si>
    <t>Income Taxes</t>
  </si>
  <si>
    <t>Federal Income Tax Rate</t>
  </si>
  <si>
    <t>State Income Tax Rate</t>
  </si>
  <si>
    <t>Composite Tax Rate</t>
  </si>
  <si>
    <t>Amortization of Excess Deferred Tax Liability</t>
  </si>
  <si>
    <t>Credits and Other</t>
  </si>
  <si>
    <t>Income Taxes:</t>
  </si>
  <si>
    <t>Where:</t>
  </si>
  <si>
    <t>RB = Rate Base</t>
  </si>
  <si>
    <t>ER = Equity Rate of Return Including Common and Preferred Stock</t>
  </si>
  <si>
    <t>CTR = Composite Tax Rate</t>
  </si>
  <si>
    <t>CO = Credits and Other</t>
  </si>
  <si>
    <t>O&amp;M Expense</t>
  </si>
  <si>
    <t>A&amp;G Expense</t>
  </si>
  <si>
    <t>Revenue Credits</t>
  </si>
  <si>
    <t>Return on Capital</t>
  </si>
  <si>
    <t>Amortization and Regulatory Debits/Credits</t>
  </si>
  <si>
    <t>SFGR Tax and Franchise Fees</t>
  </si>
  <si>
    <t>Values</t>
  </si>
  <si>
    <t>Month</t>
  </si>
  <si>
    <t>Distribution</t>
  </si>
  <si>
    <t>Generation</t>
  </si>
  <si>
    <t>May</t>
  </si>
  <si>
    <t>Col 1</t>
  </si>
  <si>
    <t>Col 2</t>
  </si>
  <si>
    <t>Col 3</t>
  </si>
  <si>
    <t>Col 4</t>
  </si>
  <si>
    <t>Col 5</t>
  </si>
  <si>
    <t>Col 6</t>
  </si>
  <si>
    <t>Col 7</t>
  </si>
  <si>
    <t>Col 8</t>
  </si>
  <si>
    <t>Col 9</t>
  </si>
  <si>
    <t>Monthly</t>
  </si>
  <si>
    <t>Interest</t>
  </si>
  <si>
    <t>Year</t>
  </si>
  <si>
    <t>with Interest</t>
  </si>
  <si>
    <t>December</t>
  </si>
  <si>
    <t>January</t>
  </si>
  <si>
    <t>February</t>
  </si>
  <si>
    <t>March</t>
  </si>
  <si>
    <t>April</t>
  </si>
  <si>
    <t xml:space="preserve">June </t>
  </si>
  <si>
    <t>July</t>
  </si>
  <si>
    <t>August</t>
  </si>
  <si>
    <t>September</t>
  </si>
  <si>
    <t>October</t>
  </si>
  <si>
    <t>November</t>
  </si>
  <si>
    <t>Line</t>
  </si>
  <si>
    <t>Note 1</t>
  </si>
  <si>
    <t>Note 2</t>
  </si>
  <si>
    <t>Notes:</t>
  </si>
  <si>
    <t>Prior Year:</t>
  </si>
  <si>
    <t>Description</t>
  </si>
  <si>
    <t>Prior Year</t>
  </si>
  <si>
    <t>Instructions:</t>
  </si>
  <si>
    <t>Book Depreciation of AFUDC Equity Book Basis</t>
  </si>
  <si>
    <t>Federal and State Tax Credits</t>
  </si>
  <si>
    <t>Calculation of Credits and Other (CO):</t>
  </si>
  <si>
    <t>FPD = Flowback and Permanent Tax Deductions</t>
  </si>
  <si>
    <t>Flowthrough and Permanent Tax Deductions</t>
  </si>
  <si>
    <t>SFGR Tax Factor</t>
  </si>
  <si>
    <t>Balance</t>
  </si>
  <si>
    <t>Prepayments</t>
  </si>
  <si>
    <t>Allocation Factor</t>
  </si>
  <si>
    <t>Franchise Fees Factor</t>
  </si>
  <si>
    <t>Total SFGR Tax and Franchise Fees</t>
  </si>
  <si>
    <t>13-Month Avg</t>
  </si>
  <si>
    <t>Business Taxes</t>
  </si>
  <si>
    <t>End of Year Value</t>
  </si>
  <si>
    <t>Pacific Gas and Electric Company</t>
  </si>
  <si>
    <t>N/A</t>
  </si>
  <si>
    <t>Rate Year:</t>
  </si>
  <si>
    <t>Interest Rate</t>
  </si>
  <si>
    <t>Note 3</t>
  </si>
  <si>
    <t>Note 6</t>
  </si>
  <si>
    <t>1) Rate Base</t>
  </si>
  <si>
    <t>2) ROE and Capitalization Calculations</t>
  </si>
  <si>
    <t>3) Other Taxes</t>
  </si>
  <si>
    <t>4) Income Taxes</t>
  </si>
  <si>
    <t>3) Income Taxes</t>
  </si>
  <si>
    <t>Negative Value</t>
  </si>
  <si>
    <t>Property Tax Allocation Factor</t>
  </si>
  <si>
    <t>Revenues</t>
  </si>
  <si>
    <t>Input cells are shaded gold</t>
  </si>
  <si>
    <t>without Interest</t>
  </si>
  <si>
    <t xml:space="preserve">Monthly Excess or </t>
  </si>
  <si>
    <t>Amortization</t>
  </si>
  <si>
    <t>Ending Balance</t>
  </si>
  <si>
    <t>Note 4</t>
  </si>
  <si>
    <t>Note 5</t>
  </si>
  <si>
    <t>Note 7</t>
  </si>
  <si>
    <t>Note 8</t>
  </si>
  <si>
    <t>Note 9</t>
  </si>
  <si>
    <t>Accumulated</t>
  </si>
  <si>
    <t>BOY EOY Avg</t>
  </si>
  <si>
    <t>Weighted Average</t>
  </si>
  <si>
    <t>Cumulative Excess</t>
  </si>
  <si>
    <t>Shortfall in Revenue</t>
  </si>
  <si>
    <t>Calculation of Flowthrough and Permanent Tax Deductions (FPD):</t>
  </si>
  <si>
    <t>Attachment 2: Model</t>
  </si>
  <si>
    <t>Calculation of Components of Cost of Capital Rate</t>
  </si>
  <si>
    <t>Calculation of 13-Month Average Capitalization Balances</t>
  </si>
  <si>
    <t>Col 10</t>
  </si>
  <si>
    <t>Col 11</t>
  </si>
  <si>
    <t>Col 12</t>
  </si>
  <si>
    <t>Col 13</t>
  </si>
  <si>
    <t>Col 14</t>
  </si>
  <si>
    <t>June</t>
  </si>
  <si>
    <t>1) Calculation of Cost of Long Term Debt</t>
  </si>
  <si>
    <t>Long-Term Debt Component - Denominator:</t>
  </si>
  <si>
    <t>(Plus) Bonds (Acct. 221)</t>
  </si>
  <si>
    <t>(Less) Reacquired Bonds (Acct. 222)</t>
  </si>
  <si>
    <t>(Plus) Other Long-Term Debt (Acct. 224)</t>
  </si>
  <si>
    <t>LTD = Long Term Debt</t>
  </si>
  <si>
    <t>Long-Term Debt Component - Numerator:</t>
  </si>
  <si>
    <t>LTD interest</t>
  </si>
  <si>
    <t>Cost of Long-Term Debt:</t>
  </si>
  <si>
    <t>1) Calculation of "Preferred Stock Cost Percentage"</t>
  </si>
  <si>
    <t>Amount</t>
  </si>
  <si>
    <t>Reference</t>
  </si>
  <si>
    <t>Total Annual Cost of Preferred Stock:</t>
  </si>
  <si>
    <t>Total Reacquired Preferred Stock Cost:</t>
  </si>
  <si>
    <t>Total Annual Cost of Preferred:</t>
  </si>
  <si>
    <t>Total Preferred Stock Amount Outstanding:</t>
  </si>
  <si>
    <t>Total Premium/Discount</t>
  </si>
  <si>
    <t>Total Preferred Balance:</t>
  </si>
  <si>
    <t>Preferred Stock Cost Percentage:</t>
  </si>
  <si>
    <t>2) Preferred Stock Information for each Outstanding Series</t>
  </si>
  <si>
    <t>PG&amp;E Records</t>
  </si>
  <si>
    <t>FF1 250, col a</t>
  </si>
  <si>
    <t>FF1 251, col f</t>
  </si>
  <si>
    <t>FF1 251, col e</t>
  </si>
  <si>
    <t>= Col 5 + Col 6</t>
  </si>
  <si>
    <t>= Col 3 x Col 5</t>
  </si>
  <si>
    <t>Preferred Stock Series Name</t>
  </si>
  <si>
    <t>Issue Date</t>
  </si>
  <si>
    <t>Dividend Rate</t>
  </si>
  <si>
    <t>Dividend</t>
  </si>
  <si>
    <t>Shares Outstanding</t>
  </si>
  <si>
    <t>3) Reacquired Preferred Stock Information</t>
  </si>
  <si>
    <t>Call Date</t>
  </si>
  <si>
    <t>Total Issuance Cost</t>
  </si>
  <si>
    <t>Amortization Period</t>
  </si>
  <si>
    <t>Notes and Sources</t>
  </si>
  <si>
    <t>---</t>
  </si>
  <si>
    <t>FERC Form 1</t>
  </si>
  <si>
    <t>FERC</t>
  </si>
  <si>
    <t>FERC Account</t>
  </si>
  <si>
    <t>Account Description</t>
  </si>
  <si>
    <t>Source for Col 1</t>
  </si>
  <si>
    <t>Adjustments</t>
  </si>
  <si>
    <t>Land and Land Rights</t>
  </si>
  <si>
    <t>Structures and Improvements</t>
  </si>
  <si>
    <t>Station Equipment</t>
  </si>
  <si>
    <t>Overhead Conductors and Devices</t>
  </si>
  <si>
    <t>Underground Conduit</t>
  </si>
  <si>
    <t>FERC Account:</t>
  </si>
  <si>
    <t>Total</t>
  </si>
  <si>
    <t>13-Month Average</t>
  </si>
  <si>
    <t>Total Direct</t>
  </si>
  <si>
    <t>Assigned CGI</t>
  </si>
  <si>
    <t>Average</t>
  </si>
  <si>
    <t>Col 1 * Col 2</t>
  </si>
  <si>
    <t>Total PG&amp;E</t>
  </si>
  <si>
    <t>Residual CGI</t>
  </si>
  <si>
    <t>O&amp;M Labor Factor</t>
  </si>
  <si>
    <t>Corporate CGI</t>
  </si>
  <si>
    <t>Total Electric</t>
  </si>
  <si>
    <t>Depreciation</t>
  </si>
  <si>
    <t>Accumulated Depreciation balances for Direct Assigned CGI Plant are extracted from PowerPlant, PG&amp;E's fixed asset system of record, by querying by Asset Class, FERC Account and UCC.</t>
  </si>
  <si>
    <t xml:space="preserve">Prior Year recorded Depreciation Expense is extracted from PowerPlant, PG&amp;E's fixed asset system of record, by querying by Asset Class. It is then allocated to UCC and Line of Business based on Prior Year ending plant balances. </t>
  </si>
  <si>
    <t>2) Depreciation Expense for Direct Assigned Common, General and Intangible (CGI) Plant</t>
  </si>
  <si>
    <t>Corporate</t>
  </si>
  <si>
    <t>Electric</t>
  </si>
  <si>
    <t>7-PlantInService</t>
  </si>
  <si>
    <t>COMPUTER SOFTWARE</t>
  </si>
  <si>
    <t>EIP30303</t>
  </si>
  <si>
    <t>USBR - LIMITED TERM ELECTRIC</t>
  </si>
  <si>
    <t>EIP30301</t>
  </si>
  <si>
    <t>FRANCHISES AND CONSENTS</t>
  </si>
  <si>
    <t>EIP30201</t>
  </si>
  <si>
    <t>MISCELLANEOUS EQUIPMENT</t>
  </si>
  <si>
    <t>EGP39800</t>
  </si>
  <si>
    <t>AMI COMMUNICATION NETWORK</t>
  </si>
  <si>
    <t>EGP39708</t>
  </si>
  <si>
    <t>COMMUNICATION EQUIPMENT</t>
  </si>
  <si>
    <t>EGP39700</t>
  </si>
  <si>
    <t>POWER OPERATED EQUIPMENT</t>
  </si>
  <si>
    <t>EGP39600</t>
  </si>
  <si>
    <t>LABORATORY EQUIPMENT</t>
  </si>
  <si>
    <t>EGP39500</t>
  </si>
  <si>
    <t>TOOLS, SHOP AND WORK EQUIPMENT</t>
  </si>
  <si>
    <t>EGP39400</t>
  </si>
  <si>
    <t>OFFICE FURNITURE AND EQUIPMENT</t>
  </si>
  <si>
    <t>EGP39100</t>
  </si>
  <si>
    <t>STRUCTURES AND IMPROVEMENTS</t>
  </si>
  <si>
    <t>EGP39000</t>
  </si>
  <si>
    <t>LAND RIGHTS</t>
  </si>
  <si>
    <t>EGP38902</t>
  </si>
  <si>
    <t>LAND</t>
  </si>
  <si>
    <t>EGP38901</t>
  </si>
  <si>
    <t>OTHER TANGIBLE PROPERTY</t>
  </si>
  <si>
    <t>CMP39900</t>
  </si>
  <si>
    <t>CMP39800</t>
  </si>
  <si>
    <t>CMP39708</t>
  </si>
  <si>
    <t>COMMUNICATION EQUIPMENT - TRANSMISSION SYSTEMS, ELECTRIC AMI</t>
  </si>
  <si>
    <t>CMP39707</t>
  </si>
  <si>
    <t>COMMUNICATION EQUIPMENT - TRANSMISSION SYSTEMS, GAS AMI</t>
  </si>
  <si>
    <t>CMP39706</t>
  </si>
  <si>
    <t>COMMUNICATION EQUIPMENT - TRANSMISSION SYSTEMS</t>
  </si>
  <si>
    <t>CMP39705</t>
  </si>
  <si>
    <t>COMMUNICATION EQUIPMENT - VOICE SYSTEMS</t>
  </si>
  <si>
    <t>CMP39704</t>
  </si>
  <si>
    <t>COMMUNICATION EQUIPMENT - RADIO SYSTEMS</t>
  </si>
  <si>
    <t>CMP39703</t>
  </si>
  <si>
    <t>COMMUNICATION EQUIPMENT - COMPUTER</t>
  </si>
  <si>
    <t>CMP39702</t>
  </si>
  <si>
    <t>COMMUNICATION EQUIPMENT - NON-COMPUTER</t>
  </si>
  <si>
    <t>CMP39701</t>
  </si>
  <si>
    <t>CMP39600</t>
  </si>
  <si>
    <t>CMP39500</t>
  </si>
  <si>
    <t>TOOLS, SHOP AND GARAGE EQUIPMENT</t>
  </si>
  <si>
    <t>CMP39400</t>
  </si>
  <si>
    <t>STORES EQUIPMENT</t>
  </si>
  <si>
    <t>CMP39300</t>
  </si>
  <si>
    <t>TRANSPORTATION EQUIPMENT - TRAILERS</t>
  </si>
  <si>
    <t>CMP39209</t>
  </si>
  <si>
    <t>TRANSPORTATION EQUIPMENT - VESSELS</t>
  </si>
  <si>
    <t>CMP39208</t>
  </si>
  <si>
    <t xml:space="preserve">TRANSPORTATION EQUIPMENT - CLASS T4 </t>
  </si>
  <si>
    <t>CMP39207</t>
  </si>
  <si>
    <t>TRANSPORTATION EQUIPMENT - CLASS T3</t>
  </si>
  <si>
    <t>CMP39206</t>
  </si>
  <si>
    <t xml:space="preserve">TRANSPORTATION EQUIPMENT - CLASS T1 </t>
  </si>
  <si>
    <t>CMP39205</t>
  </si>
  <si>
    <t>TRANSPORTATION EQUIPMENT - CLASS C4</t>
  </si>
  <si>
    <t>CMP39204</t>
  </si>
  <si>
    <t>TRANSPORTATION EQUIPMENT - CLASS C2</t>
  </si>
  <si>
    <t>CMP39203</t>
  </si>
  <si>
    <t>TRANSPORTATION EQUIPMENT - CLASS P</t>
  </si>
  <si>
    <t>CMP39202</t>
  </si>
  <si>
    <t>TRANSPORTATION EQUIPMENT - AIR</t>
  </si>
  <si>
    <t>CMP39201</t>
  </si>
  <si>
    <t>OFFICE MACHINES AND COMPUTER EQUIPMENT - CIS - FULLY ACCRUED</t>
  </si>
  <si>
    <t>CMP39104</t>
  </si>
  <si>
    <t>CMP39103</t>
  </si>
  <si>
    <t>PC HARDWARE</t>
  </si>
  <si>
    <t>CMP39102</t>
  </si>
  <si>
    <t xml:space="preserve">OFFICE MACHINES </t>
  </si>
  <si>
    <t>CMP39101</t>
  </si>
  <si>
    <t>CMP39000</t>
  </si>
  <si>
    <t>CMP38902</t>
  </si>
  <si>
    <t>LAND - COMMON PLANT</t>
  </si>
  <si>
    <t>CMP38901</t>
  </si>
  <si>
    <t>SOFTWARE CIS</t>
  </si>
  <si>
    <t>CMP30304</t>
  </si>
  <si>
    <t>SOFTWARE</t>
  </si>
  <si>
    <t>CMP30302</t>
  </si>
  <si>
    <t>FRANCHISES AND CONSENTS - COMMON PLANT</t>
  </si>
  <si>
    <t>CMP30200</t>
  </si>
  <si>
    <t>ORGANIZATION - COMMON PLANT</t>
  </si>
  <si>
    <t>CMP30101</t>
  </si>
  <si>
    <t>Accrual Rates</t>
  </si>
  <si>
    <t>Asset Class Description</t>
  </si>
  <si>
    <t>UNDERGROUND CONDUCTORS AND DEVICES</t>
  </si>
  <si>
    <t>UNDERGROUND CONDUIT</t>
  </si>
  <si>
    <t>OVERHEAD CONDUCTORS AND DEVICES</t>
  </si>
  <si>
    <t>STATION EQUIPMENT</t>
  </si>
  <si>
    <t>STRUCTURES AND IMPROVEMENTS - EQUIPMENT</t>
  </si>
  <si>
    <t>Calculation of Components of Working Capital</t>
  </si>
  <si>
    <t>1) Calculation of Materials and Supplies</t>
  </si>
  <si>
    <t>Materials and Supplies balances are recorded in FERC Account 154.</t>
  </si>
  <si>
    <t xml:space="preserve">Total </t>
  </si>
  <si>
    <t>Company</t>
  </si>
  <si>
    <t xml:space="preserve">Line </t>
  </si>
  <si>
    <t>Materials &amp; Supplies</t>
  </si>
  <si>
    <t>2) Calculation of Prepayments</t>
  </si>
  <si>
    <t>col 1</t>
  </si>
  <si>
    <t>col 2</t>
  </si>
  <si>
    <t>col 3</t>
  </si>
  <si>
    <t>Data Source:</t>
  </si>
  <si>
    <t>col 3 - col 4</t>
  </si>
  <si>
    <t xml:space="preserve">Less:  </t>
  </si>
  <si>
    <t>Detail of Adjusted Total Prepaids</t>
  </si>
  <si>
    <t>Total Prepayments</t>
  </si>
  <si>
    <t>Direct Assignments</t>
  </si>
  <si>
    <t>Adjusted Total</t>
  </si>
  <si>
    <t>Property Insurance</t>
  </si>
  <si>
    <t>Liability Insurance</t>
  </si>
  <si>
    <t>Misc.</t>
  </si>
  <si>
    <t>50% Plant / 50%</t>
  </si>
  <si>
    <t>Plant Ratio</t>
  </si>
  <si>
    <t>Labor Average</t>
  </si>
  <si>
    <t>Labor Ratio</t>
  </si>
  <si>
    <t>a)  13 Month Avg Calculation</t>
  </si>
  <si>
    <t>Allocated Prepayments</t>
  </si>
  <si>
    <t>b)  EOY Calculation</t>
  </si>
  <si>
    <t>Note 3:   PG&amp;E conducted a query of the subaccounts of General Ledger (GL) Account 165 and removed all prepayments that are directly assigned to PG&amp;E's Generation department in col 4.</t>
  </si>
  <si>
    <t>Note 4:   PG&amp;E conducted a query of GL Acct 165 for prepaid amounts related to A&amp;G account 924 property insurance and reflected the month-end recorded balances in col 6.</t>
  </si>
  <si>
    <t>Note 5:   PG&amp;E conducted a query of GL Acct 165 for prepaid amounts related to A&amp;G account 925 general liability insurance and reflected the month-end recorded balances in col 7.</t>
  </si>
  <si>
    <t>Note 6:   PG&amp;E conducted a query of GL Acct 165 for other prepaid amounts consisting of Acct 308.1 excise taxes, property taxes and miscellaneous and reflected the</t>
  </si>
  <si>
    <t>month-end recorded balances in col 8.</t>
  </si>
  <si>
    <t xml:space="preserve">Accumulated Deferred Income Taxes </t>
  </si>
  <si>
    <t>1) Summary of Accumulated Deferred Income Taxes</t>
  </si>
  <si>
    <t>a) End of Year Accumulated Deferred Income Taxes</t>
  </si>
  <si>
    <t>Account</t>
  </si>
  <si>
    <t>Account 190</t>
  </si>
  <si>
    <t>Account 282</t>
  </si>
  <si>
    <t>Account 283</t>
  </si>
  <si>
    <t>Account 255</t>
  </si>
  <si>
    <t>Total Accumulated Deferred Income Taxes</t>
  </si>
  <si>
    <t>b) Beginning of Year Accumulated Deferred Income Taxes</t>
  </si>
  <si>
    <t>BOY ADIT</t>
  </si>
  <si>
    <t>c) Average of Beginning and End of Year Accumulated Deferred Income Taxes</t>
  </si>
  <si>
    <t>Average ADIT</t>
  </si>
  <si>
    <t>Weighted Average ADIT:</t>
  </si>
  <si>
    <t>Gas, Generation</t>
  </si>
  <si>
    <t>Labor</t>
  </si>
  <si>
    <t>ACCT 190</t>
  </si>
  <si>
    <t>DESCRIPTION</t>
  </si>
  <si>
    <t>or Other Related</t>
  </si>
  <si>
    <t>Plant Related</t>
  </si>
  <si>
    <t>Related</t>
  </si>
  <si>
    <t>Electric:</t>
  </si>
  <si>
    <t>Injuries and Damages</t>
  </si>
  <si>
    <t>Total Account 190</t>
  </si>
  <si>
    <t>Allocation Factors (Plant and Wages)</t>
  </si>
  <si>
    <t>Total Account 190 ADIT</t>
  </si>
  <si>
    <t>(Sum of amounts in Columns 4 to 6)</t>
  </si>
  <si>
    <t>FERC Form 1 Account 190</t>
  </si>
  <si>
    <t>ACCT 282</t>
  </si>
  <si>
    <t>…</t>
  </si>
  <si>
    <t>Total Account 282</t>
  </si>
  <si>
    <t>Total Account 282 ADIT</t>
  </si>
  <si>
    <t>FERC Form 1 Account 282</t>
  </si>
  <si>
    <t>4) Account 283 Detail</t>
  </si>
  <si>
    <t>ACCT 283</t>
  </si>
  <si>
    <t>Total Account 283</t>
  </si>
  <si>
    <t>Total Account 283 ADIT</t>
  </si>
  <si>
    <t>FERC Form 1 Account 283</t>
  </si>
  <si>
    <t>5) Account 255 Detail</t>
  </si>
  <si>
    <t>ACCT 255</t>
  </si>
  <si>
    <t>Total Electric 255</t>
  </si>
  <si>
    <t>Total Account 255 ADIT</t>
  </si>
  <si>
    <t>FERC Form 1 Account 255</t>
  </si>
  <si>
    <t>6) Tax Normalization Calculation Pursuant to Treas. Reg §1.167(l)-1(h)(6); PLR 9313008; 9202029; 922404; 201717008</t>
  </si>
  <si>
    <t>See Note 1</t>
  </si>
  <si>
    <t>See Note 2</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</si>
  <si>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</si>
  <si>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</si>
  <si>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</si>
  <si>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</si>
  <si>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</si>
  <si>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</si>
  <si>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</si>
  <si>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</si>
  <si>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</si>
  <si>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</si>
  <si>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</si>
  <si>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</si>
  <si>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</si>
  <si>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</si>
  <si>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</si>
  <si>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</si>
  <si>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Weighted Average ADIT Balance:</t>
  </si>
  <si>
    <t>1) The monthly deferred tax amounts are equal to the ending ADIT balance minus the beginning ADIT balance, divided by 12 months.</t>
  </si>
  <si>
    <t>Allocated Accrued Vacation</t>
  </si>
  <si>
    <t>Labor Allocation Factor</t>
  </si>
  <si>
    <t>Issue #3</t>
  </si>
  <si>
    <t>Issue #2</t>
  </si>
  <si>
    <t>Sum of below</t>
  </si>
  <si>
    <t xml:space="preserve">  Regulatory Liability</t>
  </si>
  <si>
    <t>Debit/Credit</t>
  </si>
  <si>
    <t>Asset/Liability</t>
  </si>
  <si>
    <t xml:space="preserve"> Granting Approval of </t>
  </si>
  <si>
    <t>Regulatory</t>
  </si>
  <si>
    <t>Other Reg</t>
  </si>
  <si>
    <t>Resulting in Other Regulatory</t>
  </si>
  <si>
    <t xml:space="preserve">  Commission Order</t>
  </si>
  <si>
    <t>Amortization or</t>
  </si>
  <si>
    <t>EOY</t>
  </si>
  <si>
    <t>BOY</t>
  </si>
  <si>
    <t>Description of Issue</t>
  </si>
  <si>
    <t>Amortization and Regulatory Debits and Credits:</t>
  </si>
  <si>
    <t>Other Regulatory Assets and Liabilities (BOY/EOY average):</t>
  </si>
  <si>
    <t>Other Regulatory Assets and Liabilities (EOY):</t>
  </si>
  <si>
    <t>Calculation or Source</t>
  </si>
  <si>
    <t>2) Insert additional lines as necessary for additional issues.</t>
  </si>
  <si>
    <t>b) Enter costs in columns 1-3 in above table for the applicable Prior Year.</t>
  </si>
  <si>
    <t>a) Fill in Description for issue in above table.</t>
  </si>
  <si>
    <t>1) Upon Commission approval of recovery of Other Regulatory Assets and Liabilities, Amortization and</t>
  </si>
  <si>
    <t xml:space="preserve">Amortization and Regulatory Debits and Credits are costs of revenues that are approved for recovery from or </t>
  </si>
  <si>
    <t>approval received subsequent to a PG&amp;E Section 205 filing requesting such treatment.</t>
  </si>
  <si>
    <t xml:space="preserve">PG&amp;E will include a non-zero amount of Other Regulatory Assets and Liabilities only with Commission </t>
  </si>
  <si>
    <t>(Account 254).  This Schedule does not include Abandoned Plant costs recovered through Schedule 8.</t>
  </si>
  <si>
    <t>deferred to a future period and recorded in Other Regulatory Assets (Account 182.3) and Regulatory Liabilities</t>
  </si>
  <si>
    <t>Other Regulatory Assets and Liabilities are a component of Rate Base representing costs that have been</t>
  </si>
  <si>
    <t>Regulatory Assets and Liabilities and Associated Amortization and Regulatory Debits and Credits</t>
  </si>
  <si>
    <t>Maintenance of Underground Lines</t>
  </si>
  <si>
    <t>Maintenance of Overhead Lines</t>
  </si>
  <si>
    <t>Maintenance Supervision and Engineering</t>
  </si>
  <si>
    <t>Rents</t>
  </si>
  <si>
    <t>Underground Line Expenses</t>
  </si>
  <si>
    <t>Overhead Line Expenses</t>
  </si>
  <si>
    <t>Station Expenses</t>
  </si>
  <si>
    <t>Operation Supervision and Engineering</t>
  </si>
  <si>
    <t>Non-Labor</t>
  </si>
  <si>
    <t>Recorded Adjusted O&amp;M Expense</t>
  </si>
  <si>
    <t>FERC Account Description</t>
  </si>
  <si>
    <t>Col 4 + Col 7</t>
  </si>
  <si>
    <t>Col 3 + Col 6</t>
  </si>
  <si>
    <t>Col 6 + Col 7</t>
  </si>
  <si>
    <t>Col 3 + Col 4, Note 2</t>
  </si>
  <si>
    <t>Col 15</t>
  </si>
  <si>
    <t>Operations and Maintenance Expense</t>
  </si>
  <si>
    <t>Maintenance of General Plant</t>
  </si>
  <si>
    <t>Miscellaneous General Expense</t>
  </si>
  <si>
    <t>General Advertising Expense</t>
  </si>
  <si>
    <t>Duplicate Charges</t>
  </si>
  <si>
    <t>Regulatory Commission Expenses</t>
  </si>
  <si>
    <t>Franchise Requirements</t>
  </si>
  <si>
    <t>Employee Pensions and Benefits</t>
  </si>
  <si>
    <t>Outside Services Employed</t>
  </si>
  <si>
    <t>A&amp;G Expenses Transferred</t>
  </si>
  <si>
    <t>Office Supplies and Expenses</t>
  </si>
  <si>
    <t>A&amp;G Salaries</t>
  </si>
  <si>
    <t>Line 209 + Line 213 + Line 217</t>
  </si>
  <si>
    <t>Line 215 * Line 216</t>
  </si>
  <si>
    <t>Factor using the combined O&amp;M Labor and Plant Factor:</t>
  </si>
  <si>
    <t>Line 108, col 7</t>
  </si>
  <si>
    <t>Account 924 Property Insurance nonnuclear:</t>
  </si>
  <si>
    <t>Based on Yearend Plant</t>
  </si>
  <si>
    <t>Total Electric Portion of A&amp;G From Labor</t>
  </si>
  <si>
    <t>Electric O&amp;M Labor Allocation Factor:</t>
  </si>
  <si>
    <t>Total A&amp;G Expense Applicable to the O&amp;M Labor Allocation Factor:</t>
  </si>
  <si>
    <t>Less Account  924 Property Insurance nonnuclear:</t>
  </si>
  <si>
    <t>Line 118, col 7</t>
  </si>
  <si>
    <t>A&amp;G Expense after Adjustments</t>
  </si>
  <si>
    <t>Based on Labor Factors</t>
  </si>
  <si>
    <t>FF2 325, L. 270, col b</t>
  </si>
  <si>
    <t>FF1 323, L. 197, col b</t>
  </si>
  <si>
    <t>Total A&amp;G Expenses:</t>
  </si>
  <si>
    <t>FF2 325, L. 269, col b</t>
  </si>
  <si>
    <t>FF1 323, L. 196, col b</t>
  </si>
  <si>
    <t>FF2 325, L. 266, col b</t>
  </si>
  <si>
    <t>FF1 323, L. 193, col b</t>
  </si>
  <si>
    <t>FF2 325, L. 265, col b</t>
  </si>
  <si>
    <t>FF1 323, L. 192, col b</t>
  </si>
  <si>
    <t>FF2 325, L. 264, col b</t>
  </si>
  <si>
    <t>FF1 323, L. 191, col b</t>
  </si>
  <si>
    <t>FF2 325, L. 263, col b</t>
  </si>
  <si>
    <t>FF1 323, L. 190, col b</t>
  </si>
  <si>
    <t>FF2 325, L. 262, col b</t>
  </si>
  <si>
    <t>FF1 323, L. 189, col b</t>
  </si>
  <si>
    <t>FF2 325, L. 261, col b</t>
  </si>
  <si>
    <t>FF1 323, L. 188, col b</t>
  </si>
  <si>
    <t>FF2 325, L. 260, col b</t>
  </si>
  <si>
    <t>FF1 323, L. 187, col b</t>
  </si>
  <si>
    <t>FF2 325, L. 259, col b</t>
  </si>
  <si>
    <t>FF1 323, L. 186, col b</t>
  </si>
  <si>
    <t>FF2 325, L. 258, col b</t>
  </si>
  <si>
    <t>FF1 323, L. 185, col b</t>
  </si>
  <si>
    <t>FF2 325, L. 257, col b</t>
  </si>
  <si>
    <t>FF1 323, L. 184, col b</t>
  </si>
  <si>
    <t>FF2 325, L. 256, col b</t>
  </si>
  <si>
    <t>FF1 323, L. 183, col b</t>
  </si>
  <si>
    <t>FF2 325, L. 255, col b</t>
  </si>
  <si>
    <t>FF1 323, L. 182, col b</t>
  </si>
  <si>
    <t>FF2 325, L. 254, col b</t>
  </si>
  <si>
    <t>FF1 323, L. 181, col b</t>
  </si>
  <si>
    <t>Amount Excluded</t>
  </si>
  <si>
    <t>Acct.</t>
  </si>
  <si>
    <t>Total Company Adj</t>
  </si>
  <si>
    <t xml:space="preserve">Total Company </t>
  </si>
  <si>
    <t>Data</t>
  </si>
  <si>
    <t>FERC Form 2</t>
  </si>
  <si>
    <t>Col 7 = Col 5 - Col 6</t>
  </si>
  <si>
    <t>Col 5 = Col 1+Col 3</t>
  </si>
  <si>
    <t>1)  Calculation of Total Company Adjusted A&amp;G Expense</t>
  </si>
  <si>
    <t>Input Cells are shaded in gold</t>
  </si>
  <si>
    <t>Administrative and General Expenses</t>
  </si>
  <si>
    <t>1) Immaterial reconciling difference.</t>
  </si>
  <si>
    <t>Note 2, 5</t>
  </si>
  <si>
    <t>Other Transmission Revenue - Wheeling</t>
  </si>
  <si>
    <t>Other Utility Operating Income</t>
  </si>
  <si>
    <t>Reimbursed Electric Revenue - CPUC</t>
  </si>
  <si>
    <t>Other Electric Revenue - Calif Department of Water &amp; Resources (DWR)</t>
  </si>
  <si>
    <t>Reimbursed Electric Revenue Customer Care and Billing (CC&amp;B)</t>
  </si>
  <si>
    <t>Reimbursed Electric Revenue Joint Poles</t>
  </si>
  <si>
    <t>Note 2, 4</t>
  </si>
  <si>
    <t>Reimbursed Electric Revenue</t>
  </si>
  <si>
    <t>Unbilled Electric Revenue</t>
  </si>
  <si>
    <t>New Revenue Development - Electric Revenue</t>
  </si>
  <si>
    <t>NEBS TCRA</t>
  </si>
  <si>
    <t>Mobile Home Park Electric</t>
  </si>
  <si>
    <t>Revenue Damage Claims Electric</t>
  </si>
  <si>
    <t>Other Revenue - Affiliate</t>
  </si>
  <si>
    <t>Timber Sales - Utility</t>
  </si>
  <si>
    <t>Recreation Facilities Revenue</t>
  </si>
  <si>
    <t>MCI Rights-of-Way (B)</t>
  </si>
  <si>
    <t>Other Electric Revenues</t>
  </si>
  <si>
    <t>Acct 456 Total</t>
  </si>
  <si>
    <t>Other Electric Revenue</t>
  </si>
  <si>
    <t>New Revenue Development Fee Revenue</t>
  </si>
  <si>
    <t>New Revenue Development Rent</t>
  </si>
  <si>
    <t>Note 2, 3</t>
  </si>
  <si>
    <t>Rent from Electric Property</t>
  </si>
  <si>
    <t>Acct 454 Total</t>
  </si>
  <si>
    <t>FF1 300, L.19, col b</t>
  </si>
  <si>
    <t>Sales of Water and Water Power</t>
  </si>
  <si>
    <t>Acct 453 Total</t>
  </si>
  <si>
    <t>FF1 300, L. 18, col b</t>
  </si>
  <si>
    <t>Miscellaneous Service Revenues - Reimbursable</t>
  </si>
  <si>
    <t>Miscellaneous Service Electric Customer Fund Management Non-RES</t>
  </si>
  <si>
    <t>Miscellaneous Service Electric Customer Fund Management - RES</t>
  </si>
  <si>
    <t>NRD Revenue Other</t>
  </si>
  <si>
    <t>Miscellaneous Service Revenues</t>
  </si>
  <si>
    <t>Acct 451 Total</t>
  </si>
  <si>
    <t>FF1 300, L. 17, col b</t>
  </si>
  <si>
    <t>Forfeited Discounts</t>
  </si>
  <si>
    <t>Acct 450 Total</t>
  </si>
  <si>
    <t>FF1 300, L. 16, col b</t>
  </si>
  <si>
    <t>ACCT DESCRIPTION</t>
  </si>
  <si>
    <t>NATURAL ACCT</t>
  </si>
  <si>
    <t>FERC ACCT</t>
  </si>
  <si>
    <t>1) Insert additional lines as necessary for additional items.</t>
  </si>
  <si>
    <t>Expense</t>
  </si>
  <si>
    <t>Col 1 - Col 2</t>
  </si>
  <si>
    <t>California Rev. &amp; Tax. Cd. § 23151</t>
  </si>
  <si>
    <t>Internal Revenue Code (IRC) Section 11</t>
  </si>
  <si>
    <t>Value</t>
  </si>
  <si>
    <t>Income Tax Rates</t>
  </si>
  <si>
    <t>Total PG&amp;E Electric Net Plant In Service (Functional + CGI)</t>
  </si>
  <si>
    <t>Total PG&amp;E Electric Accumulated Depreciation including CGI</t>
  </si>
  <si>
    <t>Calculation of Prior Year Property Tax Allocation Factor</t>
  </si>
  <si>
    <t>Liability Insurance Allocation Factor (50/50)</t>
  </si>
  <si>
    <t>Calculation of Prior Year Liability Insurance Allocation Factor</t>
  </si>
  <si>
    <t>Total PG&amp;E Electric Plant In Service including CGI Plant</t>
  </si>
  <si>
    <t>Total Adjusted Electric Wages and Salaries wo A&amp;G</t>
  </si>
  <si>
    <t>Total Electric Department Labor as a % of Total Company Labor</t>
  </si>
  <si>
    <t>Cost Adjustment</t>
  </si>
  <si>
    <t>Electric A&amp;G Wages and Salaries</t>
  </si>
  <si>
    <t>FF1 354, L. 27, col b</t>
  </si>
  <si>
    <t>Total Electric Department Wages and Salaries</t>
  </si>
  <si>
    <t>FF1 355, L. 61, col b</t>
  </si>
  <si>
    <t>Gas A&amp;G Wages and Salaries</t>
  </si>
  <si>
    <t xml:space="preserve">Electric A&amp;G Wages and Salaries </t>
  </si>
  <si>
    <t>FF1 355, L. 65, col b</t>
  </si>
  <si>
    <t>Total Company Wages and Salaries</t>
  </si>
  <si>
    <t>Calculation of Prior Year Total Electric Department Labor Allocation Factor</t>
  </si>
  <si>
    <t>Calculation of Allocation Factors</t>
  </si>
  <si>
    <t>Franchise Fee Factor</t>
  </si>
  <si>
    <t>Days in Prior Year</t>
  </si>
  <si>
    <t>To</t>
  </si>
  <si>
    <t>From</t>
  </si>
  <si>
    <t>2) Approved San Francisco Gross Receipts Tax Factor(s)</t>
  </si>
  <si>
    <t>1) Approved Franchise Fee Factor(s)</t>
  </si>
  <si>
    <t xml:space="preserve"> </t>
  </si>
  <si>
    <t>Negative End of Year Value</t>
  </si>
  <si>
    <t>Negative 13-Month Avg</t>
  </si>
  <si>
    <t>Negative BOY EOY Avg</t>
  </si>
  <si>
    <t>13-WorkCap, L. 112, col 2</t>
  </si>
  <si>
    <t>13-WorkCap, L. 217, col 5</t>
  </si>
  <si>
    <t>14-ADIT, L. 106, col 2</t>
  </si>
  <si>
    <t>5-CostofCap-4, L. 106</t>
  </si>
  <si>
    <t>24-Allocators, L. 112</t>
  </si>
  <si>
    <t>22-TaxRates, L. 100</t>
  </si>
  <si>
    <t>22-TaxRates, L. 101</t>
  </si>
  <si>
    <t>13-WorkCap, L. 113, col 2</t>
  </si>
  <si>
    <t>13-WorkCap, L. 215, col 5</t>
  </si>
  <si>
    <t>17-RegAssets, L. 101</t>
  </si>
  <si>
    <t>The monthly balances in Lines 100 -112 are the end-of-month balances for Prior Year and December of Prior Year - 1.</t>
  </si>
  <si>
    <t>24-Allocators, Lines 116, 113</t>
  </si>
  <si>
    <t>Avg. of Line 103 col 1 and col 2</t>
  </si>
  <si>
    <t>Line 103, col 3</t>
  </si>
  <si>
    <t>24-Allocators, L. 109</t>
  </si>
  <si>
    <t>5) See FF1 330, col n, Total</t>
  </si>
  <si>
    <t>Total Company Wages and Salaries w/o A&amp;G</t>
  </si>
  <si>
    <t>Prior Year Dec</t>
  </si>
  <si>
    <t>Maintenance of Structures</t>
  </si>
  <si>
    <t>Maintenance of Station Equipment</t>
  </si>
  <si>
    <t>Column</t>
  </si>
  <si>
    <t xml:space="preserve">(Plus) Interest on Long-Term Debt (Acct. 427) </t>
  </si>
  <si>
    <t>(Plus) Amort. of Debt Disc. and Expense (Acct. 428)</t>
  </si>
  <si>
    <t>(Plus) Amortization of Loss on Reacquired Debt (Acct. 428.1)</t>
  </si>
  <si>
    <t>(Less) Amort. of Premium on Debt-Credit (Acct. 429)</t>
  </si>
  <si>
    <t xml:space="preserve">(Less) Amortization of Gain on Reacquired Debt-Credit (Acct. 429.1) </t>
  </si>
  <si>
    <t xml:space="preserve">1) PG&amp;E's Treasury uses an internal monthly Excel-based report to track historical information associated with preferred stock issuances.  Due to the age of </t>
  </si>
  <si>
    <t>each preferred stock series, many of the original hard copy records are no longer available, and electronic records were not available at time of issuance.</t>
  </si>
  <si>
    <t>FF1 112, L. 18, col c</t>
  </si>
  <si>
    <t>FF1 112, L. 19, col c</t>
  </si>
  <si>
    <t>FF1 112, L. 21, col c</t>
  </si>
  <si>
    <t>FF1 112, L. 22, col c</t>
  </si>
  <si>
    <t>FF1 112, L. 23, col c</t>
  </si>
  <si>
    <t>FF1 117, L. 62, col c</t>
  </si>
  <si>
    <t>FF1 117, L. 63, col c</t>
  </si>
  <si>
    <t>FF1 117, L. 64, col c</t>
  </si>
  <si>
    <t>FF1 117, L. 65, col c</t>
  </si>
  <si>
    <t>FF1 117, L. 66, col c</t>
  </si>
  <si>
    <t xml:space="preserve">. . . </t>
  </si>
  <si>
    <t>Table of Contents</t>
  </si>
  <si>
    <t>Schedule</t>
  </si>
  <si>
    <t>5-CostofCap-1</t>
  </si>
  <si>
    <t>5-CostofCap-2</t>
  </si>
  <si>
    <t>5-CostofCap-3</t>
  </si>
  <si>
    <t>5-CostofCap-4</t>
  </si>
  <si>
    <t>6-PlantJurisdiction</t>
  </si>
  <si>
    <t>10-AccDep</t>
  </si>
  <si>
    <t>11-Depreciation</t>
  </si>
  <si>
    <t>12-DepRates</t>
  </si>
  <si>
    <t>13-WorkCap</t>
  </si>
  <si>
    <t>14-ADIT</t>
  </si>
  <si>
    <t>18-OandM</t>
  </si>
  <si>
    <t>19-AandG</t>
  </si>
  <si>
    <t>20-RevenueCredits</t>
  </si>
  <si>
    <t>22-TaxRates</t>
  </si>
  <si>
    <t>24-Allocators</t>
  </si>
  <si>
    <t>Depreciation Rates</t>
  </si>
  <si>
    <t>Number Format</t>
  </si>
  <si>
    <t>Reference Order</t>
  </si>
  <si>
    <t>Reference order: page (or tab) number, line number, column number, note number.  A comma separates each reference element.  Notes contained in the FERC Form 1 are not numbered (see example below).</t>
  </si>
  <si>
    <t>Workpaper Naming Conventions</t>
  </si>
  <si>
    <t>Workpaper Tabs and Structure</t>
  </si>
  <si>
    <t>Workpaper tabs are numbered and do not have names or otherwise attempt to describe the contents of the workpaper with the exception of the Table of Contents sheet.</t>
  </si>
  <si>
    <t>The first sheet of a workpaper with multiple sheets is a Table of Contents.  The tab for the Table of Contents sheet is named “TOC”.  The TOC sheet lists the tab number and the description of the workpaper contents taken from the workpaper heading.</t>
  </si>
  <si>
    <t>Excel “Currency” number format is used.</t>
  </si>
  <si>
    <t>REFERENCE</t>
  </si>
  <si>
    <t>FORM OF REFERENCE</t>
  </si>
  <si>
    <t>EXAMPLE</t>
  </si>
  <si>
    <t>NOTES</t>
  </si>
  <si>
    <t>col (column # or letter)</t>
  </si>
  <si>
    <t>col k or col 6</t>
  </si>
  <si>
    <t>FERC Form No. 1</t>
  </si>
  <si>
    <t>FF1</t>
  </si>
  <si>
    <t>FF1 337.2, L. 20, col k</t>
  </si>
  <si>
    <t>FF1 234, Note(s)</t>
  </si>
  <si>
    <t>(internal reference)</t>
  </si>
  <si>
    <t>Line (line #)</t>
  </si>
  <si>
    <t>Line 25</t>
  </si>
  <si>
    <t>Internal reference – source within the same Schedule or Workpaper sheet</t>
  </si>
  <si>
    <t>(external reference)</t>
  </si>
  <si>
    <t>L. (line #)</t>
  </si>
  <si>
    <t>L. 25</t>
  </si>
  <si>
    <t>External reference – source outside the Schedule or Workpaper sheet</t>
  </si>
  <si>
    <t>Note</t>
  </si>
  <si>
    <t>Note(s) (note #, if provided)</t>
  </si>
  <si>
    <t>14-ADIT, Note 1</t>
  </si>
  <si>
    <t>FF1 450.1, Notes</t>
  </si>
  <si>
    <t>Page</t>
  </si>
  <si>
    <t>(page #)</t>
  </si>
  <si>
    <t>337.2 or 2-24</t>
  </si>
  <si>
    <t>337.2, L. 10, col k</t>
  </si>
  <si>
    <t>Nothing precedes the page number(s).</t>
  </si>
  <si>
    <t>(schedule name)</t>
  </si>
  <si>
    <t>Nothing precedes the schedule name</t>
  </si>
  <si>
    <t>Tabs</t>
  </si>
  <si>
    <t>(tab #)</t>
  </si>
  <si>
    <t>Nothing precedes the tab number.</t>
  </si>
  <si>
    <t>FORMATTING:</t>
  </si>
  <si>
    <t>REFERENCES:</t>
  </si>
  <si>
    <t>Total Amount Outstanding (sum of above):</t>
  </si>
  <si>
    <t>Net Proceeds at Issuance</t>
  </si>
  <si>
    <t>Total Annual Cost (sum of above):</t>
  </si>
  <si>
    <t>Annual
Dividend</t>
  </si>
  <si>
    <t>Total Premium/
Discount Cost</t>
  </si>
  <si>
    <t>Face Value/ Amount Outstanding</t>
  </si>
  <si>
    <t>Unamortized Issuance Cost</t>
  </si>
  <si>
    <t xml:space="preserve">Issuance Amortization Cost </t>
  </si>
  <si>
    <t>Income Taxes = [((RB * ER) + FPD) * (CTR/(1 – CTR))]  + CO/(1 – CTR)]</t>
  </si>
  <si>
    <t>WP_19-AandG 1, L. 106</t>
  </si>
  <si>
    <t>WP_19-AandG 1, L. 206</t>
  </si>
  <si>
    <t>WP_19-AandG 1, L. 306</t>
  </si>
  <si>
    <t>WP_19-AandG 1, L. 406</t>
  </si>
  <si>
    <t>WP_19-AandG 1, L. 506</t>
  </si>
  <si>
    <t>WP_19-AandG 1, L. 606</t>
  </si>
  <si>
    <t>WP_19-AandG 1, L. 706</t>
  </si>
  <si>
    <t>WP_19-AandG 1, L. 806</t>
  </si>
  <si>
    <t>WP_19-AandG 1, L. 906</t>
  </si>
  <si>
    <t>WP_19-AandG 1, L. 1006</t>
  </si>
  <si>
    <t xml:space="preserve">(Plus) Unamortized Premium on Long-Term Debt (Acct. 225) </t>
  </si>
  <si>
    <t xml:space="preserve">(Less) Unamortized Discount on Long-Term Debt-Debit (Acct. 226) </t>
  </si>
  <si>
    <t>24-Allocators, L. 119, 112</t>
  </si>
  <si>
    <t>FF1 234, L. 18, col c</t>
  </si>
  <si>
    <t>FF1 275, L. 9, col k</t>
  </si>
  <si>
    <t>24-Allocators, L. 116, 113</t>
  </si>
  <si>
    <t>FF1 277, L. 19, col k</t>
  </si>
  <si>
    <t>Sum Col 3 to Col 6</t>
  </si>
  <si>
    <t>END BAL per G/L</t>
  </si>
  <si>
    <t>Sum Lines 201, 301, 401, 501, 601</t>
  </si>
  <si>
    <t>FF1 300, L. 21-22, col b</t>
  </si>
  <si>
    <t>Totals</t>
  </si>
  <si>
    <t>WP_14-ADIT 2, L. 100, Col 2</t>
  </si>
  <si>
    <t>WP_14-ADIT 2, L. 101, Col 2</t>
  </si>
  <si>
    <t>WP_14-ADIT 2, L. 102, Col 2</t>
  </si>
  <si>
    <t>WP_14-ADIT 2, L. 103, Col 2</t>
  </si>
  <si>
    <t>WP_14-ADIT 2, L. 104, Col 2</t>
  </si>
  <si>
    <t>WP_14-ADIT 2, L. 105, Col 2</t>
  </si>
  <si>
    <t>WP_14-ADIT 2, L. 107, Col 2</t>
  </si>
  <si>
    <t>WP_14-ADIT 2, L. 108, Col 2</t>
  </si>
  <si>
    <t>WP_14-ADIT 2, L. 109, Col 2</t>
  </si>
  <si>
    <t>WP_14-ADIT 4, L. 103, Col 2</t>
  </si>
  <si>
    <t>WP_14-ADIT 7, L. 105, Col 6</t>
  </si>
  <si>
    <t>WP_19-AandG 2, L. 102</t>
  </si>
  <si>
    <t>WP_24-Allocators_Labor, L. 100, col 3</t>
  </si>
  <si>
    <t>WP_14-ADIT 7, L. 100 + L. 101, col 6</t>
  </si>
  <si>
    <t>WP_14-ADIT 1, L. 100, col 7</t>
  </si>
  <si>
    <t>Net Plant Property Tax Allocation Factor</t>
  </si>
  <si>
    <t>(Less) Unamortized Debt Expenses (Acct. 181)</t>
  </si>
  <si>
    <t>(Less) Unamortized Loss on Reacquired Debt (Acct. 189)</t>
  </si>
  <si>
    <t>FF1 111, L. 69, col c</t>
  </si>
  <si>
    <t>FF1 111, L. 81, col c</t>
  </si>
  <si>
    <t xml:space="preserve">1) Input the ROE for the Prior Year on Line 200. </t>
  </si>
  <si>
    <t>Prior Year Return on Common Equity</t>
  </si>
  <si>
    <t>PG&amp;E Return on Common Equity</t>
  </si>
  <si>
    <t>3)  Summary of Total Company Adjustments</t>
  </si>
  <si>
    <t>Not Seeking Recovery</t>
  </si>
  <si>
    <t>Non A&amp;G Costs and Other</t>
  </si>
  <si>
    <t xml:space="preserve">Total by FERC Account </t>
  </si>
  <si>
    <t>Total by Adjustment Type</t>
  </si>
  <si>
    <t>FERC Forms 1 and 2 balances in accounts 928, 929 and 931 are zero; therefore, these accounts are not shown on WP_19-AandG.</t>
  </si>
  <si>
    <t>Total by FERC account</t>
  </si>
  <si>
    <t>14-ADIT, L. 104, col 2</t>
  </si>
  <si>
    <t>5-CostofCap-3, L. 114</t>
  </si>
  <si>
    <t>Line 204</t>
  </si>
  <si>
    <t>Line 203</t>
  </si>
  <si>
    <t>Based on Blended Labor and Plant Factor</t>
  </si>
  <si>
    <t>Line for extra data</t>
  </si>
  <si>
    <t>or Shortfall in</t>
  </si>
  <si>
    <t>Retail Revenue</t>
  </si>
  <si>
    <t>ROE from Schedule 1; if there are mid-year changes, a workpaper will be provided</t>
  </si>
  <si>
    <t xml:space="preserve"> . . .</t>
  </si>
  <si>
    <t>Federal Secondary</t>
  </si>
  <si>
    <t>Composite Income Tax Rate</t>
  </si>
  <si>
    <t>Sum of Lines 100-Line 102</t>
  </si>
  <si>
    <t>State Franchise Tax Rate (California)</t>
  </si>
  <si>
    <t>Reflects the federal tax deduction for state taxes which reduces the composite income tax rate</t>
  </si>
  <si>
    <t>Negative Line 100 * Line 101</t>
  </si>
  <si>
    <t xml:space="preserve">Sources of adjustments are individual SAP reports by FERC account with detailed descriptions of activity and accounting information.  </t>
  </si>
  <si>
    <t>Total Return on Capital</t>
  </si>
  <si>
    <t>WP_14-ADIT 2, L. 106, Col 2 and WP_14-ADIT 3, L. 113</t>
  </si>
  <si>
    <t>WP_24-Allocators_Labor, L. 100, col 5</t>
  </si>
  <si>
    <t>2) For January through December = previous month balance plus amount in col 2.</t>
  </si>
  <si>
    <t>WP_14-ADIT 6, L. 101, Col 6</t>
  </si>
  <si>
    <t xml:space="preserve">Note 1:   Materials and Supplies month-end balances are extracted from SAP by querying by General Ledger (GL) Account. December balances are from FF1 227, L. 12, cols b and c. </t>
  </si>
  <si>
    <t>Beginning Deferred Tax Balance (Line 105, Col. 2)</t>
  </si>
  <si>
    <t>Prior Month Col 8 + Col 7</t>
  </si>
  <si>
    <t>1) Tax Rates for the Rate Year</t>
  </si>
  <si>
    <t>22-TaxRates, L. 200</t>
  </si>
  <si>
    <t>22-TaxRates, L. 201</t>
  </si>
  <si>
    <t>FF1 354, L. 28, col b</t>
  </si>
  <si>
    <t xml:space="preserve">PG&amp;E is a utility providing both electric and gas services to it customers.   The adjustments shown in the Table above are from WP_19-AandG.  </t>
  </si>
  <si>
    <t>2)Tax Rates for the Prior Year True-up</t>
  </si>
  <si>
    <t>Remove Non A&amp;G Costs and other costs, for example Gas LOB costs erroneously recorded in A&amp;G FERC Accounts and Franchise Fee Expense that is a caclulation within the Model.</t>
  </si>
  <si>
    <t>a</t>
  </si>
  <si>
    <t>b</t>
  </si>
  <si>
    <t>c</t>
  </si>
  <si>
    <t>Excess Acccumulated Deferred Income Taxes</t>
  </si>
  <si>
    <t>Total Excess and Accumulated Statutory Deferred Income Taxes</t>
  </si>
  <si>
    <t>Total Excess and Accumulated Deferred Income Taxes</t>
  </si>
  <si>
    <t>FF1 267, L. 8 + L. 13, col h</t>
  </si>
  <si>
    <t>FF1 277, L. 3 + L. 11, col k</t>
  </si>
  <si>
    <t>FF1 277, L. 4 + L. 12, col k</t>
  </si>
  <si>
    <t>FF1 277, L. 5 + L. 14 + L.18, col k</t>
  </si>
  <si>
    <t>Order 864 Permanent Worksheet(s) Category 1 Information</t>
  </si>
  <si>
    <t>Category 2 Information</t>
  </si>
  <si>
    <t>Category 3 Information</t>
  </si>
  <si>
    <t>Category 5 Information</t>
  </si>
  <si>
    <t>Category 4 Information</t>
  </si>
  <si>
    <t>Col 16</t>
  </si>
  <si>
    <t>Col 17</t>
  </si>
  <si>
    <t xml:space="preserve">ADIT Balance </t>
  </si>
  <si>
    <t>Remeasurement</t>
  </si>
  <si>
    <t>(Excess)/Deficient</t>
  </si>
  <si>
    <t>Prior to TCJA</t>
  </si>
  <si>
    <t>ADIT Balance</t>
  </si>
  <si>
    <t>Beg Bal</t>
  </si>
  <si>
    <t>ADIT Amortization</t>
  </si>
  <si>
    <t>End Bal</t>
  </si>
  <si>
    <t>@ 35% FIT</t>
  </si>
  <si>
    <t>@ 21% FIT</t>
  </si>
  <si>
    <t>ADIT Recorded</t>
  </si>
  <si>
    <t xml:space="preserve">PROTECTED </t>
  </si>
  <si>
    <t>UNPROTECTED</t>
  </si>
  <si>
    <t>Period</t>
  </si>
  <si>
    <t>Recorded</t>
  </si>
  <si>
    <t>Acct 182.3 / Acct 254</t>
  </si>
  <si>
    <t>FIXED ASSETS</t>
  </si>
  <si>
    <t>NON FIXED ASSETS</t>
  </si>
  <si>
    <t>TOTALS</t>
  </si>
  <si>
    <t>ARAM/ARL/Years</t>
  </si>
  <si>
    <t>Acct 410.1 / Acct 411.1</t>
  </si>
  <si>
    <t>Method Life</t>
  </si>
  <si>
    <t>ARAM</t>
  </si>
  <si>
    <t>Fixed Assets Book Tax Basis Differences</t>
  </si>
  <si>
    <t>Non Fixed Assets Book Tax Basis Differences</t>
  </si>
  <si>
    <t>Non Fixed Asset Book Tax Differences</t>
  </si>
  <si>
    <t>Net Operating Loss Carryover</t>
  </si>
  <si>
    <t>Adjustments to December 31, 2017 Amounts</t>
  </si>
  <si>
    <t>ADIT Item 1</t>
  </si>
  <si>
    <t>Total Including Adjustments</t>
  </si>
  <si>
    <t>Details of ADIT</t>
  </si>
  <si>
    <t>Total Fixed Assets Book Tax Basis Differences</t>
  </si>
  <si>
    <t>Total Non Fixed Assets Book Tax Basis Differences</t>
  </si>
  <si>
    <t>Total Non Fixed Asset Book Tax Differences</t>
  </si>
  <si>
    <t>Amortization of Excess Deferred Federal Income Taxes</t>
  </si>
  <si>
    <t>Some Schedules have a"…" row.  These rows are intended for new data to be added in a future update.</t>
  </si>
  <si>
    <t>Acct # 254</t>
  </si>
  <si>
    <t xml:space="preserve">  Total Method Life</t>
  </si>
  <si>
    <t>Includes Cost of Removal</t>
  </si>
  <si>
    <t>Weighted Average ADIT Balance</t>
  </si>
  <si>
    <t>Issue #1</t>
  </si>
  <si>
    <t>BOY Unamortized Excess Federal Accumulated Deferred Income Taxes</t>
  </si>
  <si>
    <t>EOY Unamortized Excess Federal Accumulated Deferred Income Taxes</t>
  </si>
  <si>
    <t>17-RegAssets-1, L. 201</t>
  </si>
  <si>
    <t>2) Unamortized Excess ADIT and Tax Normalization Calculation Pursuant to Treas. Reg §1.167(l)-1(h)(6); PLR 9313008; 9202029; 922404; 201717008</t>
  </si>
  <si>
    <t>Note 1: The monthly deferred tax amounts are equal to the ending ADIT balance minus the beginning ADIT balance, divided by 12 months.</t>
  </si>
  <si>
    <t>Note 2: For January through December = previous month balance plus amount in col 2.</t>
  </si>
  <si>
    <t>Acct # 411.1</t>
  </si>
  <si>
    <t>Line 103, col 2</t>
  </si>
  <si>
    <t>Line 217, Col 8</t>
  </si>
  <si>
    <t>Beginning Deferred Tax Balance (Line 200)</t>
  </si>
  <si>
    <t>Col 5 - Col 10</t>
  </si>
  <si>
    <t>Sum Col 5 to Col 7</t>
  </si>
  <si>
    <t>Col 6 - Col 11</t>
  </si>
  <si>
    <t>Col 7 - Col 12</t>
  </si>
  <si>
    <t>Sum Col 14 to Col 16</t>
  </si>
  <si>
    <t>Col 18</t>
  </si>
  <si>
    <t>Col 19</t>
  </si>
  <si>
    <t>Col 20</t>
  </si>
  <si>
    <t>Col 21</t>
  </si>
  <si>
    <t>Col 22</t>
  </si>
  <si>
    <t>Col 23</t>
  </si>
  <si>
    <t>Col 24</t>
  </si>
  <si>
    <t>Col 14 - Col 18</t>
  </si>
  <si>
    <t>Col 15 - Col 19</t>
  </si>
  <si>
    <t>Col 16 - Col 20</t>
  </si>
  <si>
    <t>Sum Col 21 to Col 23</t>
  </si>
  <si>
    <t>1) Calculation of Regulatory Assets and Liabilities and Amortization of Debits and Credits</t>
  </si>
  <si>
    <t>17-RegAssets-1</t>
  </si>
  <si>
    <t>17-RegAssets-2</t>
  </si>
  <si>
    <t>17-RegAssets-1, L. 202</t>
  </si>
  <si>
    <t>17-RegAssets-1, L. 102</t>
  </si>
  <si>
    <t>17-RegAssets-1, L. 100</t>
  </si>
  <si>
    <t>Customer</t>
  </si>
  <si>
    <t>System Demand</t>
  </si>
  <si>
    <t>Allocation Factor Names and Mnemonics</t>
  </si>
  <si>
    <t>Col 1
(Sum Cols 2 - 3)</t>
  </si>
  <si>
    <t>Col 3
(Sum Cols 4 - 10)</t>
  </si>
  <si>
    <t>3) Calculation of Weighted Average SFGR and Franchise Fee Factors</t>
  </si>
  <si>
    <t>Maximum</t>
  </si>
  <si>
    <t>Total Retail</t>
  </si>
  <si>
    <t>Total Wholesale</t>
  </si>
  <si>
    <t>Wholesale Distribution Revenues</t>
  </si>
  <si>
    <t>2) Calculation of Allocated True-up Revenue Requirements</t>
  </si>
  <si>
    <t>Demand Loss Factors</t>
  </si>
  <si>
    <t>Energy Loss Factors</t>
  </si>
  <si>
    <t xml:space="preserve">Meter to </t>
  </si>
  <si>
    <t xml:space="preserve">Generation </t>
  </si>
  <si>
    <t>to Meter</t>
  </si>
  <si>
    <t>Generation Tie Output (High Voltage Input)</t>
  </si>
  <si>
    <t>High Voltage Output (Low Voltage Input)</t>
  </si>
  <si>
    <t>Low Voltage Output (Primary Distn. Input)</t>
  </si>
  <si>
    <t>Primary Output (Secondary Input)</t>
  </si>
  <si>
    <t>Secondary Output</t>
  </si>
  <si>
    <t>1) Wholesale Distribution Tariff Demand for Allocation (kW) (Note 1)</t>
  </si>
  <si>
    <t>2) Summary of System Demand for Allocation (kW)</t>
  </si>
  <si>
    <t>Col 2
(Note 3)</t>
  </si>
  <si>
    <t>Col 4
(Note 4)</t>
  </si>
  <si>
    <t>Col 5
(Note 4)</t>
  </si>
  <si>
    <t>Col 6
(Note 4)</t>
  </si>
  <si>
    <t>Col 7
(Note 4)</t>
  </si>
  <si>
    <t>Col 8
(Note 4)</t>
  </si>
  <si>
    <t>Col 9
(Note 4)</t>
  </si>
  <si>
    <t>Col 10
(Note 4)</t>
  </si>
  <si>
    <t>FUNCTIONALIZED SYSTEM AVERAGE LOSS FACTORS</t>
  </si>
  <si>
    <t>TRANSMISSION (Note 1)</t>
  </si>
  <si>
    <t>DISTRIBUTION (Note 2)</t>
  </si>
  <si>
    <r>
      <rPr>
        <b/>
        <sz val="11"/>
        <color theme="1"/>
        <rFont val="Calibri"/>
        <family val="2"/>
        <scheme val="minor"/>
      </rPr>
      <t>Note 1:</t>
    </r>
    <r>
      <rPr>
        <sz val="11"/>
        <color theme="1"/>
        <rFont val="Calibri"/>
        <family val="2"/>
        <scheme val="minor"/>
      </rPr>
      <t xml:space="preserve"> Transmission Loss Factors are from the "Transmission Loss Factors Study", dated May 14, 2010 and from the "TO-14_TandD_LossFactors.xlsx" worksheet.</t>
    </r>
  </si>
  <si>
    <r>
      <rPr>
        <b/>
        <sz val="11"/>
        <color theme="1"/>
        <rFont val="Calibri"/>
        <family val="2"/>
        <scheme val="minor"/>
      </rPr>
      <t>Note 2:</t>
    </r>
    <r>
      <rPr>
        <sz val="11"/>
        <color theme="1"/>
        <rFont val="Calibri"/>
        <family val="2"/>
        <scheme val="minor"/>
      </rPr>
      <t xml:space="preserve"> Distribution Loss Factors are from the "Distribution Loss Values for theTO-8 Filing" study, updated for TO14, and from the "TO-14_TandD_LossFactors.xlsx" worksheet.</t>
    </r>
  </si>
  <si>
    <t>Primary Load Ratio Share:</t>
  </si>
  <si>
    <t>Secondary Load Ratio Share:</t>
  </si>
  <si>
    <t>1) Prior Year Wholesale Primary Demand (kW) (Note 1)</t>
  </si>
  <si>
    <t>Secondary Load Primary Cost:</t>
  </si>
  <si>
    <t>1) Calculation of Customer Specific Rates for Wholesale Distribution Service</t>
  </si>
  <si>
    <t>2) Calculation of Initial Rates for Wholesale Distribution Service</t>
  </si>
  <si>
    <t>Total Annual Primary Demand</t>
  </si>
  <si>
    <t>Initial Primary Rate</t>
  </si>
  <si>
    <t>Primary</t>
  </si>
  <si>
    <t>Secondary</t>
  </si>
  <si>
    <t>Distribution Plant</t>
  </si>
  <si>
    <t>Distribution Depreciation Reserve</t>
  </si>
  <si>
    <t>Total Distribution Property Taxes</t>
  </si>
  <si>
    <t>Network Distribution Labor as a % of Total Electric Labor Allocation Factor</t>
  </si>
  <si>
    <t>Total Distribution Payroll Tax Expense</t>
  </si>
  <si>
    <t>3) List of Wholesale Customers on Initial Rates for Wholesale Distribution Service</t>
  </si>
  <si>
    <t>Service Agreement No.</t>
  </si>
  <si>
    <t>Service Start Date</t>
  </si>
  <si>
    <t>3) Calculation of Prior Year Customer-Specific True-up Rates</t>
  </si>
  <si>
    <t>Primary Rates Calculation</t>
  </si>
  <si>
    <t>Secondary Rates Calculation</t>
  </si>
  <si>
    <t>4) Calculation of True-up Adjustments</t>
  </si>
  <si>
    <t>Prior Year Primary True-up Adjustment:</t>
  </si>
  <si>
    <t>Prior Year Secondary True-up Adjustment:</t>
  </si>
  <si>
    <t>Shading and Labeling</t>
  </si>
  <si>
    <t>In the Schedules and Workpapers, those cells shaded in gold are inputs to the Model and change for each Annual Update.   
Cells labeled as Sources or Notes are subject to revision pursuant to Section 8 of the Protocols.</t>
  </si>
  <si>
    <t>Wholesale Distribution Tariff</t>
  </si>
  <si>
    <t>EDP</t>
  </si>
  <si>
    <t>STORAGE BATTERY EQUIPMENT</t>
  </si>
  <si>
    <t>ENERGY STORAGE</t>
  </si>
  <si>
    <t>POLES, TOWERS AND FIXTURES</t>
  </si>
  <si>
    <t>LINE TRANSFORMERS - OVERHEAD</t>
  </si>
  <si>
    <t>LINE TRANSFORMERS - UNDERGROUND</t>
  </si>
  <si>
    <t>SERVICES - OVERHEAD</t>
  </si>
  <si>
    <t>SERVICES - UNDERGROUND</t>
  </si>
  <si>
    <t>METERS</t>
  </si>
  <si>
    <t>INSTALLATIONS ON CUSTOMERS' PREMISES</t>
  </si>
  <si>
    <t>LEASED PROPERTY ON CUSTOMERS' PREMISES</t>
  </si>
  <si>
    <t>EDP36002</t>
  </si>
  <si>
    <t>EDP36101</t>
  </si>
  <si>
    <t>EDP36102</t>
  </si>
  <si>
    <t>EDP36200</t>
  </si>
  <si>
    <t>EDP36300</t>
  </si>
  <si>
    <t>EDP36301</t>
  </si>
  <si>
    <t>EDP36400</t>
  </si>
  <si>
    <t>EDP36500</t>
  </si>
  <si>
    <t>EDP36600</t>
  </si>
  <si>
    <t>EDP36700</t>
  </si>
  <si>
    <t>EDP36801</t>
  </si>
  <si>
    <t>EDP36802</t>
  </si>
  <si>
    <t>EDP36901</t>
  </si>
  <si>
    <t>EDP36902</t>
  </si>
  <si>
    <t>EDP37001</t>
  </si>
  <si>
    <t>EDP36001</t>
  </si>
  <si>
    <t>EDP37000</t>
  </si>
  <si>
    <t>EDP37100</t>
  </si>
  <si>
    <t>EDP37101</t>
  </si>
  <si>
    <t>EDP37102</t>
  </si>
  <si>
    <t>EDP37200</t>
  </si>
  <si>
    <t>EDP37301</t>
  </si>
  <si>
    <t>EDP37302</t>
  </si>
  <si>
    <t>EDP37303</t>
  </si>
  <si>
    <t>EDP37304</t>
  </si>
  <si>
    <t>Electric Distribution Plant by FERC Account</t>
  </si>
  <si>
    <t xml:space="preserve">FF1 207, L. 60, col g </t>
  </si>
  <si>
    <t xml:space="preserve">FF1 207, L. 61, col g </t>
  </si>
  <si>
    <t xml:space="preserve">FF1 207, L. 62, col g </t>
  </si>
  <si>
    <t>Storage Battery Equipment</t>
  </si>
  <si>
    <t xml:space="preserve">FF1 207, L. 63, col g </t>
  </si>
  <si>
    <t>Poles, Towers, and Fixtures</t>
  </si>
  <si>
    <t xml:space="preserve">FF1 207, L. 64, col g </t>
  </si>
  <si>
    <t xml:space="preserve">FF1 207, L. 65, col g </t>
  </si>
  <si>
    <t xml:space="preserve">FF1 207, L. 66, col g </t>
  </si>
  <si>
    <t>Underground Conduit and Devices</t>
  </si>
  <si>
    <t xml:space="preserve">FF1 207, L. 67, col g </t>
  </si>
  <si>
    <t>Line Transformers</t>
  </si>
  <si>
    <t xml:space="preserve">FF1 207, L. 68, col g </t>
  </si>
  <si>
    <t>Services</t>
  </si>
  <si>
    <t xml:space="preserve">FF1 207, L. 69, col g </t>
  </si>
  <si>
    <t>Meters</t>
  </si>
  <si>
    <t xml:space="preserve">FF1 207, L. 70, col g </t>
  </si>
  <si>
    <t>Installations on Customer Premises</t>
  </si>
  <si>
    <t xml:space="preserve">FF1 207, L. 71, col g </t>
  </si>
  <si>
    <t>Leased Property on Customer Premises</t>
  </si>
  <si>
    <t xml:space="preserve">FF1 207, L. 72, col g </t>
  </si>
  <si>
    <t>Street Lighting and Signal Systems</t>
  </si>
  <si>
    <t xml:space="preserve">FF1 207, L. 73, col g </t>
  </si>
  <si>
    <t>Asset Retirement Costs for Distribution Plant</t>
  </si>
  <si>
    <t xml:space="preserve">FF1 207, L. 74, col g </t>
  </si>
  <si>
    <t>Electric Distribution Plant In Service</t>
  </si>
  <si>
    <t>1) Total Electric Distribution Functional Plant</t>
  </si>
  <si>
    <t xml:space="preserve">Electric </t>
  </si>
  <si>
    <t>Accumulated Depreciation for Electric Distribution Assets</t>
  </si>
  <si>
    <t>1) Total Accumulated Depreciation for Electric Distribution Functional Plant</t>
  </si>
  <si>
    <t>Electric Distribution Depreciation Expense</t>
  </si>
  <si>
    <t>1) Depreciation Expense for Electric Distribution Functional Plant</t>
  </si>
  <si>
    <t>Total Electric Distribution</t>
  </si>
  <si>
    <t>7-PlantInService, L. 112, col 26</t>
  </si>
  <si>
    <t>Electric Distribution Plant balances are extracted from PowerPlant, PG&amp;E's fixed asset system of record, by querying by Asset Class, FERC Account and UCC.</t>
  </si>
  <si>
    <t>Accumulated Depreciation balances for Electric Distribution Plant are extracted from PowerPlant, PG&amp;E's fixed asset system of record, by querying by Asset Class, FERC Account and UCC.</t>
  </si>
  <si>
    <t>Depreciation Expense for Distribution Plant</t>
  </si>
  <si>
    <t>Depreciation Expense for Common, General and Intangible Plant</t>
  </si>
  <si>
    <t>Income Taxes = [((RB * ER) + FPD) * (CTR/(1 – CTR))]  + CO/(1 – CTR]</t>
  </si>
  <si>
    <t>Total without Franchise Fees and SFGR Tax</t>
  </si>
  <si>
    <t>Total True-up DRR</t>
  </si>
  <si>
    <t>Primary Distribution</t>
  </si>
  <si>
    <t>Secondary Distribution</t>
  </si>
  <si>
    <t>Electric Distribution Wages and Salaries</t>
  </si>
  <si>
    <t>Electric Distribution Labor as a % of Total Electric Allocation Factor</t>
  </si>
  <si>
    <t>Electric Distribution Labor as a % of Total Company Allocation Factor</t>
  </si>
  <si>
    <t>Electric Distribution Accumulated Depreciation including CGI</t>
  </si>
  <si>
    <t>Electric Distribution Net Plant in Service (Functional + CGI)</t>
  </si>
  <si>
    <t>Prepaid property insurance is allocated to Electric Distribution (ED) based on plant ratios.  Prepaid liability insurance is allocated to ED based on a 50% plant, 50% labor ratio.  Other prepayments are allocated to ED based on the labor ratio.</t>
  </si>
  <si>
    <t>Calculation of Prior Year Distribution Plant Allocation Factor</t>
  </si>
  <si>
    <t>Electric Distribution Plant In Service including CGI Plant</t>
  </si>
  <si>
    <t>Electric Distribution Plant as a % of Total Company Plant</t>
  </si>
  <si>
    <t>Electric Distribution Plant as a % of Total Electric Plant</t>
  </si>
  <si>
    <t>4) True-up Distribution Revenue Requirement</t>
  </si>
  <si>
    <t>True-up Distribution Revenue Requirement</t>
  </si>
  <si>
    <t>Allocation Method to Electric Distribution</t>
  </si>
  <si>
    <t>Distribution as a Percent of Electric O&amp;M Labor Allocation Factor:</t>
  </si>
  <si>
    <t>Distribution Portion of A&amp;G from Labor Allocation Factors:</t>
  </si>
  <si>
    <t>1) Adjustment of Electric Distribution Plant in FERC Form 1 for Prior Year:</t>
  </si>
  <si>
    <t>2) Primary/Secondary Distribution Plant Allocation Factors</t>
  </si>
  <si>
    <t>Adjusted Plant</t>
  </si>
  <si>
    <t>Street Lights</t>
  </si>
  <si>
    <t>3) Allocation of Electric Distribution Plant to Primary/Secondary Distribution</t>
  </si>
  <si>
    <t>4) Development of Primary/Secondary Distribution General Allocation Factor</t>
  </si>
  <si>
    <t>Primary/Secondary General Allocation Factor</t>
  </si>
  <si>
    <t>2) Electric Distribution Functional Plant - Primary Distribution</t>
  </si>
  <si>
    <t>3) Electric Distribution Functional Plant - Secondary Distribution</t>
  </si>
  <si>
    <t>4) Direct Assigned Common, General and Intangible (CGI) Plant</t>
  </si>
  <si>
    <t>Direct Assigned Common, General and Intangible (CGI) Plant In Service balances are extracted from PowerPlant, PG&amp;E's fixed asset system of record, by querying by Asset Class, FERC Account and UCC.</t>
  </si>
  <si>
    <t>Col 26</t>
  </si>
  <si>
    <t>Total of Col 1-25</t>
  </si>
  <si>
    <t>2) Accumulated Depreciation for Electric Distribution Functional Plant - Primary Distribution</t>
  </si>
  <si>
    <t>3) Accumulated Depreciation for Electric Distribution Functional Plant - Secondary Distribution</t>
  </si>
  <si>
    <t>4) Accumulated Depreciation for Direct Assigned Common, General and Intangible (CGI) Plant</t>
  </si>
  <si>
    <t>Annual True-up Adjustments</t>
  </si>
  <si>
    <t>Revenue Fee Factors</t>
  </si>
  <si>
    <t>Distribution Revenue Requirement</t>
  </si>
  <si>
    <t>Distribution Revenue Requirement Return when capital is contributed</t>
  </si>
  <si>
    <t>Annual Distribution Carrying Percentage with contributing capital</t>
  </si>
  <si>
    <t>Revenue</t>
  </si>
  <si>
    <t>True-up Revenue</t>
  </si>
  <si>
    <t>CCSF (SA No. 275)</t>
  </si>
  <si>
    <t>PWRPA 1  (SA No. 30)</t>
  </si>
  <si>
    <t>PWRPA 2 (SA No. 56)</t>
  </si>
  <si>
    <t>Westside (SA No. 15)</t>
  </si>
  <si>
    <t>WAPA (SA No. 17)</t>
  </si>
  <si>
    <t>Summary of True-up Adjustments</t>
  </si>
  <si>
    <t>FERC Form 1 Distribution Plant balances are Prior Year ending balances from PG&amp;E's FERC Form 1. Electric Distribution Plant represents the Distribution plant that is eligible for inclusion in rate base.</t>
  </si>
  <si>
    <t>Total Electric Distribution Plant</t>
  </si>
  <si>
    <t>Section 1, Col 4</t>
  </si>
  <si>
    <t>Col 1 * Section 2, Col 2</t>
  </si>
  <si>
    <t>Col 1 * Section 2, Col 3</t>
  </si>
  <si>
    <t>Col 1 * Section 2, Col 4</t>
  </si>
  <si>
    <t>Col 1 * Section 2, Col 5</t>
  </si>
  <si>
    <t>Section 3, Line 314
Col 2/Col 1</t>
  </si>
  <si>
    <t>Section 3, Line 314
Col 3/Col 1</t>
  </si>
  <si>
    <t>Section 3, Line 314
Col 4/Col 1</t>
  </si>
  <si>
    <t>Section 3, Line 314
Col 5/Col 1</t>
  </si>
  <si>
    <t>3) Electric Distribution Plant balances were assigned to cost categories for Primary and Secondary distribution based on engineering reviews, observations of equipment, and studies.</t>
  </si>
  <si>
    <t>4) Distribution Meters are not included in the Wholesale Distribution Tariff.</t>
  </si>
  <si>
    <t>5) Distribution Street Lights are not included in the Wholesale Distribution Tariff.</t>
  </si>
  <si>
    <t>Section 1, Col 1 * 
6-PlantJurisdiction, L. 200, Col 2</t>
  </si>
  <si>
    <t>Section 1, Col 1 * 
6-PlantJurisdiction, L. 200, Col 3</t>
  </si>
  <si>
    <t>2)  Calculation of Distribution A&amp;G Expense</t>
  </si>
  <si>
    <t>Less Account 925 General Liability and Injuries and Damages</t>
  </si>
  <si>
    <t>Distribution Portion of Property Insurance Account 924</t>
  </si>
  <si>
    <t>General Liability Accrued Insurance and Paid Injuries and Damages:</t>
  </si>
  <si>
    <t>Distribution Portion of General Liability Insurance and Injuries and Damages:</t>
  </si>
  <si>
    <t>Total Distribution Portion of Administrative and General Expenses:</t>
  </si>
  <si>
    <t>Line 205 * Line 206</t>
  </si>
  <si>
    <t>Line 207 * Line 208</t>
  </si>
  <si>
    <t>STIP</t>
  </si>
  <si>
    <t>Officer Compensation</t>
  </si>
  <si>
    <t>Accrual to Cash Basis</t>
  </si>
  <si>
    <t>Allocations on Adjustments</t>
  </si>
  <si>
    <t>Remove capital and below-the-line adjustments as appropriate associated with regulatory adjustments described in Notes 3 through 8.</t>
  </si>
  <si>
    <t>Col 1 + Col 3</t>
  </si>
  <si>
    <t>Formula Model Reference</t>
  </si>
  <si>
    <t>2) FERC Account 374 - Asset Retirement Costs for Distribution Plant is not included in rate base.</t>
  </si>
  <si>
    <t>Col 1 * 
6-PlantJurisdiction, L. 400, col 1</t>
  </si>
  <si>
    <t>Col 1 * 
6-PlantJurisdiction, L. 400, col 2</t>
  </si>
  <si>
    <t>Note 2:   PG&amp;E's supply chain management team uses specific material codes to assign recorded inventory balances to Electric Distribution.</t>
  </si>
  <si>
    <t>Corporate Services (Gas and Electric) Residual Common, General and Intangible (CGI) Plant is extracted from PowerPlant, PG&amp;E's fixed asset system of record, by querying by Asset Class, FERC Account and UCC. Corporate Services (Gas and Electric) Residual CGI Plant is allocated to Line of Business based on O&amp;M labor factors.</t>
  </si>
  <si>
    <t>Corporate Services (Electric) Residual Common, General and Intangible (CGI) Plant is extracted from PowerPlant, PG&amp;E's fixed asset system of record, by querying by Asset Class, FERC Account and UCC. Corporate Services (Electric) Residual CGI Plant is allocated to Line of Business based on O&amp;M labor factors.</t>
  </si>
  <si>
    <t>Accumulated Depreciation balances for Corporate Services (Electric) CGI Plant are extracted from PowerPlant, PG&amp;E's fixed asset system of record, by querying by Asset Class, FERC Account and UCC. Corporate Services (Electric) Residual CGI is allocated to Line of Business based on O&amp;M labor factors.</t>
  </si>
  <si>
    <t>Accumulated Depreciation balances for Corporate Services (Gas and Electric) Residual CGI Plant are extracted from PowerPlant, PG&amp;E's fixed asset system of record, by querying by Asset Class, FERC Account and UCC. Corporate Services (Gas and Electric) Residual CGI is allocated to Line of Business based on O&amp;M labor factors.</t>
  </si>
  <si>
    <t>Depreciation Expense for Corporate Services (Electric) Residual CGI Plant is extracted from PowerPlant, PG&amp;E's fixed asset system of record, by querying by Asset Class. It is allocated to UCC based on Prior Year ending plant balances and to Line of Business based on O&amp;M labor factors.</t>
  </si>
  <si>
    <t>Total Company Distribution</t>
  </si>
  <si>
    <t>1) CPUC Approved Depreciation Rates for Electric Distribution Plant</t>
  </si>
  <si>
    <t>Functional Group</t>
  </si>
  <si>
    <t>Asset Class</t>
  </si>
  <si>
    <t>2) CPUC Approved Depreciation Rates for Common, General and Intangible (CGI) Plant</t>
  </si>
  <si>
    <t>PRIOR YEAR DEPRECIATION RATES (Note 1)</t>
  </si>
  <si>
    <t>7-PlantInService L 112, col 1 + 2</t>
  </si>
  <si>
    <t>7-PlantInService L 112, col 3 + 4</t>
  </si>
  <si>
    <t>7-PlantInService L 112, col 5</t>
  </si>
  <si>
    <t>7-PlantInService L 112, col 6 + 7</t>
  </si>
  <si>
    <t>7-PlantInService L 112, col 8</t>
  </si>
  <si>
    <t>7-PlantInService L 112, col 9</t>
  </si>
  <si>
    <t>7-PlantInService L 112, col 10</t>
  </si>
  <si>
    <t>7-PlantInService L 112, col 11</t>
  </si>
  <si>
    <t>7-PlantInService L 112, col 12 + 13</t>
  </si>
  <si>
    <t>7-PlantInService L 112, col 14 + 15</t>
  </si>
  <si>
    <t>7-PlantInService L 112, col 16 + 17</t>
  </si>
  <si>
    <t>7-PlantInService L 112, Sum of col 18-20</t>
  </si>
  <si>
    <t>7-PlantInService L 112, col 21</t>
  </si>
  <si>
    <t>7-PlantInService L 112, Sum of col 22-25</t>
  </si>
  <si>
    <t>The monthly balances in Lines 100-112 are the end-of-month balances for Prior Year and December of Prior Year - 1.</t>
  </si>
  <si>
    <t>Col 25</t>
  </si>
  <si>
    <t>Total Electric Distribution Plant (Section 1) is allocated to Primary and Secondary Distribution using allocation factors shown on 6-PlantJurisdiction, Lines 200-213.</t>
  </si>
  <si>
    <t>Section 1, Col 2 * 
6-PlantJurisdiction, L. 200, Col 2</t>
  </si>
  <si>
    <t>Section 1, Col 3 * 
6-PlantJurisdiction, L. 201, Col 2</t>
  </si>
  <si>
    <t>Section 1, Col 4 * 
6-PlantJurisdiction, L. 201, Col 2</t>
  </si>
  <si>
    <t>Section 1, Col 5 * 
6-PlantJurisdiction, L. 202, Col 2</t>
  </si>
  <si>
    <t>Section 1, Col 6 * 
6-PlantJurisdiction, L. 203, Col 2</t>
  </si>
  <si>
    <t>Section 1, Col 7 * 
6-PlantJurisdiction, L. 203, Col 2</t>
  </si>
  <si>
    <t>Section 1, Col 8 * 
6-PlantJurisdiction, L. 204, Col 2</t>
  </si>
  <si>
    <t>Section 1, Col 9 * 
6-PlantJurisdiction, L. 205, Col 2</t>
  </si>
  <si>
    <t>Section 1, Col 10 * 
6-PlantJurisdiction, L. 206, Col 2</t>
  </si>
  <si>
    <t>Section 1, Col 11 * 
6-PlantJurisdiction, L. 207, Col 2</t>
  </si>
  <si>
    <t>Section 1, Col 12 * 
6-PlantJurisdiction, L. 208, Col 2</t>
  </si>
  <si>
    <t>Section 1, Col 13 * 
6-PlantJurisdiction, L. 208, Col 2</t>
  </si>
  <si>
    <t>Section 1, Col 14 * 
6-PlantJurisdiction, L. 209, Col 2</t>
  </si>
  <si>
    <t>Section 1, Col 15 * 
6-PlantJurisdiction, L. 209, Col 2</t>
  </si>
  <si>
    <t>Section 1, Col 16 * 
6-PlantJurisdiction, L. 210, Col 2</t>
  </si>
  <si>
    <t>Section 1, Col 17 * 
6-PlantJurisdiction, L. 210, Col 2</t>
  </si>
  <si>
    <t>Section 1, Col 18 * 
6-PlantJurisdiction, L. 211, Col 2</t>
  </si>
  <si>
    <t>Section 1, Col 19 * 
6-PlantJurisdiction, L. 211, Col 2</t>
  </si>
  <si>
    <t>Section 1, Col 20 * 
6-PlantJurisdiction, L. 211, Col 2</t>
  </si>
  <si>
    <t>Section 1, Col 21 * 
6-PlantJurisdiction, L. 212, Col 2</t>
  </si>
  <si>
    <t>Section 1, Col 22 * 
6-PlantJurisdiction, L. 213, Col 2</t>
  </si>
  <si>
    <t>Section 1, Col 23 * 
6-PlantJurisdiction, L. 213, Col 2</t>
  </si>
  <si>
    <t>Section 1, Col 24 * 
6-PlantJurisdiction, L. 213, Col 2</t>
  </si>
  <si>
    <t>Section 1, Col 25 * 
6-PlantJurisdiction, L. 213, Col 2</t>
  </si>
  <si>
    <t>Section 1, Col 2 * 
6-PlantJurisdiction, L. 200, Col 3</t>
  </si>
  <si>
    <t>Section 1, Col 3 * 
6-PlantJurisdiction, L. 201, Col 3</t>
  </si>
  <si>
    <t>Section 1, Col 4 * 
6-PlantJurisdiction, L. 201, Col 3</t>
  </si>
  <si>
    <t>Section 1, Col 5 * 
6-PlantJurisdiction, L. 202, Col 3</t>
  </si>
  <si>
    <t>Section 1, Col 6 * 
6-PlantJurisdiction, L. 203, Col 3</t>
  </si>
  <si>
    <t>Section 1, Col 7 * 
6-PlantJurisdiction, L. 203, Col 3</t>
  </si>
  <si>
    <t>Section 1, Col 8 * 
6-PlantJurisdiction, L. 204, Col 3</t>
  </si>
  <si>
    <t>Section 1, Col 9 * 
6-PlantJurisdiction, L. 205, Col 3</t>
  </si>
  <si>
    <t>Section 1, Col 10 * 
6-PlantJurisdiction, L. 206, Col 3</t>
  </si>
  <si>
    <t>Section 1, Col 11 * 
6-PlantJurisdiction, L. 207, Col 3</t>
  </si>
  <si>
    <t>Section 1, Col 12 * 
6-PlantJurisdiction, L. 208, Col 3</t>
  </si>
  <si>
    <t>Section 1, Col 13 * 
6-PlantJurisdiction, L. 208, Col 3</t>
  </si>
  <si>
    <t>Section 1, Col 14 * 
6-PlantJurisdiction, L. 209, Col 3</t>
  </si>
  <si>
    <t>Section 1, Col 15 * 
6-PlantJurisdiction, L. 209, Col 3</t>
  </si>
  <si>
    <t>Section 1, Col 16 * 
6-PlantJurisdiction, L. 210, Col 3</t>
  </si>
  <si>
    <t>Section 1, Col 17 * 
6-PlantJurisdiction, L. 210, Col 3</t>
  </si>
  <si>
    <t>Section 1, Col 18 * 
6-PlantJurisdiction, L. 211, Col 3</t>
  </si>
  <si>
    <t>Section 1, Col 19 * 
6-PlantJurisdiction, L. 211, Col 3</t>
  </si>
  <si>
    <t>Section 1, Col 20 * 
6-PlantJurisdiction, L. 211, Col 3</t>
  </si>
  <si>
    <t>Section 1, Col 21 * 
6-PlantJurisdiction, L. 212, Col 3</t>
  </si>
  <si>
    <t>Section 1, Col 22 * 
6-PlantJurisdiction, L. 213, Col 3</t>
  </si>
  <si>
    <t>Section 1, Col 23 * 
6-PlantJurisdiction, L. 213, Col 3</t>
  </si>
  <si>
    <t>Section 1, Col 24 * 
6-PlantJurisdiction, L. 213, Col 3</t>
  </si>
  <si>
    <t>Section 1, Col 25 * 
6-PlantJurisdiction, L. 213, Col 3</t>
  </si>
  <si>
    <t>Total Accumulated Depreciation balances for Electric Distribution Plant (Section 1) is allocated to Primary and Secondary Distribution using allocation factors shown on 6-PlantJurisdiction, Lines 200-213.</t>
  </si>
  <si>
    <t>Total Depreciation Expense for Electric Distribution Plant (Line 100) is allocated to Primary Distribution (Line 101) and Secondary Distribution (Line 102) using allocation factors shown on 6-PlantJurisdiction, Lines 200-213.</t>
  </si>
  <si>
    <t xml:space="preserve">Depreciation Expense for Direct Assigned CGI Plant is extracted from PowerPlant, PG&amp;E's fixed asset system of record, by querying by Asset Class. It is then allocated to UCC and Line of Business based on Prior Year ending plant balances. </t>
  </si>
  <si>
    <t>Depreciation Expense for Corporate Services (Gas and Electric) Residual CGI Plant is extracted from PowerPlant, PG&amp;E's fixed asset system of record, by querying by Asset Class. It is allocated to UCC based on Prior Year ending plant balances and to Line of Business based on O&amp;M labor factors.</t>
  </si>
  <si>
    <t>10-AccDep, L. 112, col 26</t>
  </si>
  <si>
    <t>11-Depreciation, L. 100, col 26</t>
  </si>
  <si>
    <t>7-PlantInService, L. 113 col 26</t>
  </si>
  <si>
    <t>10-AccDep, L. 113, col 26</t>
  </si>
  <si>
    <t>Total PG&amp;E Company Plant In Service</t>
  </si>
  <si>
    <t>Total Distribution O&amp;M</t>
  </si>
  <si>
    <t xml:space="preserve">FF1 Recorded O&amp;M Expense
 FF1 322, L. 156, col b </t>
  </si>
  <si>
    <t>1) Data are extracted from SAP for all costs (broken down into labor and non-labor components) in the Prior Year that are recorded in electric distribution operations and maintenance expense accounts.</t>
  </si>
  <si>
    <t>3) See WP_18-OandM for adjustment details.</t>
  </si>
  <si>
    <t>Load Dispatching</t>
  </si>
  <si>
    <t>Operation of Energy Storage Equipment</t>
  </si>
  <si>
    <t>Street Lighting and Signal System Expenses</t>
  </si>
  <si>
    <t>Meter Expenses</t>
  </si>
  <si>
    <t>Customer Installations Expenses</t>
  </si>
  <si>
    <t>Miscellaneous Distribution Expenses</t>
  </si>
  <si>
    <t>Maintenance of Line Transformers</t>
  </si>
  <si>
    <t>Maintenance of Street Lighting and Signal Systems</t>
  </si>
  <si>
    <t>Maintenance of Meters</t>
  </si>
  <si>
    <t>Maintenance of Miscellaneous Distribution Plant</t>
  </si>
  <si>
    <t>Wholesale Distribution O&amp;M Expense</t>
  </si>
  <si>
    <t>Col 11 * 6-PlantJurisdiction, Line 400, Cols 1 and 2</t>
  </si>
  <si>
    <t>Col 11 * 6-PlantJurisdiction, Line 202, Cols 2 and 3</t>
  </si>
  <si>
    <t>Col 11 * 6-PlantJurisdiction, Line 205, Cols 2 and 3</t>
  </si>
  <si>
    <t>Col 11 * 6-PlantJurisdiction, Line 206, Cols 2 and 3</t>
  </si>
  <si>
    <t>Col 11 * 6-PlantJurisdiction, Line 210, Cols 2 and 3</t>
  </si>
  <si>
    <t>Col 11 * 6-PlantJurisdiction, Line 211, Cols 2 and 3</t>
  </si>
  <si>
    <t>Col 11 * 6-PlantJurisdiction, Line 201, Cols 2 and 3</t>
  </si>
  <si>
    <t>Col 11 * 6-PlantJurisdiction, Line 208, Cols 2 and 3</t>
  </si>
  <si>
    <t>Col 11 * 6-PlantJurisdiction, Line 213, Cols 2 and 3</t>
  </si>
  <si>
    <t>Source for Col 12 and 13</t>
  </si>
  <si>
    <t>Total Wholesale Distribution</t>
  </si>
  <si>
    <t>Col 12 + Col 13</t>
  </si>
  <si>
    <t>Calculation of Prior Year Electric Distribution Labor Allocation Factors</t>
  </si>
  <si>
    <t>1-DRR</t>
  </si>
  <si>
    <t>3-ATA</t>
  </si>
  <si>
    <t>4-WholesaleRates</t>
  </si>
  <si>
    <t>Wholesale Distribution Rates</t>
  </si>
  <si>
    <t>Primary and Secondary Distribution Plant Allocation</t>
  </si>
  <si>
    <t>8-DemandForAllocation</t>
  </si>
  <si>
    <t>9-WholesaleRevenues</t>
  </si>
  <si>
    <t>Accumulated Depreciation for Distribution Assets</t>
  </si>
  <si>
    <t>15-LossFactors</t>
  </si>
  <si>
    <t>21-CoO</t>
  </si>
  <si>
    <t>23-CustServCharge</t>
  </si>
  <si>
    <t>25-RevenueFeeFactors</t>
  </si>
  <si>
    <t>1-DRR L. 502</t>
  </si>
  <si>
    <t>1-DRR, L. 504 +  L. 506</t>
  </si>
  <si>
    <t>Gross Electric Distribution Plant In Service including CGI Plant</t>
  </si>
  <si>
    <t>Gross Electric Distribution CGI Plant</t>
  </si>
  <si>
    <t>Total Distribution Return on Capital and Income Taxes</t>
  </si>
  <si>
    <t>Electric Distribution CGI Plant Portion of Return and Taxes</t>
  </si>
  <si>
    <t>6-PlantJurisdiction, L. 400, col 1 and col 2</t>
  </si>
  <si>
    <t>2-True-upDRR</t>
  </si>
  <si>
    <t>Line 102 * Line 100</t>
  </si>
  <si>
    <t>Line 105 / Line 106</t>
  </si>
  <si>
    <t>3-ATA L. 101</t>
  </si>
  <si>
    <t>Rate Year Primary Demand Rate ($/kW):</t>
  </si>
  <si>
    <t>Rate Year Secondary Demand Rate ($/kW):</t>
  </si>
  <si>
    <t xml:space="preserve">Total Electric </t>
  </si>
  <si>
    <t>Sum Lines 100 - 103</t>
  </si>
  <si>
    <t>Sum Lines 105 - 107</t>
  </si>
  <si>
    <t>2-True-upDRR, L. 413, col 3</t>
  </si>
  <si>
    <t>7-PlantInService, L. 212 and L. 312, col 26</t>
  </si>
  <si>
    <t>10-AccDep, L. 212 and L. 312, col 26</t>
  </si>
  <si>
    <t>Line 200, col 1</t>
  </si>
  <si>
    <t>Line 201, col 1</t>
  </si>
  <si>
    <t>Line 202, col 1</t>
  </si>
  <si>
    <t>Line 203, col 1</t>
  </si>
  <si>
    <t>Line 204, col 1</t>
  </si>
  <si>
    <t>Line 205, col 1</t>
  </si>
  <si>
    <t>Line 206, col 1</t>
  </si>
  <si>
    <t>Line 207, col 1</t>
  </si>
  <si>
    <t>Line 208, col 1</t>
  </si>
  <si>
    <t>Line 209, col 1</t>
  </si>
  <si>
    <t>Line 210, col 1</t>
  </si>
  <si>
    <t>Line 301, col 1</t>
  </si>
  <si>
    <t>Line 309, col 1</t>
  </si>
  <si>
    <t>Line 400, col 1</t>
  </si>
  <si>
    <t>Line 401, col 1</t>
  </si>
  <si>
    <t>Line 402, col 1</t>
  </si>
  <si>
    <t>18-OandM, L. 101, col 11</t>
  </si>
  <si>
    <t>18-OandM, L. 101, col 12 and col 13</t>
  </si>
  <si>
    <t>11-Depreciation, L. 101 and L. 102, col 26</t>
  </si>
  <si>
    <t>Line 510, col 1</t>
  </si>
  <si>
    <t>Line 511, col 1</t>
  </si>
  <si>
    <t>2) Calcuation of the Cost of Ownership Rates</t>
  </si>
  <si>
    <t>Monthly Distribution Carrying Percentage with contributing capital</t>
  </si>
  <si>
    <t>Monthly Customer Financed Cost of Ownership Rate:</t>
  </si>
  <si>
    <t>1) Monthly Cost of Ownership Rates</t>
  </si>
  <si>
    <t>(Line 202 / Line 203) * Line 204</t>
  </si>
  <si>
    <t>Line 200 - Line 201 - Line 204 +Line 205</t>
  </si>
  <si>
    <t>Line 203 / Line 206</t>
  </si>
  <si>
    <t>Line 207 / 12</t>
  </si>
  <si>
    <t>Cost of Ownership Rates</t>
  </si>
  <si>
    <t>Franchise Fees and San Francisco Gross Reciepts Tax Factors</t>
  </si>
  <si>
    <t>Customer Service Charges</t>
  </si>
  <si>
    <t>16-AccruedVacation</t>
  </si>
  <si>
    <t>Calculation of Allocated Accrued Vacation</t>
  </si>
  <si>
    <t>Distribution Loss Factors</t>
  </si>
  <si>
    <t>Peak Demands for Allocation of Revenue Requirements</t>
  </si>
  <si>
    <t>EDP Only</t>
  </si>
  <si>
    <t>Appendix I: Wholesale Distribution Formula Rate</t>
  </si>
  <si>
    <t>Repairs on System</t>
  </si>
  <si>
    <t>17-RegAssets-2, col 18-20, L. 110</t>
  </si>
  <si>
    <t>Line 208</t>
  </si>
  <si>
    <t xml:space="preserve">2) The Total FF1 Recorded O&amp;M Expense is the sum of Labor and Non-labor FF1 Recorded O&amp;M Expense (obtained as explained in Note 1) and tie to the amounts provided in FF1 322, L. 156, col b. </t>
  </si>
  <si>
    <t>Allocated Rate Year Primary DRR:</t>
  </si>
  <si>
    <t>Total Allocated Rate Year Primary DRR:</t>
  </si>
  <si>
    <t>Allocated Rate Year Secondary DRR:</t>
  </si>
  <si>
    <t>Total Allocated Rate Year Secondary Load DRR:</t>
  </si>
  <si>
    <t>Total Allocated Primary DRR</t>
  </si>
  <si>
    <t>Col 3 + Col 4</t>
  </si>
  <si>
    <t xml:space="preserve">Total Wholesale Distribution </t>
  </si>
  <si>
    <t>Line 103, col 1 * Line 1, col 3 and col 4</t>
  </si>
  <si>
    <t>Line 104, col 1 * Line 1, col 3 and col 4</t>
  </si>
  <si>
    <t>Line 105, col 1 * Line 1, col 3 and col 4</t>
  </si>
  <si>
    <t>Line 110a, col 1 * Line 1, col 3 and col 4</t>
  </si>
  <si>
    <t>Line 110b, col 1 * Line 1, col 3 and col 4</t>
  </si>
  <si>
    <t>Line 111, col 1 * Line 1, col 3 and col 4</t>
  </si>
  <si>
    <t>Line 112, col 1 * Line 1, col 3 and col 4</t>
  </si>
  <si>
    <t>Line 300, col 1 * Line 1, col 3 and col 4</t>
  </si>
  <si>
    <t>Line 303, col 1 * Line 1, col 3 and col 4</t>
  </si>
  <si>
    <t>Line 304, col 1 * Line 1, col 3 and col 4</t>
  </si>
  <si>
    <t>Line 305, col 1 * Line 1, col 3 and col 4</t>
  </si>
  <si>
    <t>Line 306, col 1 * Line 1, col 3 and col 4</t>
  </si>
  <si>
    <t>Line 307, col 1 * Line 1, col 3 and col 4</t>
  </si>
  <si>
    <t>Line 403, col 1 * Line 1, col 3 and col 4</t>
  </si>
  <si>
    <t>Line 405, col 1 * Line 1, col 3 and col 4</t>
  </si>
  <si>
    <t>Line 406, col 1 * Line 1, col 3 and col 4</t>
  </si>
  <si>
    <t>Line 501, col 1 * Line 1, col 3 and col 4</t>
  </si>
  <si>
    <t>Line 507, col 1 * Line 1, col 3 and col 4</t>
  </si>
  <si>
    <t>Line 508, col 1 * Line 1, col 3 and col 4</t>
  </si>
  <si>
    <t>Average Hourly Rate (Total Costs/Billable Hours)</t>
  </si>
  <si>
    <t>Total Overheads</t>
  </si>
  <si>
    <t xml:space="preserve">   Operational Mgmt &amp; Support</t>
  </si>
  <si>
    <t xml:space="preserve">   Base Facility Charges</t>
  </si>
  <si>
    <t xml:space="preserve">   Computer/Telecom Charges</t>
  </si>
  <si>
    <t xml:space="preserve">   Benefits</t>
  </si>
  <si>
    <t xml:space="preserve">   Payroll Taxes</t>
  </si>
  <si>
    <t xml:space="preserve">   Pension</t>
  </si>
  <si>
    <t xml:space="preserve">   Workers Comp/LTD</t>
  </si>
  <si>
    <t>Utility Standard: FIN-1104S - Third Party Billing Overhead Allocations</t>
  </si>
  <si>
    <t>Customer Service Charge Calculations</t>
  </si>
  <si>
    <t>1) Average Hourly Rate Calculation</t>
  </si>
  <si>
    <t>Sum Lines 101 to 107</t>
  </si>
  <si>
    <t>Sum Lines 100 and 108</t>
  </si>
  <si>
    <t>2) Customer Service Charges</t>
  </si>
  <si>
    <r>
      <t>Total Charge</t>
    </r>
    <r>
      <rPr>
        <b/>
        <sz val="11"/>
        <color theme="1"/>
        <rFont val="Calibri"/>
        <family val="2"/>
        <scheme val="minor"/>
      </rPr>
      <t xml:space="preserve"> 
(Hours * Line 109)</t>
    </r>
  </si>
  <si>
    <r>
      <t xml:space="preserve">Hours
</t>
    </r>
    <r>
      <rPr>
        <b/>
        <sz val="11"/>
        <color theme="1"/>
        <rFont val="Calibri"/>
        <family val="2"/>
        <scheme val="minor"/>
      </rPr>
      <t>(Note 3)</t>
    </r>
  </si>
  <si>
    <t>Total Billable Labor Costs</t>
  </si>
  <si>
    <t>SAP Activity Type Price, Note 1</t>
  </si>
  <si>
    <t>Overheads (Note 2)</t>
  </si>
  <si>
    <r>
      <rPr>
        <b/>
        <sz val="11"/>
        <color theme="1"/>
        <rFont val="Calibri"/>
        <family val="2"/>
        <scheme val="minor"/>
      </rPr>
      <t>Note 3</t>
    </r>
    <r>
      <rPr>
        <sz val="11"/>
        <color theme="1"/>
        <rFont val="Calibri"/>
        <family val="2"/>
        <scheme val="minor"/>
      </rPr>
      <t>: Estimated average monthly labor in hours provided by the Complex Billing Organization.</t>
    </r>
  </si>
  <si>
    <t>7-PlantInService, L. 213 and L. 313, col 26</t>
  </si>
  <si>
    <t>10-AccDep, L. 213 and L. 313, col 26</t>
  </si>
  <si>
    <t>Line 200, Col 1</t>
  </si>
  <si>
    <t>Line 201, Col 1</t>
  </si>
  <si>
    <t>Line 202, Col 1</t>
  </si>
  <si>
    <t>Line 203, Col 1</t>
  </si>
  <si>
    <t>Line 204, Col 1</t>
  </si>
  <si>
    <t>Line 205, Col 1</t>
  </si>
  <si>
    <t>Line 300, Col 1</t>
  </si>
  <si>
    <t>Line 301, Col 1</t>
  </si>
  <si>
    <t>Line 302, Col 1</t>
  </si>
  <si>
    <t>Line 410, Col 1</t>
  </si>
  <si>
    <t>Line 411, Col 1</t>
  </si>
  <si>
    <t>22-TaxRates, L. 103</t>
  </si>
  <si>
    <t>22-TaxRates, L. 203</t>
  </si>
  <si>
    <t>1) Calculation of Prior Year Load Ratio Shares</t>
  </si>
  <si>
    <t>Line 101 * Line 200</t>
  </si>
  <si>
    <t>Line 103 * Line 205</t>
  </si>
  <si>
    <t>Line 207 + Line 208</t>
  </si>
  <si>
    <t>Line 209</t>
  </si>
  <si>
    <t>Line 301 / Line 302</t>
  </si>
  <si>
    <t>Line 307 / Line 308</t>
  </si>
  <si>
    <t>Line 305 + Line 306</t>
  </si>
  <si>
    <t>Line 301 - (Line 303 * 9-WholesaleRevenues, L. 112)</t>
  </si>
  <si>
    <t>Total Prior Year Secondary Load DRR:</t>
  </si>
  <si>
    <t>Total Distribution</t>
  </si>
  <si>
    <t>Wholesale</t>
  </si>
  <si>
    <t>5) Corporate Services (Gas and Electric) Residual Common, General and Intangible (CGI) Plant</t>
  </si>
  <si>
    <t>6) Corporate Services (Electric) Residual Common, General and Intangible (CGI) Plant</t>
  </si>
  <si>
    <t>7) Total Electric Distribution Common, General and Intangible (CGI) Plant</t>
  </si>
  <si>
    <t>5) Accumulated Depreciation for Corporate Services (Gas and Electric) Residual Common, General and Intangible (CGI) Plant</t>
  </si>
  <si>
    <t>6) Accumulated Depreciation for Corporate Services (Electric) Residual Common, General and Intangible (CGI) Plant</t>
  </si>
  <si>
    <t>7) Total Accumulated Depreciation for Electric Distribution Common, General and Intangible (CGI) Plant</t>
  </si>
  <si>
    <t>Total Electric Distribution Accumulated Depreciation for Common, General and Intangible (CGI) Plant is the total of the Direct Assigned CGI Plant (Section 4) and the residual CGI Plant (Sections 5-6) allocated to Electric Distribution.</t>
  </si>
  <si>
    <t>Total Electric Distribution Common, General and Intangible (CGI) Plant is the total of the Direct Assigned CGI Plant (Section 4) and the residual CGI Plant (Sections 5-6) allocated to Electric Distribution.</t>
  </si>
  <si>
    <t>3) Depreciation Expense for Corporate Services (Gas and Electric) Residual Common, General and Intangible (CGI) Plant</t>
  </si>
  <si>
    <t>Total Depreciation Expense for Electric Distribution CGI Plant is the total of the amount related to Direct Assigned CGI Plant (Section 2) and amounts related to Residual CGI Plant (Sections 3-4) allocated to Electric Distribution.</t>
  </si>
  <si>
    <t>4) Depreciation Expense for Corporate Services (Electric) Residual Common, General and Intangible (CGI) Plant</t>
  </si>
  <si>
    <t>5) Total Depreciation Expense for Electric Distribution Common, General and Intangible (CGI) Plant</t>
  </si>
  <si>
    <t>Total of 
Sections 2-4</t>
  </si>
  <si>
    <t>Total of 
Sections 4-6</t>
  </si>
  <si>
    <t>Col 3 * 
6-PlantJurisdiction, L. 400, col 1</t>
  </si>
  <si>
    <t>Col 3 * 
6-PlantJurisdiction, L. 400, col 2</t>
  </si>
  <si>
    <t>See WP_7-PlantInService 4, L. 122, col 7 &amp; 8</t>
  </si>
  <si>
    <t>See WP_7-PlantInService 6, L. 122, col 7 &amp; 8</t>
  </si>
  <si>
    <t>See WP_10-AccDep 4, L. 122, col 7 &amp; 8</t>
  </si>
  <si>
    <t>See WP_10-AccDep 6, L. 122, col 7 &amp; 8</t>
  </si>
  <si>
    <t>See WP_11-Depreciation 3, L. 122, col 7 &amp; 8</t>
  </si>
  <si>
    <t>See WP_11-Depreciation 5, L. 122, col 7 &amp; 8</t>
  </si>
  <si>
    <t>1) Electric Distribution Direct Assigned CGI Plant is Plant in FERC Accounts 389-399 or 301-303 that serves only Electric Distribution. For Prior Year amounts, see WP_7-PlantInService 4, L. 122, col 7-10.</t>
  </si>
  <si>
    <t>2) Corporate (Gas and Electric) Residual CGI Plant is Plant in FERC Accounts 389-399 or 301-303 that serves all PG&amp;E Gas and Electric Lines of Business. For Prior Year amount, see WP_7-PlantInService 4, L. 122, col 14.</t>
  </si>
  <si>
    <t>3) Corporate (Electric) Residual CGI Plant is Plant in FERC Accounts 389-399 or 301-303 that serves PG&amp;E Electric Lines of Business only. For Prior Year amount, see WP_7-PlantInService 4, L. 122, col 15.</t>
  </si>
  <si>
    <t>1) Electric Distribution Direct Assigned CGI Plant is Plant in FERC Accounts 389-399 or 301-303 that serves only Electric Distribution. For Prior Year amounts, see WP_10-AccDep 4, L. 122, col 7-10.</t>
  </si>
  <si>
    <t>2) Corporate (Gas and Electric) Residual CGI Plant is Plant in FERC Accounts 389-399 or 301-303 that serves all PG&amp;E Gas and Electric Lines of Business. For Prior Year amount, see WP_10-AccDep 4, L. 122, col 14.</t>
  </si>
  <si>
    <t>3) Corporate (Electric) Residual CGI Plant is Plant in FERC Accounts 389-399 or 301-303 that serves PG&amp;E Electric Lines of Business only. For Prior Year amount, see WP_10-AccDep 4, L. 122, col 15.</t>
  </si>
  <si>
    <t>1) Electric Distribution Direct Assigned CGI Plant is Plant in FERC Accounts 389-399 or 301-303 that serves only Electric Distribution. For Prior Year Electric Distribution Direct Assigned CGI Depreciation Expense, see WP_11-Depreciation 3, L. 122, col 7-10.</t>
  </si>
  <si>
    <t>2) Corporate (Gas and Electric) Residual CGI Plant is Plant in FERC Accounts 389-399 or 301-303 that serves all PG&amp;E Gas and Electric Lines of Business. For Prior Year Depreciation Expense for Corporate (Gas and Electric) Residual CGI Plant, see WP_11-Depreciation 3, L. 122, col 14.</t>
  </si>
  <si>
    <t>3) Corporate (Electric) Residual CGI Plant is Plant in FERC Accounts 389-399 or 301-303 that serves PG&amp;E Electric Lines of Business only. For Prior Year Depreciation Expense for Corporate (Electric) Residual CGI Plant, see WP_11-Depreciation 3, L. 122, Col 15.</t>
  </si>
  <si>
    <t>WP_10-AccDep 6, L. 122, col 10</t>
  </si>
  <si>
    <t>WP_7-PlantInService 6, L. 122, col 10</t>
  </si>
  <si>
    <t>11-Depreciation, L. 500, col 1 and col 2</t>
  </si>
  <si>
    <t>WP_11-Depreciation 5, L. 122, col 10</t>
  </si>
  <si>
    <t>1-DRR L. 101</t>
  </si>
  <si>
    <t>1-DRR L. 102</t>
  </si>
  <si>
    <t>Regulatory Debits and Credits costs through this formula wholesale distribution rate:</t>
  </si>
  <si>
    <t>25-RevenueFeeFactors, L. 400</t>
  </si>
  <si>
    <t>25-RevenueFeeFactors, L. 401</t>
  </si>
  <si>
    <t>Loss Factors</t>
  </si>
  <si>
    <t>5) Distribution Revenue Requirement</t>
  </si>
  <si>
    <t>Prior Year DRR Components</t>
  </si>
  <si>
    <t>WP_1-BaseDRR_Tax 1, L. 101</t>
  </si>
  <si>
    <t>WP_1-BaseDRR_Tax 2, L. 103</t>
  </si>
  <si>
    <t xml:space="preserve">in the DRR, consistent with a Commission Order.  </t>
  </si>
  <si>
    <t>Prior Year DRR</t>
  </si>
  <si>
    <t>return to customers in this formula distribution rate.  Approved costs are amortized as expenses or revenue</t>
  </si>
  <si>
    <t>Appendix I: Formula Rate</t>
  </si>
  <si>
    <t>Line 525, Col 9</t>
  </si>
  <si>
    <t>Line 550, Col 9</t>
  </si>
  <si>
    <t>Line 625, Col 9</t>
  </si>
  <si>
    <t>Line 650, Col 9</t>
  </si>
  <si>
    <t>Line 725, Col 9</t>
  </si>
  <si>
    <t>Line 825, Col 9</t>
  </si>
  <si>
    <t>Line 925, Col 9</t>
  </si>
  <si>
    <t>Line 950, Col 9</t>
  </si>
  <si>
    <t>Line 1025, Col 9</t>
  </si>
  <si>
    <t>Instructions: Add new customers to lines 100 and 101 when needed.</t>
  </si>
  <si>
    <t>Prior Year Secondary True-up DRR</t>
  </si>
  <si>
    <t>Prior Year Primary True-up DRR</t>
  </si>
  <si>
    <t>Wholesale Primary DRR</t>
  </si>
  <si>
    <t>Wholesale Secondary DRR</t>
  </si>
  <si>
    <t>3-ATA L. 401</t>
  </si>
  <si>
    <t>Sum Line 106</t>
  </si>
  <si>
    <t>Line 200 / 201</t>
  </si>
  <si>
    <t>3-ATA L. 103</t>
  </si>
  <si>
    <t>Line 108 * Line 109</t>
  </si>
  <si>
    <t>3-ATA L. 404</t>
  </si>
  <si>
    <t>Sum Lines 110 - 112</t>
  </si>
  <si>
    <t>Line 113 / 114</t>
  </si>
  <si>
    <t>Instruction: Add new customers taking the Initial Rate. Remove the customer from this list when a customer-specific rate is calculated.</t>
  </si>
  <si>
    <t>Allocated Primary True-up DRR:</t>
  </si>
  <si>
    <t>Primary True-up Adjustment Included in Prior Year's Rates:</t>
  </si>
  <si>
    <t>Total Allocated Primary True-up DRR:</t>
  </si>
  <si>
    <t>Total Allocated Secondary True-up DRR:</t>
  </si>
  <si>
    <t>Secondary True-up Adjustment Included in Prior Year's Rates:</t>
  </si>
  <si>
    <t>Allocated Secondary True-up DRR:</t>
  </si>
  <si>
    <t>Prior Year Primary True-up Rates:</t>
  </si>
  <si>
    <t>Prior Year Secondary Load Primary Cost:</t>
  </si>
  <si>
    <t>Prior Year Secondary True-up Rates:</t>
  </si>
  <si>
    <t>Primary True-up Adjustment:</t>
  </si>
  <si>
    <t>Source:</t>
  </si>
  <si>
    <t>Secondary True-up Adjustment:</t>
  </si>
  <si>
    <t>Instructions: Add new customers to lines 200 - 204 when needed. If applicable, include the True-up Adjustments Included in Prior Year's Rates in lines 203 and 208 (will be applicable for the True-ups of RY2023 and onward).</t>
  </si>
  <si>
    <t>Instructions: Add any new customers during the Annual Update Process.</t>
  </si>
  <si>
    <r>
      <rPr>
        <b/>
        <sz val="10"/>
        <color rgb="FF000000"/>
        <rFont val="Arial"/>
        <family val="2"/>
      </rPr>
      <t>Note 4:</t>
    </r>
    <r>
      <rPr>
        <sz val="10"/>
        <color indexed="8"/>
        <rFont val="Arial"/>
        <family val="2"/>
      </rPr>
      <t xml:space="preserve"> For each Customer, the sources for DEMD 6 - 8 and DEMD 9 - 12 are found on Line 113.</t>
    </r>
  </si>
  <si>
    <t>Instructions: 1) Add new customers to lines 400 - 402. Create a new Sections below to calculate the Cumulative Excess or Shortfall in Revenue with Interest for the new customers. 2) Input the monthly FERC interest rates (18 C.F.R. §35.19a) for the corresponding Month and Year into Col 6.</t>
  </si>
  <si>
    <r>
      <rPr>
        <b/>
        <sz val="11"/>
        <color theme="1"/>
        <rFont val="Calibri"/>
        <family val="2"/>
        <scheme val="minor"/>
      </rPr>
      <t>Note 3:</t>
    </r>
    <r>
      <rPr>
        <sz val="11"/>
        <color theme="1"/>
        <rFont val="Calibri"/>
        <family val="2"/>
        <scheme val="minor"/>
      </rPr>
      <t xml:space="preserve"> Corrections or Adjustments applied from previously-filed Annual Updates are outlined in Section 4.6.5 of the Protocols. </t>
    </r>
  </si>
  <si>
    <r>
      <rPr>
        <b/>
        <sz val="11"/>
        <color theme="1"/>
        <rFont val="Calibri"/>
        <family val="2"/>
        <scheme val="minor"/>
      </rPr>
      <t>Note 4:</t>
    </r>
    <r>
      <rPr>
        <sz val="11"/>
        <color theme="1"/>
        <rFont val="Calibri"/>
        <family val="2"/>
        <scheme val="minor"/>
      </rPr>
      <t xml:space="preserve"> Monthly FERC interest rates (18 C.F.R. §35.19a).</t>
    </r>
  </si>
  <si>
    <r>
      <rPr>
        <b/>
        <sz val="11"/>
        <color theme="1"/>
        <rFont val="Calibri"/>
        <family val="2"/>
        <scheme val="minor"/>
      </rPr>
      <t>Note 6:</t>
    </r>
    <r>
      <rPr>
        <sz val="11"/>
        <color theme="1"/>
        <rFont val="Calibri"/>
        <family val="2"/>
        <scheme val="minor"/>
      </rPr>
      <t xml:space="preserve"> Accumulated Interest is the sum of the current month's "Monthly Interest" with last month's "Accumulated Interest".</t>
    </r>
  </si>
  <si>
    <r>
      <t xml:space="preserve">Note 5: </t>
    </r>
    <r>
      <rPr>
        <sz val="11"/>
        <color theme="1"/>
        <rFont val="Calibri"/>
        <family val="2"/>
        <scheme val="minor"/>
      </rPr>
      <t xml:space="preserve">Monthly Interest is calculated by summing the current month's "Excess or Shortfall in Revenue" divided by 2, last month's "Cumulative Excess or Shortfall in Revenue without Interest", the beginning quarter's Accumulated Interest and multiplying the result by the current month's FERC interest rate. </t>
    </r>
  </si>
  <si>
    <t>Distribution Plant In Service</t>
  </si>
  <si>
    <t>Distribution Depreciation Expense</t>
  </si>
  <si>
    <t>Cost of Ownership Rates Calculations</t>
  </si>
  <si>
    <t>Workpaper names are prefaced with “WP_” followed by the schedule name to which it corresponds (e.g.:  WP_18-O&amp;M).  If workpapers in support of a Schedule come from different sources or support distinctly different sections of a Schedule, the workpaper name includes a short description suffix  (e.g.:  WP_25-RevenueFeeFactors_FF, where FF describes Franchise Fees).</t>
  </si>
  <si>
    <t>WP_10-AccDep 4</t>
  </si>
  <si>
    <t>WP_7-PlantInService 6, L. 122, col 7 &amp; 8</t>
  </si>
  <si>
    <t>Remove costs PG&amp;E does not seek to recover in the WDT, such as Intervenor Compensation, MCI Exchange Rights, a portion of Injuries and Damages,  and Nuclear Property and Nuclear Liability Insurance.</t>
  </si>
  <si>
    <t>Note 1, Note 3</t>
  </si>
  <si>
    <t>Line 117 - Line 121</t>
  </si>
  <si>
    <t>Line 118 - Line 122</t>
  </si>
  <si>
    <t>Line 123 / Line 124</t>
  </si>
  <si>
    <t>8-DemandForAllocation, L. 203, each customer's col / L. 203, col 1</t>
  </si>
  <si>
    <t>8-DemandForAllocation, L. 206, each customer's col / L. 206, col 1</t>
  </si>
  <si>
    <t>Sum Line 103</t>
  </si>
  <si>
    <t>2) Run a query of col 2 (Natural Account) in SAP system to get col 4 and col 5.</t>
  </si>
  <si>
    <t>3) Run a query of rent in SAP system to get Line 502, col 4-5.</t>
  </si>
  <si>
    <t>4) Apply plant allocation factors after running a query of Natural Account in SAP system to get Line 612, col 4-5.</t>
  </si>
  <si>
    <t>CMP30301</t>
  </si>
  <si>
    <t>MISCELLANEOUS INTANGIBLE PLANT</t>
  </si>
  <si>
    <t>CMP39001</t>
  </si>
  <si>
    <t>COMM PLANT: LEASEHOLD IMPR</t>
  </si>
  <si>
    <t>1) See CPUC Decision 20-12-005.  In the event the CPUC modifies these depreciation rates in the future, PG&amp;E will make a Section 205 filing and update the rates in the next Annual Update.</t>
  </si>
  <si>
    <t xml:space="preserve">1) These adjustments are due to small differences between recorded rate base and how costs were classified in PG&amp;E's FERC Form 1. </t>
  </si>
  <si>
    <t>2021 Planned Hourly Rate Complex Billing Organization</t>
  </si>
  <si>
    <t>A</t>
  </si>
  <si>
    <t>B</t>
  </si>
  <si>
    <t>C</t>
  </si>
  <si>
    <t>D</t>
  </si>
  <si>
    <t>E</t>
  </si>
  <si>
    <t>G</t>
  </si>
  <si>
    <t>H</t>
  </si>
  <si>
    <t>I</t>
  </si>
  <si>
    <t>WP_25-RevenueFeeFactors 1, L. 102</t>
  </si>
  <si>
    <t>WP_25-RevenueFeeFactors 2, L. 104</t>
  </si>
  <si>
    <t>24-Allocators, L. 116, L. 120, L. 113</t>
  </si>
  <si>
    <t>Not Used</t>
  </si>
  <si>
    <t>Must match amount on Line 404 Col 2</t>
  </si>
  <si>
    <t>24-Allocators, L. 120</t>
  </si>
  <si>
    <t>Remove Officer STIP and True up Non-Officer STIP to actual cash payment.</t>
  </si>
  <si>
    <t>Remove Officer compensation.</t>
  </si>
  <si>
    <t>Remove accruals in the recorded balances for items such as STIP, Severance, Injuries and Damages and Workers Compensation.</t>
  </si>
  <si>
    <t>18-OandM, L. 101, col 9</t>
  </si>
  <si>
    <t>Line 105 - (Line 107 * 9-WholesaleRevenues, L. 112)</t>
  </si>
  <si>
    <t>100a</t>
  </si>
  <si>
    <t>103a</t>
  </si>
  <si>
    <t>Allocated Wholesale Primary Credit</t>
  </si>
  <si>
    <t>Wholesale Primary Credit</t>
  </si>
  <si>
    <t>200a</t>
  </si>
  <si>
    <t>Allocated Wholesale Primary True-up Credit</t>
  </si>
  <si>
    <t>202a</t>
  </si>
  <si>
    <t>Non-Coincident Peak (NCP)</t>
  </si>
  <si>
    <r>
      <t xml:space="preserve">Amortization of (Excess)/Deficient Deferred Federal </t>
    </r>
    <r>
      <rPr>
        <b/>
        <sz val="9.35"/>
        <rFont val="Calibri"/>
        <family val="2"/>
      </rPr>
      <t>and State</t>
    </r>
    <r>
      <rPr>
        <b/>
        <sz val="11"/>
        <rFont val="Calibri"/>
        <family val="2"/>
        <scheme val="minor"/>
      </rPr>
      <t xml:space="preserve"> Income Taxes (Note 1)</t>
    </r>
  </si>
  <si>
    <t>Col 0</t>
  </si>
  <si>
    <t>PRIOR PERIOD AMORTIZATION OF (EXCESS)DEFICIENT FEDERAL ACCUMULATED DEFERRED INCOME TAXES</t>
  </si>
  <si>
    <t>CURRENT PERIOD AMORTIZATION OF (EXCESS)DEFICIENT FEDERAL ACCUMULATED DEFERRED INCOME TAXES</t>
  </si>
  <si>
    <t>Col 24 x Gross-up</t>
  </si>
  <si>
    <t>Originating</t>
  </si>
  <si>
    <t xml:space="preserve">Originating </t>
  </si>
  <si>
    <t>(Excess)/Deficient ADIT</t>
  </si>
  <si>
    <t>UNAMORTIZED (EXCESS)DEFICIENT FEDERAL ACCUMULATED DEFERRED INCOME TAXES</t>
  </si>
  <si>
    <t>UNAMORTIZED (EXCESS)DEFICIENT FEDERAL ACCUMULATED DEFERRED INCOME TAXES - BEGINNING BALANCE</t>
  </si>
  <si>
    <t>UNAMORTIZED (EXCESS)DEFICIENT FEDERAL ACCUMULATED DEFERRED INCOME TAXES - ENDING BALANCE</t>
  </si>
  <si>
    <t>Timing</t>
  </si>
  <si>
    <t>Note F</t>
  </si>
  <si>
    <t>Note H</t>
  </si>
  <si>
    <t>Difference</t>
  </si>
  <si>
    <t>Including Gross-up of</t>
  </si>
  <si>
    <t>Note A</t>
  </si>
  <si>
    <t>Acct # 282</t>
  </si>
  <si>
    <t>Note B</t>
  </si>
  <si>
    <t>Note C</t>
  </si>
  <si>
    <t>130 Months (Note G and I)</t>
  </si>
  <si>
    <t>Note D</t>
  </si>
  <si>
    <t>Acct # 190/ # 282</t>
  </si>
  <si>
    <t>Acct # 182.3</t>
  </si>
  <si>
    <t>Acct # 410.1</t>
  </si>
  <si>
    <t>Note E</t>
  </si>
  <si>
    <t>Acct # 190</t>
  </si>
  <si>
    <t>130 Months</t>
  </si>
  <si>
    <t>Acct # 255</t>
  </si>
  <si>
    <t>This Schedule 17-RegAsset-2 reflects the federal income tax rate change due to the Tax Cuts and Job Act (TCJA).  This Schedule will be replicated for each tax rate change after the TCJA (see 17-RegAsset-3).</t>
  </si>
  <si>
    <t>Reflects the deferred tax liability (DTL) for the difference between book and tax depreciation methods and depreciable lives on plant capitalized for both book and tax.  Method life is a protected timing difference.</t>
  </si>
  <si>
    <t>Reflects the deferred tax asset (DTA) difference between the book accrual and actual spending for cost of removal.</t>
  </si>
  <si>
    <t>Reflects the DTL difference between tax basis deductions and book depreciation on these tax basis deductions.</t>
  </si>
  <si>
    <t>Reflects the DTA difference between non-fixed asset tax deductions and book deductions.</t>
  </si>
  <si>
    <t>Reflects the tax net operating loss DTA.  The net operating loss DTA is protected.</t>
  </si>
  <si>
    <t>Basis for allocation is the 2017 value from Tab 24-Allocators, Rows 17 and 23 for common and direct function groups, respectively.</t>
  </si>
  <si>
    <t>Note G</t>
  </si>
  <si>
    <t>PG&amp;E's method for amortization of non protected excess ADIT</t>
  </si>
  <si>
    <t xml:space="preserve">The “grossed-up” portion from Column 25 is excluded from rate base. </t>
  </si>
  <si>
    <t>Note I</t>
  </si>
  <si>
    <t>PG&amp;E's method provides for a base 130-months amortization subject to adjustment.  As a result, the overall amortization period may not be 130-months.  </t>
  </si>
  <si>
    <t>Calculation of Prior Year Property Insurance Allocation Factor</t>
  </si>
  <si>
    <t>Shelter Cove (SA No. 382)</t>
  </si>
  <si>
    <t>Unfunded Reserves</t>
  </si>
  <si>
    <t>1)  Summary of Unfunded Reserves Average Balances</t>
  </si>
  <si>
    <t>Sum of EOY Values</t>
  </si>
  <si>
    <t>2)  Calculation of Allocated Accrued Vacation</t>
  </si>
  <si>
    <t>Total Insured Electric Distribution Plant</t>
  </si>
  <si>
    <t>Line 126 / Line 127</t>
  </si>
  <si>
    <t>Total Electric Plant as a % of Total Company Plant</t>
  </si>
  <si>
    <t>Total Insured Electric Distribution Plant as a % of Total Insured Electric Plant</t>
  </si>
  <si>
    <t>24-Allocators, L. 128</t>
  </si>
  <si>
    <t>24-Allocators, L. 131</t>
  </si>
  <si>
    <t>Sum of 13-Month Averages</t>
  </si>
  <si>
    <t>Description/Period</t>
  </si>
  <si>
    <t>Monthly Value</t>
  </si>
  <si>
    <t>24-Allocators, Line 113</t>
  </si>
  <si>
    <t>EOY &gt;&gt;</t>
  </si>
  <si>
    <t>3)  Calculation of Allocated Preferred Stock Dividends Payable</t>
  </si>
  <si>
    <t>Electric Plant over Total Plant</t>
  </si>
  <si>
    <t>24-Allocators, Line 116</t>
  </si>
  <si>
    <t>Allocated Preferred Stock Dividends Payable</t>
  </si>
  <si>
    <t>13-Month Average Company Accrued Vacation Liability</t>
  </si>
  <si>
    <t>13-Month Average Dividends Declared-Preferred Stock (Acct. 437)</t>
  </si>
  <si>
    <t>4)  Other Unfunded Reserves</t>
  </si>
  <si>
    <t>Line 118</t>
  </si>
  <si>
    <t>Line 115</t>
  </si>
  <si>
    <t>The Formula Rate shall include a credit to rate base for unfunded reserves, defined as funds (1) included in the revenue requirement or otherwise recovered from customers (2) in advance of expenditure that (3) have not been set aside in a trust, escrow or restricted account.  Reserves shall be included in rate base only to the extent that the reserves are customer-contributed capital or offsets to other rate base amounts for which the utility has not expended investor capital.  For the avoidance of doubt, unfunded reserves includes capitalized amounts for which PG&amp;E has not made corresponding cash expenditures.  "In advance of expenditure" is defined as one accounting period or longer prior to expenditure as "accounting period" is used to define prepayments in rate base.  Unfunded reserves shall be allocated to rate base on the same basis that the utlity recovers the underlying accrual through the Formula Rate.</t>
  </si>
  <si>
    <t>Instructions: Add any new categories of unfunded reserves (as defined at the top of this schedule) to the gold shaded cells below. Add more categories as needed.</t>
  </si>
  <si>
    <t>Allocations</t>
  </si>
  <si>
    <t>Other Unfunded Reserves</t>
  </si>
  <si>
    <t>6) For Land and Land Rights, the Primary percentage is calculated by summing Col 2, Lines 301 to 313, then dividing the sum of Cols 2 and 3, Lines 301 to 313. The secondary percentage is 1 minus the primary percentage.</t>
  </si>
  <si>
    <t>211a</t>
  </si>
  <si>
    <t>Prior Year Annual Primary NCP Demand:</t>
  </si>
  <si>
    <t>Prior Year Annual Secondary NCP Demand:</t>
  </si>
  <si>
    <t>Diversified Peak (DP)</t>
  </si>
  <si>
    <t>Line 211 * Line 211a * Line 212</t>
  </si>
  <si>
    <t>Total Insured Electric Plant</t>
  </si>
  <si>
    <t>This Schedule 17-RegAsset-3 reflects the federal income tax rate change due to the Tax Cuts and Job Act (TCJA).  This Schedule will be replicated for each tax rate change after the TCJA.</t>
  </si>
  <si>
    <t>Set at 49.75</t>
  </si>
  <si>
    <t>Set at 0.5%</t>
  </si>
  <si>
    <t>Second Partial Settlement Value</t>
  </si>
  <si>
    <t>Set at 10.25%</t>
  </si>
  <si>
    <t>24-Allocators, L. 125</t>
  </si>
  <si>
    <t>19-AandG, L. 219</t>
  </si>
  <si>
    <t>20-RevenueCredits, L. 100, col 5</t>
  </si>
  <si>
    <t>7-PlantInService, L. 701, col 2 and col 3</t>
  </si>
  <si>
    <t>7-PlantInService, L. 702, col 2 and col 3</t>
  </si>
  <si>
    <t>10-AccDep, L. 702, col 2 and col 3</t>
  </si>
  <si>
    <t>10-AccDep, L. 701, col 2 and col 3</t>
  </si>
  <si>
    <t>2-True-upDRR, L. 413, col 4</t>
  </si>
  <si>
    <t>Instructions: Add new customers to lines 300 - 303 when needed.</t>
  </si>
  <si>
    <t>Line 129 / Line 130</t>
  </si>
  <si>
    <t>Instructions: Enter credit balances as positive balances.</t>
  </si>
  <si>
    <t>Assigned Electric Distribution CGI</t>
  </si>
  <si>
    <t>Total Recorded ADIT</t>
  </si>
  <si>
    <t>FF1 111, L. 57, col c and d</t>
  </si>
  <si>
    <t>2) Annual dividend calculation is comparable to the calculation described in 18 CFR 35.13 (22) (iii)</t>
  </si>
  <si>
    <t>Debit balances are positive, Credit balances are negative</t>
  </si>
  <si>
    <t>3) FERC Account 190 amounts are coming from FERC Form 1, which lists Electric and Gas amounts separately.  For the amounts listed on 14-ADIT, PG&amp;E uses Electric amounts whenever possible.</t>
  </si>
  <si>
    <t xml:space="preserve">Plant Related </t>
  </si>
  <si>
    <t>Labor Related</t>
  </si>
  <si>
    <t>4) FERC Account 282 and Account 255 amounts are coming from PG&amp;E's tax fixed asset software system (PowerTax).   PowerTax common amounts are on a total company basis.</t>
  </si>
  <si>
    <t>12 Months</t>
  </si>
  <si>
    <t xml:space="preserve">The “grossed-up” portion included in Column 25, equals the amounts included in PG&amp;E's FERC Account 182.3 and 254 on its balance sheet, and is not included in rate base. </t>
  </si>
  <si>
    <t>4) If PG&amp;E wishes to recover the costs of cancelled capital distribution projects, it will petition the Commission seeking authorization for abandoned plant treatment for such costs. In its petition, PG&amp;E will ask the Commission to order PG&amp;E to make a compliance filing to revise the Model tariff record to reflect the recovery of abandoned plant should the Commission authorize such recovery.</t>
  </si>
  <si>
    <t>2) Account 190 Detail</t>
  </si>
  <si>
    <t>3) Account 282 Detail</t>
  </si>
  <si>
    <t>Col 9 + Col 10, Note 4</t>
  </si>
  <si>
    <t>UnfundedReserves, L. 101, col 2</t>
  </si>
  <si>
    <t>UnfundedReserves, L. 100, col 2</t>
  </si>
  <si>
    <r>
      <t>Note 7:</t>
    </r>
    <r>
      <rPr>
        <sz val="10"/>
        <rFont val="Arial"/>
        <family val="2"/>
      </rPr>
      <t xml:space="preserve"> Per the Second Partial Settlement, the Wholesale Primary Credit for RY2021 is ($3,500,000), for RY2022 is ($3,500,000), for RY2023 is ($2,000,000), and for RY2024 is ($1,000,000). </t>
    </r>
  </si>
  <si>
    <r>
      <rPr>
        <b/>
        <sz val="11"/>
        <rFont val="Calibri"/>
        <family val="2"/>
        <scheme val="minor"/>
      </rPr>
      <t>Note 8:</t>
    </r>
    <r>
      <rPr>
        <sz val="11"/>
        <rFont val="Calibri"/>
        <family val="2"/>
        <scheme val="minor"/>
      </rPr>
      <t xml:space="preserve"> The Allocated Wholesale Primary True-up Credits are only applicable to SA Nos. 275, 30, 56, 382, 17, and 15. The calculation to allocate the credit is equal to each customer's Allocated Rate Year Primary True-up DRR (Line 202) divided by the sum of all the Allocated Rate Year Primary True-up DRRs of each applicable Wholesale Customers multiplied by the Wholesale Primary Credit for the Rate Year (Line 200a).</t>
    </r>
  </si>
  <si>
    <t>Prior Year Annual Primary Non-Coincident Demand:</t>
  </si>
  <si>
    <t>Prior Year Annual Secondary Non-Coincident Demand:</t>
  </si>
  <si>
    <t>Line 103 + Line 103a + Line 104</t>
  </si>
  <si>
    <r>
      <t>Note 2:</t>
    </r>
    <r>
      <rPr>
        <sz val="10"/>
        <rFont val="Arial"/>
        <family val="2"/>
      </rPr>
      <t xml:space="preserve"> Per the Second Partial Settlement, the Wholesale Primary Credit for RY2021 is ($3,500,000), for RY2022 is ($3,500,000), for RY2023 is ($2,000,000), and for RY2024 is ($1,000,000). </t>
    </r>
  </si>
  <si>
    <r>
      <rPr>
        <b/>
        <sz val="11"/>
        <rFont val="Calibri"/>
        <family val="2"/>
        <scheme val="minor"/>
      </rPr>
      <t>Note 3:</t>
    </r>
    <r>
      <rPr>
        <sz val="11"/>
        <rFont val="Calibri"/>
        <family val="2"/>
        <scheme val="minor"/>
      </rPr>
      <t xml:space="preserve"> The Allocated Wholesale Primary Credits are only applicable to SA Nos. 275, 30, 56, 382, 17, and 15. The calculation to allocate the credit is equal to each customer's Allocated Rate Year Primary DRR (Line 103) divided by the sum of all the Allocated Rate Year Primary DRRs of each applicable Wholesale Customers multiplied by the Wholesale Primary Credit for the Rate Year (Line 100a).</t>
    </r>
  </si>
  <si>
    <t>Land and Land Rights (Note 6)</t>
  </si>
  <si>
    <t>Poles, Towers, and Fixtures (Note 7)</t>
  </si>
  <si>
    <t>Overhead Conductors and Devices (Note 7)</t>
  </si>
  <si>
    <t>Underground Conduit (Note 7)</t>
  </si>
  <si>
    <t>Underground Conduit and Devices (Note 7)</t>
  </si>
  <si>
    <r>
      <t xml:space="preserve">Diversified Peak (DP): </t>
    </r>
    <r>
      <rPr>
        <sz val="11"/>
        <rFont val="Calibri"/>
        <family val="2"/>
        <scheme val="minor"/>
      </rPr>
      <t>For each PG&amp;E WDT Distribution Customer, the highest monthly demand coincident among each Distribution Customer’s points of interconnection.  For Customers with one point of interconnection, the Diversified Peak Demand and the Non-Coincident Peak Demand will be the same</t>
    </r>
    <r>
      <rPr>
        <b/>
        <sz val="11"/>
        <rFont val="Calibri"/>
        <family val="2"/>
        <scheme val="minor"/>
      </rPr>
      <t>.</t>
    </r>
  </si>
  <si>
    <r>
      <t xml:space="preserve">Non-Coincident Peak (NCP): </t>
    </r>
    <r>
      <rPr>
        <sz val="11"/>
        <rFont val="Calibri"/>
        <family val="2"/>
        <scheme val="minor"/>
      </rPr>
      <t>The Distribution Customer’s highest monthly demand irrespective of the date or time the peak occurred in that month.  For Customers with more than one POI, the NCP is a sum of each POIs NCP.</t>
    </r>
  </si>
  <si>
    <t>Production Demand  (DEMD 1) (CP)</t>
  </si>
  <si>
    <t>High Voltage (DEMD 4) (CP)</t>
  </si>
  <si>
    <t>Low Voltage (DEMD 5) (CP)</t>
  </si>
  <si>
    <t>Distribution - Substa (DEMD 6) (DP)</t>
  </si>
  <si>
    <t>Overhead Primary Line (DEMD 7) (DP)</t>
  </si>
  <si>
    <t>Underground Primary Line (DEMD 8) (DP)</t>
  </si>
  <si>
    <t>Line Transformers (DEMD 9) (NCP)</t>
  </si>
  <si>
    <t>Overhead Secondary Line (DEMD 10) (NCP)</t>
  </si>
  <si>
    <t>Underground Secondary Line (DEMD 11) (NCP)</t>
  </si>
  <si>
    <t>Services (DEMD 12) (NCP)</t>
  </si>
  <si>
    <r>
      <rPr>
        <b/>
        <sz val="10"/>
        <rFont val="Arial"/>
        <family val="2"/>
      </rPr>
      <t>Note 3:</t>
    </r>
    <r>
      <rPr>
        <sz val="10"/>
        <rFont val="Arial"/>
        <family val="2"/>
      </rPr>
      <t xml:space="preserve"> Total recorded Retail System Coincident Peaks (CP) (DEMD 1 - 5),  Diversified Peaks (DP) (DEMD 6 - 8), and Non-Coincident Peaks (NCP) (DEMD 9 -12) for the Prior Year.</t>
    </r>
  </si>
  <si>
    <r>
      <rPr>
        <b/>
        <sz val="10"/>
        <rFont val="Arial"/>
        <family val="2"/>
      </rPr>
      <t>Note 2:</t>
    </r>
    <r>
      <rPr>
        <sz val="10"/>
        <rFont val="Arial"/>
        <family val="2"/>
      </rPr>
      <t xml:space="preserve"> The monthly Primary Demands for Customers with Secondary loads is calculated using this formula: Recorded Primary DP Demand + [Recorded Secondary DP Demand * (1.13848 / 1.07414)]. The loss factor 1.07414 is found in 
15-LossFactors, col 1, line 103 and the loss factor 1.13848 is found in 15-LossFactors, col 1, line 104.</t>
    </r>
  </si>
  <si>
    <r>
      <rPr>
        <b/>
        <sz val="11"/>
        <rFont val="Calibri"/>
        <family val="2"/>
        <scheme val="minor"/>
      </rPr>
      <t>Note 1:</t>
    </r>
    <r>
      <rPr>
        <sz val="11"/>
        <rFont val="Calibri"/>
        <family val="2"/>
        <scheme val="minor"/>
      </rPr>
      <t xml:space="preserve"> Data is from each Customer’s monthly billed Non-Coincident Peak demand. </t>
    </r>
  </si>
  <si>
    <t>Less:  Accounting Adjustment</t>
  </si>
  <si>
    <r>
      <rPr>
        <b/>
        <sz val="11"/>
        <color theme="1"/>
        <rFont val="Calibri"/>
        <family val="2"/>
        <scheme val="minor"/>
      </rPr>
      <t>Note 2</t>
    </r>
    <r>
      <rPr>
        <sz val="11"/>
        <color theme="1"/>
        <rFont val="Calibri"/>
        <family val="2"/>
        <scheme val="minor"/>
      </rPr>
      <t xml:space="preserve">:  To ensure rate payers are not subsidizing work being performed on behalf of third parties, the cost of the work must include a portion of overhead costs. This is required to reflect the full cost of work and allow for recovery of costs not included in labor rates. PG&amp;E’s costs are billed in accordance with the Uniform System of Accounts prescribed by the Federal Energy Regulatory Commission (FERC). </t>
    </r>
  </si>
  <si>
    <t>Net Accrued Vacation (13-Month Average)</t>
  </si>
  <si>
    <t>Net Accrued Vacation (EOY)</t>
  </si>
  <si>
    <t>3) Prior Year Wholesale Secondary Demand (kW) (Note 1)</t>
  </si>
  <si>
    <r>
      <rPr>
        <b/>
        <sz val="10"/>
        <rFont val="Arial"/>
        <family val="2"/>
      </rPr>
      <t>Note 1:</t>
    </r>
    <r>
      <rPr>
        <sz val="10"/>
        <rFont val="Arial"/>
        <family val="2"/>
      </rPr>
      <t xml:space="preserve"> Primary and Secondary Demand data is from Schedule 9-Wholesale Revenues, lines 113 - 124 for Primary and lines 313 - 324 for Secondary.</t>
    </r>
  </si>
  <si>
    <r>
      <rPr>
        <b/>
        <sz val="11"/>
        <color theme="1"/>
        <rFont val="Calibri"/>
        <family val="2"/>
        <scheme val="minor"/>
      </rPr>
      <t>Note 1:</t>
    </r>
    <r>
      <rPr>
        <sz val="11"/>
        <color theme="1"/>
        <rFont val="Calibri"/>
        <family val="2"/>
        <scheme val="minor"/>
      </rPr>
      <t xml:space="preserve"> The Monthly True-up Revenue is calculated by multiplying the True-up Rates from lines 303 for Primary and 309  for Secondary by the Prior Year billed demand from 9-WholesaleRevenues, lines 100 - 111 and 300 - 311.</t>
    </r>
  </si>
  <si>
    <r>
      <rPr>
        <b/>
        <sz val="11"/>
        <rFont val="Calibri"/>
        <family val="2"/>
        <scheme val="minor"/>
      </rPr>
      <t>Note 2:</t>
    </r>
    <r>
      <rPr>
        <sz val="11"/>
        <rFont val="Calibri"/>
        <family val="2"/>
        <scheme val="minor"/>
      </rPr>
      <t xml:space="preserve"> The Prior Year Primary and Secondy monthly Revenue can be found on each Customer's monthly bill. </t>
    </r>
  </si>
  <si>
    <t>4) Prior Year Wholesale Secondary Distribution Revenue (Note 2)</t>
  </si>
  <si>
    <t>2) Prior Year Wholesale Primary Distribution Revenue (Note 2)</t>
  </si>
  <si>
    <r>
      <rPr>
        <b/>
        <sz val="11"/>
        <color theme="1"/>
        <rFont val="Calibri"/>
        <family val="2"/>
        <scheme val="minor"/>
      </rPr>
      <t>Note 2:</t>
    </r>
    <r>
      <rPr>
        <sz val="11"/>
        <color theme="1"/>
        <rFont val="Calibri"/>
        <family val="2"/>
        <scheme val="minor"/>
      </rPr>
      <t xml:space="preserve"> The monthly Prior Year Revenues are from 9-WholesaleRevenues, lines 200 - 211 for Primary and lines 400 - 411 for Secondary.</t>
    </r>
  </si>
  <si>
    <t>1-DRR, L. 513, col 3</t>
  </si>
  <si>
    <t>9-WholesaleRevenues, L. 312</t>
  </si>
  <si>
    <t>Distribution O&amp;M Expense (Line 101, Col 11, 12, 13, 14)</t>
  </si>
  <si>
    <t>Line 202 - Line 203 - Line 206</t>
  </si>
  <si>
    <t>1-DRR, L. 513</t>
  </si>
  <si>
    <t>17-RegAssets-2, L. 109, Col 17 (zero in 2017 only)</t>
  </si>
  <si>
    <t>17-RegAssets-2, L. 109, Col 24</t>
  </si>
  <si>
    <t>WP_24-Allocators_Property_Insurance, L. 1</t>
  </si>
  <si>
    <t>WP_24-Allocators_Property_Insurance, L. 2</t>
  </si>
  <si>
    <t>Line 202 + Line 203 + Line 202a</t>
  </si>
  <si>
    <t>402a</t>
  </si>
  <si>
    <t>Instructions: Enter values as negatives.</t>
  </si>
  <si>
    <r>
      <rPr>
        <b/>
        <sz val="11"/>
        <rFont val="Calibri"/>
        <family val="2"/>
        <scheme val="minor"/>
      </rPr>
      <t>Note 1:</t>
    </r>
    <r>
      <rPr>
        <sz val="11"/>
        <rFont val="Calibri"/>
        <family val="2"/>
        <scheme val="minor"/>
      </rPr>
      <t xml:space="preserve">  PG&amp;E conducted a query of GL Acct 2420024 Accrued Vacation Liability and reflected the beginning-of-year (BOY) and end-of-year (EOY) recorded balances in col 1 and col 2.</t>
    </r>
  </si>
  <si>
    <r>
      <rPr>
        <b/>
        <sz val="11"/>
        <rFont val="Calibri"/>
        <family val="2"/>
        <scheme val="minor"/>
      </rPr>
      <t>Note 3:</t>
    </r>
    <r>
      <rPr>
        <sz val="11"/>
        <rFont val="Calibri"/>
        <family val="2"/>
        <scheme val="minor"/>
      </rPr>
      <t xml:space="preserve">  During PG&amp;E's Chapter 11 bankruptcy, filed on January 29, 2019, and until preferred stock dividends resume, the company will treat monies collected to cover preferred stock costs as unfunded reserves for ratemaking purposes.</t>
    </r>
  </si>
  <si>
    <r>
      <rPr>
        <b/>
        <sz val="11"/>
        <rFont val="Calibri"/>
        <family val="2"/>
        <scheme val="minor"/>
      </rPr>
      <t>Note 2:</t>
    </r>
    <r>
      <rPr>
        <sz val="11"/>
        <rFont val="Calibri"/>
        <family val="2"/>
        <scheme val="minor"/>
      </rPr>
      <t xml:space="preserve">  The amount of $47,500,000 represents a one-time accounting adjustment to increase the vacation accrual that was never reflected in operating expenses, never recovered from customers and was instead absorbed by shareholders.  Per the Second Partial Settlement, for Rate Year 2021 100% of the adjustment is applied, for Rate Year 2022, 70% is applied, for Rate Year 2023, 30% is applied, and for Rate Year 2024 and beyond, 0% is applied.</t>
    </r>
  </si>
  <si>
    <t>Misc Electric Service Revenue Protection</t>
  </si>
  <si>
    <r>
      <rPr>
        <b/>
        <sz val="10"/>
        <color rgb="FF000000"/>
        <rFont val="Arial"/>
        <family val="2"/>
      </rPr>
      <t>Note 1:</t>
    </r>
    <r>
      <rPr>
        <sz val="10"/>
        <color indexed="8"/>
        <rFont val="Arial"/>
        <family val="2"/>
      </rPr>
      <t xml:space="preserve"> The Prior Year Annual Primary Non-Coincident Demand for Customers with Secondary loads is calculated using this formula: 9-WholesaleRevenues, L. 112 + (9-WholesaleRevenues, L. 412) * (1.13848 / 1.07414). The loss factor 1.07414 is found in 15-LossFactors, col 1, line 103 and the loss factor 1.13848 is found in 15-LossFactors, col 1, line 104. For Customer with Primary only, see 9-WholesaleRevenues, L 112.</t>
    </r>
  </si>
  <si>
    <r>
      <rPr>
        <b/>
        <sz val="10"/>
        <color rgb="FF000000"/>
        <rFont val="Arial"/>
        <family val="2"/>
      </rPr>
      <t>Note 9:</t>
    </r>
    <r>
      <rPr>
        <sz val="10"/>
        <color indexed="8"/>
        <rFont val="Arial"/>
        <family val="2"/>
      </rPr>
      <t xml:space="preserve"> The Prior Year Annual Primary Non-Coincident Demand for Customers with Secondary loads is calculated using this formula: 9-WholesaleRevenues, L. 112 + (9-WholesaleRevenues, L. 412) * (1.13848 / 1.07414). The loss factor 1.07414 is found in 15-LossFactors, col 1, line 103 and the loss factor 1.13848 is found in 15-LossFactors, col 1, line 104. For Customer with Primary only, see 9-WholesaleRevenues, L 112.</t>
    </r>
  </si>
  <si>
    <t>CCSF
(SA No. 275)</t>
  </si>
  <si>
    <t>PWRPA 1 
(SA No. 30)</t>
  </si>
  <si>
    <t>PWRPA 2
(SA No. 56)</t>
  </si>
  <si>
    <t>Shelter Cove
(SA No. 40)</t>
  </si>
  <si>
    <t>WAPA
(SA No. 17)</t>
  </si>
  <si>
    <t>Westside
(SA No. 15)</t>
  </si>
  <si>
    <t>Port Of Oakland
(SA No. 3)</t>
  </si>
  <si>
    <t>PWRPA 1
(SA No. 30)</t>
  </si>
  <si>
    <t>Shelter Cove
(SA No. 382)</t>
  </si>
  <si>
    <t>Diversified Peak (DP) at Primary
(DEMD 6 - 8) (Note 2)</t>
  </si>
  <si>
    <t>NonCoincident Peak (NCP) at Secondary
(DEMD 9 - 12)</t>
  </si>
  <si>
    <t>Diversified Peak (DP) at Primary
(DEMD 6 - 8)</t>
  </si>
  <si>
    <t>CCSF</t>
  </si>
  <si>
    <t>Port of Oakland</t>
  </si>
  <si>
    <t>PWRPA 1</t>
  </si>
  <si>
    <t>PWRPA 2</t>
  </si>
  <si>
    <t>Shelter Cove</t>
  </si>
  <si>
    <t>WAPA</t>
  </si>
  <si>
    <t>Westside</t>
  </si>
  <si>
    <t>In effect 2018 and forward</t>
  </si>
  <si>
    <t>In effect 2017 and forward</t>
  </si>
  <si>
    <t>Present</t>
  </si>
  <si>
    <t>FF1 263, L. 9, col L</t>
  </si>
  <si>
    <t>FF1 263, L. 1, col L</t>
  </si>
  <si>
    <t>FF1 263, L. 7, col L</t>
  </si>
  <si>
    <t>FF1 263, L. 3, col L</t>
  </si>
  <si>
    <t>Portion of FF1, 263.14L Total</t>
  </si>
  <si>
    <t>FERC CA Method/Life</t>
  </si>
  <si>
    <t>FERC Fed Method/Life</t>
  </si>
  <si>
    <t>FERC St Off Method/Life</t>
  </si>
  <si>
    <t>FERC Audit Adjustment</t>
  </si>
  <si>
    <t>FERC Fed 1033 Involuntary Conv</t>
  </si>
  <si>
    <t>FERC Fed 263a F&amp;C 2014</t>
  </si>
  <si>
    <t>FERC Fed 263a F&amp;C Fed</t>
  </si>
  <si>
    <t>FERC Fed AFUDC Equity</t>
  </si>
  <si>
    <t>FERC Fed Audit Adj Bonus</t>
  </si>
  <si>
    <t>FERC Fed Casualty Loss 2008</t>
  </si>
  <si>
    <t>FERC Fed CIAC</t>
  </si>
  <si>
    <t>FERC Fed COR Fed</t>
  </si>
  <si>
    <t>FERC Fed ITC Basis Red</t>
  </si>
  <si>
    <t>FERC Fed Other Book Only</t>
  </si>
  <si>
    <t>FERC Fed Overheads</t>
  </si>
  <si>
    <t>FERC Fed Repair 2014</t>
  </si>
  <si>
    <t>FERC Fed Repair 2014 Fed</t>
  </si>
  <si>
    <t>FERC Fed Repair Allow</t>
  </si>
  <si>
    <t>FERC Fed Repair Fed</t>
  </si>
  <si>
    <t>FERC Fed Software</t>
  </si>
  <si>
    <t>FERC Fed Software CA NO</t>
  </si>
  <si>
    <t>FERC Fed Software FT-</t>
  </si>
  <si>
    <t>FERC Fed TOA Capitalization</t>
  </si>
  <si>
    <t>FERC Fed TOA Capitalization CA Norm</t>
  </si>
  <si>
    <t>FERC Fed TOA Software Other</t>
  </si>
  <si>
    <t>FERC Reg Plant Disallowance</t>
  </si>
  <si>
    <t>FERC St Off 1033 Involuntary Conv</t>
  </si>
  <si>
    <t>FERC St Off 263a F&amp;C 2014</t>
  </si>
  <si>
    <t>FERC St Off 263a F&amp;C CA</t>
  </si>
  <si>
    <t>FERC St Off 263a F&amp;C Fed</t>
  </si>
  <si>
    <t>FERC St Off AFUDC Equity</t>
  </si>
  <si>
    <t>FERC St Off AFUDC Equity CA</t>
  </si>
  <si>
    <t>FERC St Off Audit Adjustment</t>
  </si>
  <si>
    <t>FERC St Off Audit Adjustment CA</t>
  </si>
  <si>
    <t>FERC St Off Casualty Loss 2008</t>
  </si>
  <si>
    <t>FERC St Off CIAC</t>
  </si>
  <si>
    <t>FERC St Off COR Fed</t>
  </si>
  <si>
    <t>FERC St Off ITC Basis Red</t>
  </si>
  <si>
    <t>FERC St Off ITC Basis Red CA</t>
  </si>
  <si>
    <t>FERC St Off Other Book Only</t>
  </si>
  <si>
    <t>FERC St Off Overheads</t>
  </si>
  <si>
    <t>FERC St Off Overheads CA</t>
  </si>
  <si>
    <t>FERC St Off Reg Plant Disallow Fed</t>
  </si>
  <si>
    <t>FERC St Off Repair 2014</t>
  </si>
  <si>
    <t>FERC St Off Repair 2014 CA</t>
  </si>
  <si>
    <t>FERC St Off Repair 2014 Fed</t>
  </si>
  <si>
    <t>FERC St Off Repair Allow</t>
  </si>
  <si>
    <t>FERC St Off Repair Allow CA</t>
  </si>
  <si>
    <t>FERC St Off Repair CA</t>
  </si>
  <si>
    <t>FERC St Off Repair Fed</t>
  </si>
  <si>
    <t>FERC St Off Software</t>
  </si>
  <si>
    <t>FERC St Off Software CA NO</t>
  </si>
  <si>
    <t>FERC St Off Software FT-</t>
  </si>
  <si>
    <t>FERC St Off TOA Capital CA Norm</t>
  </si>
  <si>
    <t>FERC St Off TOA Capitaliz CA</t>
  </si>
  <si>
    <t>FERC St Off TOA Capitalization</t>
  </si>
  <si>
    <t>FERC St Off TOA Other CA</t>
  </si>
  <si>
    <t>FERC St Off TOA Software Other</t>
  </si>
  <si>
    <t>Vacation Pay Timing Differences</t>
  </si>
  <si>
    <t>Property Tax Timing Differences</t>
  </si>
  <si>
    <t>Property Tax - Correction of 2017 FERC Form 1 Error</t>
  </si>
  <si>
    <t>FERC Fed AFUDC Debt</t>
  </si>
  <si>
    <t>FERC Fed FAS34 Cap Int</t>
  </si>
  <si>
    <t>FERC Fed Sec 263a Cap Int</t>
  </si>
  <si>
    <t>FERC St Off AFUDC Debt</t>
  </si>
  <si>
    <t>FERC St Off FAS34 Cap Int</t>
  </si>
  <si>
    <t>FERC St Off Sec 263a Cap Int</t>
  </si>
  <si>
    <t xml:space="preserve">   Net Operating Loss Deferred Taxes</t>
  </si>
  <si>
    <t>FERC Fed 2017 481a Adj</t>
  </si>
  <si>
    <t>FERC Fed 2017 481a Bon Add Back</t>
  </si>
  <si>
    <t>FERC Fed St Off 2017 481a Adj CA</t>
  </si>
  <si>
    <t>Environmental</t>
  </si>
  <si>
    <t>Compensation</t>
  </si>
  <si>
    <t>Vacation Timing Differences</t>
  </si>
  <si>
    <t>Contributions In Aid of Construction (CIAC)</t>
  </si>
  <si>
    <t>California Corporation Franchise Tax</t>
  </si>
  <si>
    <t>Net Operating Losses Deferred Taxes</t>
  </si>
  <si>
    <t>ITC FAS 109 Deferred Taxes</t>
  </si>
  <si>
    <t>Other</t>
  </si>
  <si>
    <t>Gas and Other Non-EDP Related Costs</t>
  </si>
  <si>
    <t>Relates to all Regulated Electric Property</t>
  </si>
  <si>
    <t>Property-Related EDP Costs</t>
  </si>
  <si>
    <t xml:space="preserve">Fully Normalized Deferred Tax </t>
  </si>
  <si>
    <t>Property/Non-EDP</t>
  </si>
  <si>
    <t xml:space="preserve">Common Plant </t>
  </si>
  <si>
    <t>Property - Off System DFIT for Repairs Section 481(a)</t>
  </si>
  <si>
    <t>Property/ISO (Abandoned Plant)</t>
  </si>
  <si>
    <t>Property-Related CPUC Costs</t>
  </si>
  <si>
    <t>Property-Related Total Company Costs</t>
  </si>
  <si>
    <t>Loss on Reaquired Debt</t>
  </si>
  <si>
    <t>Balancing Accounts</t>
  </si>
  <si>
    <t>Relates Entirely to CPUC Balancing Account Recovery</t>
  </si>
  <si>
    <t>Investment Tax Credits</t>
  </si>
  <si>
    <t>Investment Tax Credits - Common</t>
  </si>
  <si>
    <t>Investment Tax Credits -Other</t>
  </si>
  <si>
    <t>Property-Related Costs</t>
  </si>
  <si>
    <t>(WP_7-PlantInService 6, L. 148, col 10) - (WP_7-PlantInService 1, L. 102)</t>
  </si>
  <si>
    <t>(WP_7-PlantInService 6, L. 148, col 13) - (WP_7-PlantInService 1, L. 102)</t>
  </si>
  <si>
    <t>(WP_7-PlantInService 6, L. 148, col 11) - (WP_7-PlantInService 1, L. 102)</t>
  </si>
  <si>
    <t>(WP_10-AccDep 6, L. 148, Col 10) - (WP_10-AccDep 1, L. 102)</t>
  </si>
  <si>
    <t>(WP_10-AccDep 6, L. 148, Col 11) - (WP_10-AccDep 1, L. 102)</t>
  </si>
  <si>
    <t>City and County of San Francisco</t>
  </si>
  <si>
    <t>PWRPA</t>
  </si>
  <si>
    <t>Western Area Power Administration</t>
  </si>
  <si>
    <t>Westside Power Authority</t>
  </si>
  <si>
    <r>
      <rPr>
        <b/>
        <sz val="11"/>
        <color theme="1"/>
        <rFont val="Calibri"/>
        <family val="2"/>
        <scheme val="minor"/>
      </rPr>
      <t>Note 1</t>
    </r>
    <r>
      <rPr>
        <sz val="11"/>
        <color theme="1"/>
        <rFont val="Calibri"/>
        <family val="2"/>
        <scheme val="minor"/>
      </rPr>
      <t>: Total Billable Labor Costs represents the 2022 planned hourly billable cost of an employee in the Complex Billing organization.  Calculated as planned salary costs for organization, plus minor employee related expenses, divided by planned billable hours for the organization.</t>
    </r>
  </si>
  <si>
    <t>Col 2, Line 200 + Line 300</t>
  </si>
  <si>
    <t>Col 1, Line 200 + Line 300</t>
  </si>
  <si>
    <t>WP_1-BaseDRR_Pyrl_Tax 2, L. 106</t>
  </si>
  <si>
    <t>WP_1-BaseDRR_Pyrl_Tax 2, L. 107</t>
  </si>
  <si>
    <t>7) See Workpaper WP_6-PlantJurisdiction, Lines 117 and 118,Cols 1 and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</si>
</sst>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_(* #,##0_);_(* \(#,##0\);_(* &quot;-&quot;??_);_(@_)"/>
    <numFmt numFmtId="167" formatCode="0.0000%"/>
    <numFmt numFmtId="168" formatCode="0.0%"/>
    <numFmt numFmtId="169" formatCode="General_)"/>
    <numFmt numFmtId="170" formatCode="[$-409]mmmm\ d\,\ yyyy;@"/>
    <numFmt numFmtId="171" formatCode="[$-409]d\-mmm;@"/>
    <numFmt numFmtId="172" formatCode="_([$€-2]* #,##0.00_);_([$€-2]* \(#,##0.00\);_([$€-2]* &quot;-&quot;??_)"/>
    <numFmt numFmtId="173" formatCode="mmmddyyyy"/>
    <numFmt numFmtId="174" formatCode="0.000000"/>
    <numFmt numFmtId="175" formatCode="[$-409]d\-mmm\-yy;@"/>
    <numFmt numFmtId="176" formatCode="[$-409]mmm\-yy;@"/>
    <numFmt numFmtId="177" formatCode="m\-d\-yy"/>
    <numFmt numFmtId="178" formatCode="yymmmmdd"/>
    <numFmt numFmtId="179" formatCode="0.000\ \¢"/>
    <numFmt numFmtId="180" formatCode="_-* #,##0.00\ _D_M_-;\-* #,##0.00\ _D_M_-;_-* &quot;-&quot;??\ _D_M_-;_-@_-"/>
    <numFmt numFmtId="181" formatCode="&quot;$&quot;.00;;"/>
    <numFmt numFmtId="182" formatCode="_-* #,##0.00\ &quot;DM&quot;_-;\-* #,##0.00\ &quot;DM&quot;_-;_-* &quot;-&quot;??\ &quot;DM&quot;_-;_-@_-"/>
    <numFmt numFmtId="183" formatCode="&quot;$&quot;#,##0.00;\-&quot;$&quot;#,##0.00"/>
    <numFmt numFmtId="184" formatCode="_-* #,##0.0_-;\-* #,##0.0_-;_-* &quot;-&quot;??_-;_-@_-"/>
    <numFmt numFmtId="185" formatCode="#,##0.00&quot; $&quot;;\-#,##0.00&quot; $&quot;"/>
    <numFmt numFmtId="186" formatCode=";;;"/>
    <numFmt numFmtId="187" formatCode="#,##0;;"/>
    <numFmt numFmtId="188" formatCode="0.00_)"/>
    <numFmt numFmtId="189" formatCode="&quot;$&quot;#,##0_);[Red]\(&quot;$&quot;#,##0\);&quot;-&quot;???"/>
    <numFmt numFmtId="190" formatCode="0.0%;_(\ &quot;-&quot;_)"/>
    <numFmt numFmtId="191" formatCode="[$-409]mmmm\-yy;@"/>
    <numFmt numFmtId="192" formatCode="0.000000000"/>
    <numFmt numFmtId="193" formatCode="0.000"/>
    <numFmt numFmtId="194" formatCode="0.000%"/>
    <numFmt numFmtId="195" formatCode="_(&quot;$&quot;* #,##0.00_);_(&quot;$&quot;* \(#,##0.00\);_(&quot;$&quot;* &quot;-&quot;_);_(@_)"/>
    <numFmt numFmtId="196" formatCode="_(* #,##0.00000_);_(* \(#,##0.00000\);_(* &quot;-&quot;??_);_(@_)"/>
    <numFmt numFmtId="197" formatCode="&quot;$&quot;#,##0.00"/>
    <numFmt numFmtId="198" formatCode="0.00000"/>
    <numFmt numFmtId="199" formatCode="m/d/yy;@"/>
    <numFmt numFmtId="200" formatCode="#,##0.0000_);\(#,##0.0000\)"/>
    <numFmt numFmtId="201" formatCode="#,##0.000000_);\(#,##0.000000\)"/>
    <numFmt numFmtId="202" formatCode="0.0000000"/>
    <numFmt numFmtId="203" formatCode="&quot;$&quot;#,##0.000_);\(&quot;$&quot;#,##0.000\)"/>
    <numFmt numFmtId="204" formatCode="0.000000000000000%"/>
  </numFmts>
  <fonts count="111">
    <font>
      <sz val="11"/>
      <color theme="1"/>
      <name val="Calibri"/>
      <family val="2"/>
      <scheme val="minor"/>
    </font>
    <font>
      <sz val="10"/>
      <color theme="1"/>
      <name val="Arial"/>
      <family val="2"/>
    </font>
    <font>
      <b/>
      <sz val="11"/>
      <color theme="1"/>
      <name val="Calibri"/>
      <family val="2"/>
      <scheme val="minor"/>
    </font>
    <font>
      <u/>
      <sz val="11"/>
      <color theme="1"/>
      <name val="Calibri"/>
      <family val="2"/>
      <scheme val="minor"/>
    </font>
    <font>
      <b/>
      <u/>
      <sz val="11"/>
      <color theme="1"/>
      <name val="Calibri"/>
      <family val="2"/>
      <scheme val="minor"/>
    </font>
    <font>
      <sz val="10"/>
      <name val="Arial"/>
      <family val="2"/>
    </font>
    <font>
      <b/>
      <sz val="10"/>
      <name val="Arial"/>
      <family val="2"/>
    </font>
    <font>
      <sz val="10"/>
      <name val="MS Sans Serif"/>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1"/>
      <name val="Calibri"/>
      <family val="2"/>
      <scheme val="minor"/>
    </font>
    <font>
      <sz val="10"/>
      <name val="Helv"/>
      <family val="2"/>
    </font>
    <font>
      <sz val="8"/>
      <name val="Times New Roman"/>
      <family val="1"/>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name val="Arial"/>
      <family val="2"/>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2"/>
      <name val="???"/>
      <family val="1"/>
      <charset val="129"/>
    </font>
    <font>
      <sz val="11"/>
      <color indexed="8"/>
      <name val="Calibri"/>
      <family val="2"/>
    </font>
    <font>
      <sz val="10"/>
      <color indexed="8"/>
      <name val="Arial"/>
      <family val="2"/>
    </font>
    <font>
      <sz val="11"/>
      <color indexed="9"/>
      <name val="Calibri"/>
      <family val="2"/>
    </font>
    <font>
      <sz val="10"/>
      <color indexed="9"/>
      <name val="Arial"/>
      <family val="2"/>
    </font>
    <font>
      <sz val="8"/>
      <name val="Arial"/>
      <family val="2"/>
    </font>
    <font>
      <sz val="11"/>
      <color indexed="20"/>
      <name val="Calibri"/>
      <family val="2"/>
    </font>
    <font>
      <sz val="11"/>
      <color indexed="37"/>
      <name val="Calibri"/>
      <family val="2"/>
    </font>
    <font>
      <sz val="11"/>
      <color indexed="16"/>
      <name val="Calibri"/>
      <family val="2"/>
    </font>
    <font>
      <sz val="12"/>
      <name val="Tms Rmn"/>
      <family val="2"/>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amily val="2"/>
    </font>
    <font>
      <sz val="11"/>
      <name val="??"/>
      <family val="3"/>
      <charset val="129"/>
    </font>
    <font>
      <sz val="12"/>
      <name val="Helv"/>
      <family val="2"/>
    </font>
    <font>
      <b/>
      <sz val="11"/>
      <color indexed="8"/>
      <name val="Calibri"/>
      <family val="2"/>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sz val="7"/>
      <color indexed="12"/>
      <name val="Arial"/>
      <family val="2"/>
    </font>
    <font>
      <sz val="6"/>
      <color indexed="12"/>
      <name val="Arial"/>
      <family val="2"/>
    </font>
    <font>
      <u/>
      <sz val="7.5"/>
      <color indexed="12"/>
      <name val="Arial"/>
      <family val="2"/>
    </font>
    <font>
      <b/>
      <i/>
      <sz val="10"/>
      <color indexed="62"/>
      <name val="Arial"/>
      <family val="2"/>
    </font>
    <font>
      <sz val="11"/>
      <color indexed="48"/>
      <name val="Calibri"/>
      <family val="2"/>
    </font>
    <font>
      <sz val="11"/>
      <color indexed="62"/>
      <name val="Calibri"/>
      <family val="2"/>
    </font>
    <font>
      <sz val="9"/>
      <name val="Helv"/>
      <family val="2"/>
    </font>
    <font>
      <sz val="11"/>
      <color indexed="52"/>
      <name val="Calibri"/>
      <family val="2"/>
    </font>
    <font>
      <sz val="11"/>
      <color indexed="53"/>
      <name val="Calibri"/>
      <family val="2"/>
    </font>
    <font>
      <b/>
      <sz val="9"/>
      <color indexed="18"/>
      <name val="Arial"/>
      <family val="2"/>
    </font>
    <font>
      <b/>
      <sz val="10"/>
      <name val="Helv"/>
      <family val="2"/>
    </font>
    <font>
      <sz val="11"/>
      <color indexed="60"/>
      <name val="Calibri"/>
      <family val="2"/>
    </font>
    <font>
      <sz val="7"/>
      <name val="Small Fonts"/>
      <family val="2"/>
    </font>
    <font>
      <b/>
      <i/>
      <sz val="16"/>
      <name val="Helv"/>
      <family val="2"/>
    </font>
    <font>
      <sz val="10"/>
      <name val="Tahoma"/>
      <family val="2"/>
    </font>
    <font>
      <sz val="11"/>
      <color theme="1"/>
      <name val="Times New Roman"/>
      <family val="1"/>
    </font>
    <font>
      <b/>
      <sz val="16"/>
      <color theme="1"/>
      <name val="Times New Roman"/>
      <family val="1"/>
    </font>
    <font>
      <b/>
      <sz val="14"/>
      <color theme="1"/>
      <name val="Times New Roman"/>
      <family val="1"/>
    </font>
    <font>
      <u/>
      <sz val="11"/>
      <name val="Calibri"/>
      <family val="2"/>
      <scheme val="minor"/>
    </font>
    <font>
      <b/>
      <sz val="11"/>
      <name val="Calibri"/>
      <family val="2"/>
      <scheme val="minor"/>
    </font>
    <font>
      <b/>
      <u/>
      <sz val="11"/>
      <name val="Calibri"/>
      <family val="2"/>
      <scheme val="minor"/>
    </font>
    <font>
      <b/>
      <sz val="11"/>
      <color rgb="FFFF0000"/>
      <name val="Calibri"/>
      <family val="2"/>
      <scheme val="minor"/>
    </font>
    <font>
      <sz val="11"/>
      <color rgb="FF000000"/>
      <name val="Calibri"/>
      <family val="2"/>
      <scheme val="minor"/>
    </font>
    <font>
      <u/>
      <sz val="11"/>
      <color theme="10"/>
      <name val="Calibri"/>
      <family val="2"/>
      <scheme val="minor"/>
    </font>
    <font>
      <b/>
      <i/>
      <sz val="11"/>
      <name val="Calibri"/>
      <family val="2"/>
      <scheme val="minor"/>
    </font>
    <font>
      <sz val="11"/>
      <color theme="1"/>
      <name val="Calibri"/>
      <family val="2"/>
      <scheme val="minor"/>
    </font>
    <font>
      <sz val="8"/>
      <name val="Calibri"/>
      <family val="2"/>
      <scheme val="minor"/>
    </font>
    <font>
      <sz val="10"/>
      <name val="Arial"/>
      <family val="2"/>
    </font>
    <font>
      <b/>
      <sz val="10"/>
      <color rgb="FF000000"/>
      <name val="Arial"/>
      <family val="2"/>
    </font>
    <font>
      <b/>
      <sz val="9.35"/>
      <name val="Calibri"/>
      <family val="2"/>
    </font>
    <font>
      <b/>
      <u/>
      <sz val="11"/>
      <color rgb="FFFF0000"/>
      <name val="Calibri"/>
      <family val="2"/>
      <scheme val="minor"/>
    </font>
    <font>
      <strike/>
      <sz val="10"/>
      <color rgb="FFFF0000"/>
      <name val="Arial"/>
      <family val="2"/>
    </font>
    <font>
      <b/>
      <sz val="10"/>
      <name val="Times New Roman"/>
      <family val="1"/>
    </font>
  </fonts>
  <fills count="116">
    <fill>
      <patternFill patternType="none"/>
    </fill>
    <fill>
      <patternFill patternType="gray125"/>
    </fill>
    <fill>
      <patternFill patternType="solid">
        <fgColor rgb="FFDBE5F1"/>
        <bgColor indexed="64"/>
      </patternFill>
    </fill>
    <fill>
      <patternFill patternType="solid">
        <fgColor rgb="FFFFFFFF"/>
        <bgColor indexed="64"/>
      </patternFill>
    </fill>
    <fill>
      <patternFill patternType="solid">
        <fgColor rgb="FFE9EFF7"/>
        <bgColor indexed="64"/>
      </patternFill>
    </fill>
    <fill>
      <patternFill patternType="solid">
        <fgColor rgb="FFF1F5FB"/>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DBE5F1"/>
        <bgColor indexed="64"/>
      </patternFill>
    </fill>
    <fill>
      <patternFill patternType="solid">
        <fgColor indexed="31"/>
        <bgColor indexed="64"/>
      </patternFill>
    </fill>
    <fill>
      <patternFill patternType="solid">
        <fgColor indexed="40"/>
        <bgColor indexed="64"/>
      </patternFill>
    </fill>
    <fill>
      <patternFill patternType="solid">
        <fgColor theme="4" tint="0.79995117038483843"/>
        <bgColor indexed="64"/>
      </patternFill>
    </fill>
    <fill>
      <patternFill patternType="solid">
        <fgColor indexed="45"/>
        <bgColor indexed="64"/>
      </patternFill>
    </fill>
    <fill>
      <patternFill patternType="solid">
        <fgColor indexed="29"/>
        <bgColor indexed="64"/>
      </patternFill>
    </fill>
    <fill>
      <patternFill patternType="solid">
        <fgColor theme="5" tint="0.79995117038483843"/>
        <bgColor indexed="64"/>
      </patternFill>
    </fill>
    <fill>
      <patternFill patternType="solid">
        <fgColor indexed="42"/>
        <bgColor indexed="64"/>
      </patternFill>
    </fill>
    <fill>
      <patternFill patternType="solid">
        <fgColor indexed="26"/>
        <bgColor indexed="64"/>
      </patternFill>
    </fill>
    <fill>
      <patternFill patternType="solid">
        <fgColor theme="6" tint="0.79995117038483843"/>
        <bgColor indexed="64"/>
      </patternFill>
    </fill>
    <fill>
      <patternFill patternType="solid">
        <fgColor indexed="46"/>
        <bgColor indexed="64"/>
      </patternFill>
    </fill>
    <fill>
      <patternFill patternType="solid">
        <fgColor indexed="9"/>
        <bgColor indexed="64"/>
      </patternFill>
    </fill>
    <fill>
      <patternFill patternType="solid">
        <fgColor theme="7" tint="0.79995117038483843"/>
        <bgColor indexed="64"/>
      </patternFill>
    </fill>
    <fill>
      <patternFill patternType="solid">
        <fgColor indexed="27"/>
        <bgColor indexed="64"/>
      </patternFill>
    </fill>
    <fill>
      <patternFill patternType="solid">
        <fgColor indexed="44"/>
        <bgColor indexed="64"/>
      </patternFill>
    </fill>
    <fill>
      <patternFill patternType="solid">
        <fgColor theme="8" tint="0.79995117038483843"/>
        <bgColor indexed="64"/>
      </patternFill>
    </fill>
    <fill>
      <patternFill patternType="solid">
        <fgColor indexed="47"/>
        <bgColor indexed="64"/>
      </patternFill>
    </fill>
    <fill>
      <patternFill patternType="solid">
        <fgColor theme="9" tint="0.79995117038483843"/>
        <bgColor indexed="64"/>
      </patternFill>
    </fill>
    <fill>
      <patternFill patternType="solid">
        <fgColor indexed="54"/>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indexed="11"/>
        <bgColor indexed="64"/>
      </patternFill>
    </fill>
    <fill>
      <patternFill patternType="solid">
        <fgColor indexed="57"/>
        <bgColor indexed="64"/>
      </patternFill>
    </fill>
    <fill>
      <patternFill patternType="solid">
        <fgColor theme="6" tint="0.59996337778862885"/>
        <bgColor indexed="64"/>
      </patternFill>
    </fill>
    <fill>
      <patternFill patternType="solid">
        <fgColor indexed="22"/>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indexed="51"/>
        <bgColor indexed="64"/>
      </patternFill>
    </fill>
    <fill>
      <patternFill patternType="solid">
        <fgColor theme="9" tint="0.59996337778862885"/>
        <bgColor indexed="64"/>
      </patternFill>
    </fill>
    <fill>
      <patternFill patternType="solid">
        <fgColor indexed="3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44"/>
        <bgColor indexed="64"/>
      </patternFill>
    </fill>
    <fill>
      <patternFill patternType="solid">
        <fgColor indexed="61"/>
        <bgColor indexed="64"/>
      </patternFill>
    </fill>
    <fill>
      <patternFill patternType="solid">
        <fgColor indexed="54"/>
        <bgColor indexed="64"/>
      </patternFill>
    </fill>
    <fill>
      <patternFill patternType="solid">
        <fgColor indexed="22"/>
        <bgColor indexed="64"/>
      </patternFill>
    </fill>
    <fill>
      <patternFill patternType="solid">
        <fgColor indexed="24"/>
        <bgColor indexed="64"/>
      </patternFill>
    </fill>
    <fill>
      <patternFill patternType="solid">
        <fgColor indexed="58"/>
        <bgColor indexed="64"/>
      </patternFill>
    </fill>
    <fill>
      <patternFill patternType="solid">
        <fgColor indexed="48"/>
        <bgColor indexed="64"/>
      </patternFill>
    </fill>
    <fill>
      <patternFill patternType="solid">
        <fgColor indexed="62"/>
        <bgColor indexed="64"/>
      </patternFill>
    </fill>
    <fill>
      <patternFill patternType="solid">
        <fgColor theme="4"/>
        <bgColor indexed="64"/>
      </patternFill>
    </fill>
    <fill>
      <patternFill patternType="solid">
        <fgColor indexed="15"/>
        <bgColor indexed="64"/>
      </patternFill>
    </fill>
    <fill>
      <patternFill patternType="solid">
        <fgColor indexed="31"/>
        <bgColor indexed="64"/>
      </patternFill>
    </fill>
    <fill>
      <patternFill patternType="solid">
        <fgColor indexed="45"/>
        <bgColor indexed="64"/>
      </patternFill>
    </fill>
    <fill>
      <patternFill patternType="solid">
        <fgColor indexed="40"/>
        <bgColor indexed="64"/>
      </patternFill>
    </fill>
    <fill>
      <patternFill patternType="solid">
        <fgColor indexed="55"/>
        <bgColor indexed="64"/>
      </patternFill>
    </fill>
    <fill>
      <patternFill patternType="solid">
        <fgColor indexed="25"/>
        <bgColor indexed="64"/>
      </patternFill>
    </fill>
    <fill>
      <patternFill patternType="solid">
        <fgColor indexed="10"/>
        <bgColor indexed="64"/>
      </patternFill>
    </fill>
    <fill>
      <patternFill patternType="solid">
        <fgColor theme="5"/>
        <bgColor indexed="64"/>
      </patternFill>
    </fill>
    <fill>
      <patternFill patternType="solid">
        <fgColor indexed="41"/>
        <bgColor indexed="64"/>
      </patternFill>
    </fill>
    <fill>
      <patternFill patternType="solid">
        <fgColor indexed="60"/>
        <bgColor indexed="64"/>
      </patternFill>
    </fill>
    <fill>
      <patternFill patternType="solid">
        <fgColor indexed="11"/>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23"/>
        <bgColor indexed="64"/>
      </patternFill>
    </fill>
    <fill>
      <patternFill patternType="solid">
        <fgColor indexed="18"/>
        <bgColor indexed="64"/>
      </patternFill>
    </fill>
    <fill>
      <patternFill patternType="solid">
        <fgColor theme="7"/>
        <bgColor indexed="64"/>
      </patternFill>
    </fill>
    <fill>
      <patternFill patternType="solid">
        <fgColor indexed="49"/>
        <bgColor indexed="64"/>
      </patternFill>
    </fill>
    <fill>
      <patternFill patternType="solid">
        <fgColor theme="8"/>
        <bgColor indexed="64"/>
      </patternFill>
    </fill>
    <fill>
      <patternFill patternType="solid">
        <fgColor indexed="26"/>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indexed="35"/>
        <bgColor indexed="64"/>
      </patternFill>
    </fill>
    <fill>
      <patternFill patternType="solid">
        <fgColor indexed="9"/>
        <bgColor indexed="64"/>
      </patternFill>
    </fill>
    <fill>
      <patternFill patternType="solid">
        <fgColor indexed="55"/>
        <bgColor indexed="64"/>
      </patternFill>
    </fill>
    <fill>
      <patternFill patternType="solid">
        <fgColor rgb="FFA5A5A5"/>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rgb="FFC6EFCE"/>
        <bgColor indexed="64"/>
      </patternFill>
    </fill>
    <fill>
      <patternFill patternType="solid">
        <fgColor indexed="42"/>
        <bgColor indexed="64"/>
      </patternFill>
    </fill>
    <fill>
      <patternFill patternType="solid">
        <fgColor rgb="FFFFCC99"/>
        <bgColor indexed="64"/>
      </patternFill>
    </fill>
    <fill>
      <patternFill patternType="solid">
        <fgColor indexed="13"/>
        <bgColor indexed="64"/>
      </patternFill>
    </fill>
    <fill>
      <patternFill patternType="solid">
        <fgColor indexed="14"/>
        <bgColor indexed="64"/>
      </patternFill>
    </fill>
    <fill>
      <patternFill patternType="solid">
        <fgColor indexed="43"/>
        <bgColor indexed="64"/>
      </patternFill>
    </fill>
    <fill>
      <patternFill patternType="solid">
        <fgColor rgb="FFFFEB9C"/>
        <bgColor indexed="64"/>
      </patternFill>
    </fill>
    <fill>
      <patternFill patternType="solid">
        <fgColor indexed="60"/>
        <bgColor indexed="64"/>
      </patternFill>
    </fill>
    <fill>
      <patternFill patternType="solid">
        <fgColor rgb="FFFFE979"/>
        <bgColor indexed="64"/>
      </patternFill>
    </fill>
    <fill>
      <patternFill patternType="solid">
        <fgColor rgb="FF7DDDFF"/>
        <bgColor indexed="64"/>
      </patternFill>
    </fill>
    <fill>
      <patternFill patternType="solid">
        <fgColor rgb="FFFFE97D"/>
        <bgColor indexed="64"/>
      </patternFill>
    </fill>
    <fill>
      <patternFill patternType="solid">
        <fgColor rgb="FFFFE979"/>
        <bgColor rgb="FF000000"/>
      </patternFill>
    </fill>
    <fill>
      <patternFill patternType="solid">
        <fgColor rgb="FFFFE97D"/>
        <bgColor rgb="FF000000"/>
      </patternFill>
    </fill>
  </fills>
  <borders count="54">
    <border>
      <left/>
      <right/>
      <top/>
      <bottom/>
      <diagonal/>
    </border>
    <border>
      <left style="thin">
        <color theme="3" tint="-0.24991607409894101"/>
      </left>
      <right style="thin">
        <color theme="3" tint="-0.24991607409894101"/>
      </right>
      <top style="thin">
        <color theme="3" tint="-0.24991607409894101"/>
      </top>
      <bottom style="thin">
        <color theme="3" tint="-0.24991607409894101"/>
      </bottom>
      <diagonal/>
    </border>
    <border>
      <left style="thin">
        <color theme="3" tint="0.59993285927915285"/>
      </left>
      <right style="thin">
        <color theme="3" tint="0.59993285927915285"/>
      </right>
      <top style="thin">
        <color theme="3" tint="0.59993285927915285"/>
      </top>
      <bottom style="thin">
        <color theme="3" tint="0.599932859279152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auto="1"/>
      </left>
      <right/>
      <top/>
      <bottom/>
      <diagonal/>
    </border>
    <border>
      <left style="double">
        <color auto="1"/>
      </left>
      <right/>
      <top/>
      <bottom style="hair">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style="double">
        <color rgb="FF3F3F3F"/>
      </left>
      <right style="double">
        <color rgb="FF3F3F3F"/>
      </right>
      <top style="double">
        <color rgb="FF3F3F3F"/>
      </top>
      <bottom style="double">
        <color rgb="FF3F3F3F"/>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48"/>
      </bottom>
      <diagonal/>
    </border>
    <border>
      <left/>
      <right/>
      <top/>
      <bottom style="thick">
        <color theme="4"/>
      </bottom>
      <diagonal/>
    </border>
    <border>
      <left/>
      <right/>
      <top/>
      <bottom style="thick">
        <color indexed="22"/>
      </bottom>
      <diagonal/>
    </border>
    <border>
      <left/>
      <right/>
      <top/>
      <bottom style="thick">
        <color indexed="58"/>
      </bottom>
      <diagonal/>
    </border>
    <border>
      <left/>
      <right/>
      <top/>
      <bottom style="thick">
        <color theme="4" tint="0.49995422223578601"/>
      </bottom>
      <diagonal/>
    </border>
    <border>
      <left/>
      <right/>
      <top/>
      <bottom style="medium">
        <color indexed="30"/>
      </bottom>
      <diagonal/>
    </border>
    <border>
      <left/>
      <right/>
      <top/>
      <bottom style="medium">
        <color indexed="58"/>
      </bottom>
      <diagonal/>
    </border>
    <border>
      <left/>
      <right/>
      <top/>
      <bottom style="medium">
        <color theme="4" tint="0.39997558519241921"/>
      </bottom>
      <diagonal/>
    </border>
    <border>
      <left/>
      <right/>
      <top/>
      <bottom style="medium">
        <color indexed="24"/>
      </bottom>
      <diagonal/>
    </border>
    <border>
      <left/>
      <right/>
      <top/>
      <bottom style="medium">
        <color auto="1"/>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17"/>
      </bottom>
      <diagonal/>
    </border>
    <border>
      <left/>
      <right/>
      <top/>
      <bottom style="double">
        <color rgb="FFFF8001"/>
      </bottom>
      <diagonal/>
    </border>
    <border>
      <left/>
      <right/>
      <top/>
      <bottom style="double">
        <color indexed="53"/>
      </bottom>
      <diagonal/>
    </border>
    <border>
      <left/>
      <right/>
      <top/>
      <bottom style="thin">
        <color auto="1"/>
      </bottom>
      <diagonal/>
    </border>
    <border>
      <left/>
      <right/>
      <top style="thin">
        <color auto="1"/>
      </top>
      <bottom/>
      <diagonal/>
    </border>
    <border>
      <left/>
      <right/>
      <top/>
      <bottom style="double">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s>
  <cellStyleXfs count="31689">
    <xf numFmtId="0" fontId="0" fillId="0" borderId="0"/>
    <xf numFmtId="9" fontId="103" fillId="0" borderId="0" applyFont="0" applyFill="0" applyBorder="0" applyAlignment="0" applyProtection="0"/>
    <xf numFmtId="44" fontId="103" fillId="0" borderId="0" applyFont="0" applyFill="0" applyBorder="0" applyAlignment="0" applyProtection="0"/>
    <xf numFmtId="42" fontId="1" fillId="0" borderId="0" applyFont="0" applyFill="0" applyBorder="0" applyAlignment="0" applyProtection="0"/>
    <xf numFmtId="43" fontId="103" fillId="0" borderId="0" applyFont="0" applyFill="0" applyBorder="0" applyAlignment="0" applyProtection="0"/>
    <xf numFmtId="41" fontId="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0" fontId="7" fillId="0" borderId="0" applyFont="0" applyFill="0" applyBorder="0" applyAlignment="0" applyProtection="0"/>
    <xf numFmtId="0" fontId="5" fillId="0" borderId="0"/>
    <xf numFmtId="0" fontId="7" fillId="0" borderId="0"/>
    <xf numFmtId="0" fontId="8" fillId="0" borderId="1" applyNumberFormat="0" applyFont="0" applyFill="0" applyAlignment="0" applyProtection="0"/>
    <xf numFmtId="0" fontId="9" fillId="0" borderId="2" applyNumberFormat="0" applyProtection="0">
      <alignment horizontal="right" vertical="center"/>
    </xf>
    <xf numFmtId="0" fontId="10" fillId="0" borderId="3" applyNumberFormat="0" applyProtection="0">
      <alignment horizontal="right" vertical="center"/>
    </xf>
    <xf numFmtId="0" fontId="10" fillId="2" borderId="1" applyNumberFormat="0" applyProtection="0"/>
    <xf numFmtId="0" fontId="11" fillId="3" borderId="3" applyNumberFormat="0" applyProtection="0"/>
    <xf numFmtId="0" fontId="11" fillId="3" borderId="3" applyNumberFormat="0" applyProtection="0"/>
    <xf numFmtId="0" fontId="12" fillId="0" borderId="4" applyNumberFormat="0" applyFill="0" applyBorder="0" applyAlignment="0" applyProtection="0"/>
    <xf numFmtId="0" fontId="12" fillId="3" borderId="3" applyNumberFormat="0" applyProtection="0"/>
    <xf numFmtId="0" fontId="12" fillId="3" borderId="3" applyNumberFormat="0" applyProtection="0"/>
    <xf numFmtId="0" fontId="13" fillId="4" borderId="2" applyNumberFormat="0" applyBorder="0" applyProtection="0">
      <alignment horizontal="right" vertical="center"/>
    </xf>
    <xf numFmtId="0" fontId="14" fillId="4" borderId="3" applyNumberFormat="0" applyBorder="0" applyProtection="0">
      <alignment horizontal="right" vertical="center"/>
    </xf>
    <xf numFmtId="0" fontId="12" fillId="5" borderId="3" applyNumberFormat="0" applyProtection="0"/>
    <xf numFmtId="0" fontId="14" fillId="5" borderId="3" applyNumberFormat="0" applyProtection="0">
      <alignment horizontal="right" vertical="center"/>
    </xf>
    <xf numFmtId="0" fontId="15" fillId="0" borderId="4" applyBorder="0" applyAlignment="0" applyProtection="0"/>
    <xf numFmtId="0" fontId="16" fillId="6" borderId="5" applyNumberFormat="0" applyBorder="0" applyProtection="0"/>
    <xf numFmtId="0" fontId="17" fillId="7" borderId="5" applyNumberFormat="0" applyBorder="0" applyProtection="0"/>
    <xf numFmtId="0" fontId="17" fillId="8" borderId="5" applyNumberFormat="0" applyBorder="0" applyProtection="0"/>
    <xf numFmtId="0" fontId="18" fillId="9" borderId="5" applyNumberFormat="0" applyBorder="0" applyProtection="0"/>
    <xf numFmtId="0" fontId="18" fillId="10" borderId="5" applyNumberFormat="0" applyBorder="0" applyProtection="0"/>
    <xf numFmtId="0" fontId="18" fillId="11" borderId="5" applyNumberFormat="0" applyBorder="0" applyProtection="0"/>
    <xf numFmtId="0" fontId="19" fillId="12" borderId="5" applyNumberFormat="0" applyBorder="0" applyProtection="0"/>
    <xf numFmtId="0" fontId="19" fillId="13" borderId="5" applyNumberFormat="0" applyBorder="0" applyProtection="0"/>
    <xf numFmtId="0" fontId="19" fillId="14" borderId="5" applyNumberFormat="0" applyBorder="0" applyProtection="0"/>
    <xf numFmtId="0" fontId="11" fillId="15" borderId="1" applyNumberFormat="0" applyProtection="0"/>
    <xf numFmtId="0" fontId="11" fillId="16" borderId="1" applyNumberFormat="0" applyProtection="0"/>
    <xf numFmtId="0" fontId="11" fillId="17" borderId="1" applyNumberFormat="0" applyProtection="0"/>
    <xf numFmtId="0" fontId="11" fillId="4" borderId="1" applyNumberFormat="0" applyProtection="0"/>
    <xf numFmtId="0" fontId="11" fillId="5" borderId="3" applyNumberFormat="0" applyProtection="0"/>
    <xf numFmtId="0" fontId="9" fillId="4" borderId="2" applyNumberFormat="0" applyBorder="0" applyProtection="0">
      <alignment horizontal="right" vertical="center"/>
    </xf>
    <xf numFmtId="0" fontId="10" fillId="4" borderId="3" applyNumberFormat="0" applyBorder="0" applyProtection="0">
      <alignment horizontal="right" vertical="center"/>
    </xf>
    <xf numFmtId="0" fontId="9" fillId="18" borderId="1" applyNumberFormat="0" applyProtection="0"/>
    <xf numFmtId="0" fontId="10" fillId="2" borderId="3" applyNumberFormat="0" applyProtection="0"/>
    <xf numFmtId="0" fontId="11" fillId="5" borderId="3" applyNumberFormat="0" applyProtection="0"/>
    <xf numFmtId="0" fontId="10" fillId="5" borderId="3" applyNumberFormat="0" applyProtection="0">
      <alignment horizontal="right" vertical="center"/>
    </xf>
    <xf numFmtId="0" fontId="5" fillId="0" borderId="0"/>
    <xf numFmtId="0" fontId="5"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4" fontId="5" fillId="0" borderId="0" applyFont="0" applyFill="0" applyBorder="0" applyAlignment="0" applyProtection="0"/>
    <xf numFmtId="0" fontId="103" fillId="0" borderId="0"/>
    <xf numFmtId="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9" fontId="103" fillId="0" borderId="0" applyFont="0" applyFill="0" applyBorder="0" applyAlignment="0" applyProtection="0"/>
    <xf numFmtId="9" fontId="103" fillId="0" borderId="0" applyFont="0" applyFill="0" applyBorder="0" applyAlignment="0" applyProtection="0"/>
    <xf numFmtId="9" fontId="5" fillId="0" borderId="0" applyFont="0" applyFill="0" applyBorder="0" applyAlignment="0" applyProtection="0"/>
    <xf numFmtId="0" fontId="37" fillId="0" borderId="0"/>
    <xf numFmtId="170" fontId="37" fillId="0" borderId="0"/>
    <xf numFmtId="171" fontId="37" fillId="0" borderId="0"/>
    <xf numFmtId="172" fontId="37" fillId="0" borderId="0"/>
    <xf numFmtId="170" fontId="37" fillId="0" borderId="0"/>
    <xf numFmtId="171" fontId="37" fillId="0" borderId="0"/>
    <xf numFmtId="171" fontId="37" fillId="0" borderId="0"/>
    <xf numFmtId="171" fontId="37" fillId="0" borderId="0"/>
    <xf numFmtId="0" fontId="37" fillId="0" borderId="0"/>
    <xf numFmtId="170" fontId="37" fillId="0" borderId="0"/>
    <xf numFmtId="171" fontId="37" fillId="0" borderId="0"/>
    <xf numFmtId="172" fontId="37" fillId="0" borderId="0"/>
    <xf numFmtId="170" fontId="37" fillId="0" borderId="0"/>
    <xf numFmtId="171" fontId="37" fillId="0" borderId="0"/>
    <xf numFmtId="171" fontId="37" fillId="0" borderId="0"/>
    <xf numFmtId="171" fontId="37" fillId="0" borderId="0"/>
    <xf numFmtId="0" fontId="38" fillId="0" borderId="0" applyNumberFormat="0" applyFill="0" applyBorder="0" applyProtection="0"/>
    <xf numFmtId="0" fontId="38" fillId="0" borderId="0" applyNumberFormat="0" applyFill="0" applyBorder="0" applyProtection="0"/>
    <xf numFmtId="0" fontId="39" fillId="0" borderId="0" applyNumberFormat="0" applyFill="0" applyBorder="0" applyProtection="0"/>
    <xf numFmtId="0" fontId="39" fillId="0" borderId="0" applyNumberFormat="0" applyFill="0" applyBorder="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0" fillId="0" borderId="0" applyNumberFormat="0" applyFill="0" applyBorder="0" applyProtection="0"/>
    <xf numFmtId="0" fontId="40" fillId="0" borderId="0" applyNumberFormat="0" applyFill="0" applyBorder="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3" fontId="5" fillId="0" borderId="0" applyFont="0" applyFill="0" applyBorder="0" applyAlignment="0" applyProtection="0"/>
    <xf numFmtId="170" fontId="41" fillId="0" borderId="6" applyBorder="0">
      <alignment horizontal="left"/>
    </xf>
    <xf numFmtId="171" fontId="41" fillId="0" borderId="6" applyBorder="0">
      <alignment horizontal="left"/>
    </xf>
    <xf numFmtId="0" fontId="42" fillId="0" borderId="0"/>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174" fontId="5" fillId="0" borderId="0">
      <alignment horizontal="left" wrapText="1"/>
    </xf>
    <xf numFmtId="0" fontId="43"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43" fillId="19"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43" fillId="2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43" fillId="22"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43" fillId="25"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3" fillId="27" borderId="0" applyNumberFormat="0" applyBorder="0" applyAlignment="0" applyProtection="0"/>
    <xf numFmtId="0" fontId="103" fillId="27" borderId="0" applyNumberFormat="0" applyBorder="0" applyAlignment="0" applyProtection="0"/>
    <xf numFmtId="0" fontId="43" fillId="2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43" fillId="28"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43" fillId="31"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43" fillId="31"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43" fillId="3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43" fillId="34"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43" fillId="3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43"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43" fillId="23"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43"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43" fillId="39"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43" fillId="2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43" fillId="28"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43" fillId="32"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3" fillId="32"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43" fillId="45"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43" fillId="45"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6" fillId="3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6" fillId="36" borderId="0" applyNumberFormat="0" applyBorder="0" applyAlignment="0" applyProtection="0"/>
    <xf numFmtId="0" fontId="45" fillId="47"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5" fillId="23"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5" fillId="3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42"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42" borderId="0" applyNumberFormat="0" applyBorder="0" applyAlignment="0" applyProtection="0"/>
    <xf numFmtId="0" fontId="45" fillId="5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5" fillId="51"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36"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36" borderId="0" applyNumberFormat="0" applyBorder="0" applyAlignment="0" applyProtection="0"/>
    <xf numFmtId="0" fontId="45" fillId="53"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5" fillId="5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6" fillId="34"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6" fillId="34" borderId="0" applyNumberFormat="0" applyBorder="0" applyAlignment="0" applyProtection="0"/>
    <xf numFmtId="0" fontId="45" fillId="55"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5"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5" fillId="61" borderId="0" applyNumberFormat="0" applyBorder="0" applyAlignment="0" applyProtection="0"/>
    <xf numFmtId="0" fontId="45" fillId="62"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7"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9"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5" fillId="70" borderId="0" applyNumberFormat="0" applyBorder="0" applyAlignment="0" applyProtection="0"/>
    <xf numFmtId="0" fontId="45" fillId="6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76"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5" fillId="60" borderId="0" applyNumberFormat="0" applyBorder="0" applyAlignment="0" applyProtection="0"/>
    <xf numFmtId="0" fontId="45" fillId="77"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77" borderId="0" applyNumberFormat="0" applyBorder="0" applyAlignment="0" applyProtection="0"/>
    <xf numFmtId="0" fontId="45" fillId="77" borderId="0" applyNumberFormat="0" applyBorder="0" applyAlignment="0" applyProtection="0"/>
    <xf numFmtId="0" fontId="45" fillId="77" borderId="0" applyNumberFormat="0" applyBorder="0" applyAlignment="0" applyProtection="0"/>
    <xf numFmtId="0" fontId="45" fillId="77"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35" fillId="7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8"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7"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7"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7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5" fillId="60" borderId="0" applyNumberFormat="0" applyBorder="0" applyAlignment="0" applyProtection="0"/>
    <xf numFmtId="0" fontId="45" fillId="6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74"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74"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3" fillId="59" borderId="0" applyNumberFormat="0" applyBorder="0" applyAlignment="0" applyProtection="0"/>
    <xf numFmtId="0" fontId="45" fillId="59" borderId="0" applyNumberFormat="0" applyBorder="0" applyAlignment="0" applyProtection="0"/>
    <xf numFmtId="0" fontId="45" fillId="62"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8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86"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86"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3" fillId="68" borderId="0" applyNumberFormat="0" applyBorder="0" applyAlignment="0" applyProtection="0"/>
    <xf numFmtId="0" fontId="45" fillId="86" borderId="0" applyNumberFormat="0" applyBorder="0" applyAlignment="0" applyProtection="0"/>
    <xf numFmtId="0" fontId="45" fillId="87"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7" borderId="0" applyNumberFormat="0" applyBorder="0" applyAlignment="0" applyProtection="0"/>
    <xf numFmtId="0" fontId="45" fillId="87" borderId="0" applyNumberFormat="0" applyBorder="0" applyAlignment="0" applyProtection="0"/>
    <xf numFmtId="0" fontId="45" fillId="87" borderId="0" applyNumberFormat="0" applyBorder="0" applyAlignment="0" applyProtection="0"/>
    <xf numFmtId="0" fontId="45" fillId="87"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6"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90"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8"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5" fillId="89" borderId="0" applyNumberFormat="0" applyBorder="0" applyAlignment="0" applyProtection="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0" fontId="47" fillId="0" borderId="0" applyNumberFormat="0" applyAlignment="0"/>
    <xf numFmtId="177" fontId="6" fillId="32" borderId="7">
      <alignment horizontal="center" vertical="center"/>
    </xf>
    <xf numFmtId="178" fontId="37" fillId="32" borderId="7">
      <alignment horizontal="center" vertical="center"/>
    </xf>
    <xf numFmtId="177" fontId="6" fillId="32" borderId="7">
      <alignment horizontal="center" vertical="center"/>
    </xf>
    <xf numFmtId="167" fontId="5" fillId="32" borderId="7">
      <alignment horizontal="center" vertical="center"/>
    </xf>
    <xf numFmtId="167" fontId="5" fillId="32" borderId="7">
      <alignment horizontal="center" vertical="center"/>
    </xf>
    <xf numFmtId="167" fontId="5" fillId="32" borderId="7">
      <alignment horizontal="center" vertical="center"/>
    </xf>
    <xf numFmtId="167" fontId="5" fillId="32" borderId="7">
      <alignment horizontal="center" vertical="center"/>
    </xf>
    <xf numFmtId="0" fontId="22" fillId="0" borderId="0">
      <alignment horizontal="center" wrapText="1"/>
      <protection locked="0"/>
    </xf>
    <xf numFmtId="0"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2"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172"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172"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170" fontId="22" fillId="0" borderId="0">
      <alignment horizontal="center" wrapText="1"/>
      <protection locked="0"/>
    </xf>
    <xf numFmtId="171" fontId="22" fillId="0" borderId="0">
      <alignment horizontal="center" wrapText="1"/>
      <protection locked="0"/>
    </xf>
    <xf numFmtId="175" fontId="22" fillId="0" borderId="0">
      <alignment horizontal="center" wrapText="1"/>
      <protection locked="0"/>
    </xf>
    <xf numFmtId="171" fontId="22" fillId="0" borderId="0">
      <alignment horizontal="center" wrapText="1"/>
      <protection locked="0"/>
    </xf>
    <xf numFmtId="171" fontId="22" fillId="0" borderId="0">
      <alignment horizontal="center" wrapText="1"/>
      <protection locked="0"/>
    </xf>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85"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28" fillId="9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49" fillId="85"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49" fillId="85" borderId="0" applyNumberFormat="0" applyBorder="0" applyAlignment="0" applyProtection="0"/>
    <xf numFmtId="0" fontId="49" fillId="85" borderId="0" applyNumberFormat="0" applyBorder="0" applyAlignment="0" applyProtection="0"/>
    <xf numFmtId="0" fontId="49" fillId="85"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48" fillId="2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68" fontId="52" fillId="0" borderId="8" applyFont="0"/>
    <xf numFmtId="1" fontId="52" fillId="0" borderId="8"/>
    <xf numFmtId="0" fontId="53" fillId="0" borderId="6" applyNumberFormat="0" applyBorder="0">
      <alignment horizontal="right"/>
    </xf>
    <xf numFmtId="167" fontId="5" fillId="0" borderId="0" applyFill="0" applyBorder="0" applyAlignment="0"/>
    <xf numFmtId="167" fontId="5" fillId="0" borderId="0" applyFill="0" applyBorder="0" applyAlignment="0"/>
    <xf numFmtId="167" fontId="5" fillId="0" borderId="0" applyFill="0" applyBorder="0" applyAlignment="0"/>
    <xf numFmtId="167" fontId="5" fillId="0" borderId="0" applyFill="0" applyBorder="0" applyAlignment="0"/>
    <xf numFmtId="0" fontId="31" fillId="93" borderId="9"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5" fillId="94" borderId="11" applyNumberFormat="0" applyAlignment="0" applyProtection="0"/>
    <xf numFmtId="0" fontId="55" fillId="94" borderId="11" applyNumberFormat="0" applyAlignment="0" applyProtection="0"/>
    <xf numFmtId="0" fontId="54" fillId="42" borderId="10" applyNumberFormat="0" applyAlignment="0" applyProtection="0"/>
    <xf numFmtId="0" fontId="55" fillId="94" borderId="11"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5" fillId="94" borderId="11"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5" fillId="94" borderId="11"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6" fillId="95"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4" fillId="42"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54" fillId="42" borderId="10"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31" fillId="93" borderId="9"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4" fillId="42"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56" fillId="95" borderId="10" applyNumberFormat="0" applyAlignment="0" applyProtection="0"/>
    <xf numFmtId="0" fontId="31" fillId="93" borderId="9" applyNumberFormat="0" applyAlignment="0" applyProtection="0"/>
    <xf numFmtId="0" fontId="31" fillId="93" borderId="9" applyNumberFormat="0" applyAlignment="0" applyProtection="0"/>
    <xf numFmtId="0" fontId="55" fillId="94" borderId="11" applyNumberFormat="0" applyAlignment="0" applyProtection="0"/>
    <xf numFmtId="0" fontId="55" fillId="94" borderId="11" applyNumberFormat="0" applyAlignment="0" applyProtection="0"/>
    <xf numFmtId="0" fontId="31" fillId="93" borderId="9" applyNumberFormat="0" applyAlignment="0" applyProtection="0"/>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xf>
    <xf numFmtId="0" fontId="57" fillId="0" borderId="0" applyNumberFormat="0" applyFont="0" applyFill="0" applyBorder="0" applyProtection="0">
      <alignment horizontal="centerContinuous" wrapText="1"/>
    </xf>
    <xf numFmtId="179" fontId="5" fillId="0" borderId="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81" borderId="12"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81"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81" borderId="12" applyNumberFormat="0" applyAlignment="0" applyProtection="0"/>
    <xf numFmtId="0" fontId="58" fillId="81" borderId="12" applyNumberFormat="0" applyAlignment="0" applyProtection="0"/>
    <xf numFmtId="0" fontId="58" fillId="81"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70"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70" borderId="12" applyNumberFormat="0" applyAlignment="0" applyProtection="0"/>
    <xf numFmtId="0" fontId="58" fillId="96" borderId="12" applyNumberFormat="0" applyAlignment="0" applyProtection="0"/>
    <xf numFmtId="0" fontId="58" fillId="70" borderId="12" applyNumberFormat="0" applyAlignment="0" applyProtection="0"/>
    <xf numFmtId="0" fontId="58" fillId="70" borderId="12"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58" fillId="96" borderId="12"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96"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58" fillId="70" borderId="12"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0" fontId="33" fillId="97" borderId="13" applyNumberFormat="0" applyAlignment="0" applyProtection="0"/>
    <xf numFmtId="41" fontId="5" fillId="0" borderId="0" applyFont="0" applyFill="0" applyBorder="0" applyAlignment="0" applyProtection="0"/>
    <xf numFmtId="41" fontId="5" fillId="0" borderId="0" applyFont="0" applyFill="0" applyBorder="0" applyAlignment="0" applyProtection="0"/>
    <xf numFmtId="41"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4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03" fillId="0" borderId="0" applyFont="0" applyFill="0" applyBorder="0" applyAlignment="0" applyProtection="0"/>
    <xf numFmtId="4"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0" fontId="59" fillId="0" borderId="0" applyNumberFormat="0"/>
    <xf numFmtId="181" fontId="52" fillId="0" borderId="8"/>
    <xf numFmtId="44" fontId="103" fillId="0" borderId="0" applyFont="0" applyFill="0" applyBorder="0" applyAlignment="0" applyProtection="0"/>
    <xf numFmtId="44" fontId="103" fillId="0" borderId="0" applyFont="0" applyFill="0" applyBorder="0" applyAlignment="0" applyProtection="0"/>
    <xf numFmtId="44" fontId="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183" fontId="60" fillId="0" borderId="0" applyFont="0" applyFill="0" applyBorder="0" applyAlignment="0" applyProtection="0"/>
    <xf numFmtId="6" fontId="61" fillId="0" borderId="0">
      <protection locked="0"/>
    </xf>
    <xf numFmtId="14" fontId="5" fillId="0" borderId="0" applyFont="0" applyFill="0" applyBorder="0" applyAlignment="0" applyProtection="0"/>
    <xf numFmtId="14" fontId="5" fillId="0" borderId="0" applyFont="0" applyFill="0" applyBorder="0" applyAlignment="0" applyProtection="0"/>
    <xf numFmtId="6" fontId="61" fillId="0" borderId="0">
      <protection locked="0"/>
    </xf>
    <xf numFmtId="4" fontId="62" fillId="0" borderId="0" applyFont="0" applyFill="0" applyBorder="0" applyAlignment="0" applyProtection="0"/>
    <xf numFmtId="0" fontId="63" fillId="98" borderId="0" applyNumberFormat="0" applyBorder="0" applyAlignment="0" applyProtection="0"/>
    <xf numFmtId="0" fontId="63" fillId="99"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9" borderId="0" applyNumberFormat="0" applyBorder="0" applyAlignment="0" applyProtection="0"/>
    <xf numFmtId="0" fontId="63" fillId="99" borderId="0" applyNumberFormat="0" applyBorder="0" applyAlignment="0" applyProtection="0"/>
    <xf numFmtId="0" fontId="63" fillId="99" borderId="0" applyNumberFormat="0" applyBorder="0" applyAlignment="0" applyProtection="0"/>
    <xf numFmtId="0" fontId="63" fillId="99"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98" borderId="0" applyNumberFormat="0" applyBorder="0" applyAlignment="0" applyProtection="0"/>
    <xf numFmtId="0" fontId="63" fillId="100" borderId="0" applyNumberFormat="0" applyBorder="0" applyAlignment="0" applyProtection="0"/>
    <xf numFmtId="0" fontId="63" fillId="101"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1" borderId="0" applyNumberFormat="0" applyBorder="0" applyAlignment="0" applyProtection="0"/>
    <xf numFmtId="0" fontId="63" fillId="101" borderId="0" applyNumberFormat="0" applyBorder="0" applyAlignment="0" applyProtection="0"/>
    <xf numFmtId="0" fontId="63" fillId="101" borderId="0" applyNumberFormat="0" applyBorder="0" applyAlignment="0" applyProtection="0"/>
    <xf numFmtId="0" fontId="63" fillId="101"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0"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3" fillId="102" borderId="0" applyNumberFormat="0" applyBorder="0" applyAlignment="0" applyProtection="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0" fontId="64" fillId="0" borderId="0" applyNumberFormat="0"/>
    <xf numFmtId="172"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5"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84" fontId="5" fillId="0" borderId="0">
      <protection locked="0"/>
    </xf>
    <xf numFmtId="184" fontId="5" fillId="0" borderId="0">
      <protection locked="0"/>
    </xf>
    <xf numFmtId="184" fontId="5" fillId="0" borderId="0">
      <protection locked="0"/>
    </xf>
    <xf numFmtId="184" fontId="5" fillId="0" borderId="0">
      <protection locked="0"/>
    </xf>
    <xf numFmtId="184" fontId="5" fillId="0" borderId="0">
      <protection locked="0"/>
    </xf>
    <xf numFmtId="184" fontId="5" fillId="0" borderId="0">
      <protection locked="0"/>
    </xf>
    <xf numFmtId="184" fontId="5" fillId="0" borderId="0">
      <protection locked="0"/>
    </xf>
    <xf numFmtId="0" fontId="62" fillId="0" borderId="0" applyFon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9" fontId="36" fillId="0" borderId="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43" fillId="76"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27" fillId="103"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43" fillId="76"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104"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104" borderId="0" applyNumberFormat="0" applyBorder="0" applyAlignment="0" applyProtection="0"/>
    <xf numFmtId="0" fontId="67" fillId="25"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67" fillId="25"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67" fillId="104"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4" applyNumberFormat="0" applyProtection="0"/>
    <xf numFmtId="0" fontId="69" fillId="0" borderId="15">
      <alignment horizontal="left" vertical="center"/>
    </xf>
    <xf numFmtId="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2" fontId="69" fillId="0" borderId="15">
      <alignment horizontal="left" vertical="center"/>
    </xf>
    <xf numFmtId="172"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0" fontId="69" fillId="0" borderId="15">
      <alignment horizontal="left" vertical="center"/>
    </xf>
    <xf numFmtId="17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175" fontId="69" fillId="0" borderId="15">
      <alignment horizontal="left" vertical="center"/>
    </xf>
    <xf numFmtId="175" fontId="69" fillId="0" borderId="15">
      <alignment horizontal="left" vertical="center"/>
    </xf>
    <xf numFmtId="175" fontId="69" fillId="0" borderId="15">
      <alignment horizontal="left" vertical="center"/>
    </xf>
    <xf numFmtId="175"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0" fontId="69" fillId="0" borderId="15">
      <alignment horizontal="left" vertical="center"/>
    </xf>
    <xf numFmtId="0" fontId="69" fillId="0" borderId="15">
      <alignment horizontal="left" vertical="center"/>
    </xf>
    <xf numFmtId="171" fontId="69" fillId="0" borderId="15">
      <alignment horizontal="left" vertical="center"/>
    </xf>
    <xf numFmtId="171" fontId="69" fillId="0" borderId="15">
      <alignment horizontal="left" vertical="center"/>
    </xf>
    <xf numFmtId="171" fontId="69" fillId="0" borderId="15">
      <alignment horizontal="left" vertical="center"/>
    </xf>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70" fillId="0" borderId="16"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0" fillId="0" borderId="16"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3" fillId="0" borderId="20"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20"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20" applyNumberFormat="0" applyFill="0" applyAlignment="0" applyProtection="0"/>
    <xf numFmtId="0" fontId="73" fillId="0" borderId="20" applyNumberFormat="0" applyFill="0" applyAlignment="0" applyProtection="0"/>
    <xf numFmtId="0" fontId="73" fillId="0" borderId="20"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3"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3" fillId="0" borderId="19" applyNumberFormat="0" applyFill="0" applyAlignment="0" applyProtection="0"/>
    <xf numFmtId="0" fontId="72"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72" fillId="0" borderId="19"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25" fillId="0" borderId="21"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5" fillId="0" borderId="23"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3"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3" applyNumberFormat="0" applyFill="0" applyAlignment="0" applyProtection="0"/>
    <xf numFmtId="0" fontId="75" fillId="0" borderId="23" applyNumberFormat="0" applyFill="0" applyAlignment="0" applyProtection="0"/>
    <xf numFmtId="0" fontId="75" fillId="0" borderId="23"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5" fillId="0" borderId="25"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5" fillId="0" borderId="25" applyNumberFormat="0" applyFill="0" applyAlignment="0" applyProtection="0"/>
    <xf numFmtId="0" fontId="74" fillId="0" borderId="22"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74" fillId="0" borderId="22"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75" fillId="0" borderId="25"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26" fillId="0" borderId="24"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185" fontId="5" fillId="0" borderId="0">
      <protection locked="0"/>
    </xf>
    <xf numFmtId="0" fontId="76" fillId="0" borderId="26">
      <alignment horizontal="center"/>
    </xf>
    <xf numFmtId="0" fontId="76" fillId="0" borderId="26">
      <alignment horizontal="center"/>
    </xf>
    <xf numFmtId="170" fontId="76" fillId="0" borderId="26">
      <alignment horizontal="center"/>
    </xf>
    <xf numFmtId="171" fontId="76" fillId="0" borderId="26">
      <alignment horizontal="center"/>
    </xf>
    <xf numFmtId="172" fontId="76" fillId="0" borderId="26">
      <alignment horizontal="center"/>
    </xf>
    <xf numFmtId="170" fontId="76" fillId="0" borderId="26">
      <alignment horizontal="center"/>
    </xf>
    <xf numFmtId="171" fontId="76" fillId="0" borderId="26">
      <alignment horizontal="center"/>
    </xf>
    <xf numFmtId="171" fontId="76" fillId="0" borderId="26">
      <alignment horizontal="center"/>
    </xf>
    <xf numFmtId="171" fontId="76" fillId="0" borderId="26">
      <alignment horizontal="center"/>
    </xf>
    <xf numFmtId="172" fontId="76" fillId="0" borderId="26">
      <alignment horizontal="center"/>
    </xf>
    <xf numFmtId="170" fontId="76" fillId="0" borderId="26">
      <alignment horizontal="center"/>
    </xf>
    <xf numFmtId="171" fontId="76" fillId="0" borderId="26">
      <alignment horizontal="center"/>
    </xf>
    <xf numFmtId="171" fontId="76" fillId="0" borderId="26">
      <alignment horizontal="center"/>
    </xf>
    <xf numFmtId="172" fontId="76" fillId="0" borderId="26">
      <alignment horizontal="center"/>
    </xf>
    <xf numFmtId="170" fontId="76" fillId="0" borderId="26">
      <alignment horizontal="center"/>
    </xf>
    <xf numFmtId="171" fontId="76" fillId="0" borderId="26">
      <alignment horizontal="center"/>
    </xf>
    <xf numFmtId="171" fontId="76" fillId="0" borderId="26">
      <alignment horizontal="center"/>
    </xf>
    <xf numFmtId="170" fontId="76" fillId="0" borderId="26">
      <alignment horizontal="center"/>
    </xf>
    <xf numFmtId="171" fontId="76" fillId="0" borderId="26">
      <alignment horizontal="center"/>
    </xf>
    <xf numFmtId="175" fontId="76" fillId="0" borderId="26">
      <alignment horizontal="center"/>
    </xf>
    <xf numFmtId="171" fontId="76" fillId="0" borderId="26">
      <alignment horizontal="center"/>
    </xf>
    <xf numFmtId="171" fontId="76" fillId="0" borderId="26">
      <alignment horizontal="center"/>
    </xf>
    <xf numFmtId="0" fontId="76" fillId="0" borderId="0">
      <alignment horizontal="center"/>
    </xf>
    <xf numFmtId="0" fontId="76" fillId="0" borderId="0">
      <alignment horizontal="center"/>
    </xf>
    <xf numFmtId="170" fontId="76" fillId="0" borderId="0">
      <alignment horizontal="center"/>
    </xf>
    <xf numFmtId="171" fontId="76" fillId="0" borderId="0">
      <alignment horizontal="center"/>
    </xf>
    <xf numFmtId="172" fontId="76" fillId="0" borderId="0">
      <alignment horizontal="center"/>
    </xf>
    <xf numFmtId="170" fontId="76" fillId="0" borderId="0">
      <alignment horizontal="center"/>
    </xf>
    <xf numFmtId="171" fontId="76" fillId="0" borderId="0">
      <alignment horizontal="center"/>
    </xf>
    <xf numFmtId="171" fontId="76" fillId="0" borderId="0">
      <alignment horizontal="center"/>
    </xf>
    <xf numFmtId="171" fontId="76" fillId="0" borderId="0">
      <alignment horizontal="center"/>
    </xf>
    <xf numFmtId="172" fontId="76" fillId="0" borderId="0">
      <alignment horizontal="center"/>
    </xf>
    <xf numFmtId="170" fontId="76" fillId="0" borderId="0">
      <alignment horizontal="center"/>
    </xf>
    <xf numFmtId="171" fontId="76" fillId="0" borderId="0">
      <alignment horizontal="center"/>
    </xf>
    <xf numFmtId="171" fontId="76" fillId="0" borderId="0">
      <alignment horizontal="center"/>
    </xf>
    <xf numFmtId="172" fontId="76" fillId="0" borderId="0">
      <alignment horizontal="center"/>
    </xf>
    <xf numFmtId="170" fontId="76" fillId="0" borderId="0">
      <alignment horizontal="center"/>
    </xf>
    <xf numFmtId="171" fontId="76" fillId="0" borderId="0">
      <alignment horizontal="center"/>
    </xf>
    <xf numFmtId="171" fontId="76" fillId="0" borderId="0">
      <alignment horizontal="center"/>
    </xf>
    <xf numFmtId="170" fontId="76" fillId="0" borderId="0">
      <alignment horizontal="center"/>
    </xf>
    <xf numFmtId="171" fontId="76" fillId="0" borderId="0">
      <alignment horizontal="center"/>
    </xf>
    <xf numFmtId="175" fontId="76" fillId="0" borderId="0">
      <alignment horizontal="center"/>
    </xf>
    <xf numFmtId="171" fontId="76" fillId="0" borderId="0">
      <alignment horizontal="center"/>
    </xf>
    <xf numFmtId="171" fontId="76" fillId="0" borderId="0">
      <alignment horizontal="center"/>
    </xf>
    <xf numFmtId="0" fontId="62" fillId="0" borderId="0" applyProtection="0">
      <alignment horizontal="right"/>
    </xf>
    <xf numFmtId="0" fontId="62" fillId="0" borderId="0" applyProtection="0">
      <alignment horizontal="right"/>
    </xf>
    <xf numFmtId="170" fontId="62" fillId="0" borderId="0" applyProtection="0">
      <alignment horizontal="right"/>
    </xf>
    <xf numFmtId="171" fontId="62" fillId="0" borderId="0" applyProtection="0">
      <alignment horizontal="right"/>
    </xf>
    <xf numFmtId="172" fontId="62" fillId="0" borderId="0" applyProtection="0">
      <alignment horizontal="right"/>
    </xf>
    <xf numFmtId="170" fontId="62" fillId="0" borderId="0" applyProtection="0">
      <alignment horizontal="right"/>
    </xf>
    <xf numFmtId="171" fontId="62" fillId="0" borderId="0" applyProtection="0">
      <alignment horizontal="right"/>
    </xf>
    <xf numFmtId="171" fontId="62" fillId="0" borderId="0" applyProtection="0">
      <alignment horizontal="right"/>
    </xf>
    <xf numFmtId="171" fontId="62" fillId="0" borderId="0" applyProtection="0">
      <alignment horizontal="right"/>
    </xf>
    <xf numFmtId="172" fontId="62" fillId="0" borderId="0" applyProtection="0">
      <alignment horizontal="right"/>
    </xf>
    <xf numFmtId="170" fontId="62" fillId="0" borderId="0" applyProtection="0">
      <alignment horizontal="right"/>
    </xf>
    <xf numFmtId="171" fontId="62" fillId="0" borderId="0" applyProtection="0">
      <alignment horizontal="right"/>
    </xf>
    <xf numFmtId="171" fontId="62" fillId="0" borderId="0" applyProtection="0">
      <alignment horizontal="right"/>
    </xf>
    <xf numFmtId="170" fontId="62" fillId="0" borderId="0" applyProtection="0">
      <alignment horizontal="right"/>
    </xf>
    <xf numFmtId="171" fontId="62" fillId="0" borderId="0" applyProtection="0">
      <alignment horizontal="right"/>
    </xf>
    <xf numFmtId="175" fontId="62" fillId="0" borderId="0" applyProtection="0">
      <alignment horizontal="right"/>
    </xf>
    <xf numFmtId="171" fontId="62" fillId="0" borderId="0" applyProtection="0">
      <alignment horizontal="right"/>
    </xf>
    <xf numFmtId="171" fontId="62" fillId="0" borderId="0" applyProtection="0">
      <alignment horizontal="right"/>
    </xf>
    <xf numFmtId="186" fontId="5" fillId="0" borderId="0" applyFont="0" applyFill="0" applyBorder="0" applyAlignment="0" applyProtection="0"/>
    <xf numFmtId="186" fontId="5" fillId="0" borderId="0" applyFont="0" applyFill="0" applyBorder="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39" fontId="78" fillId="0" borderId="0">
      <protection locked="0"/>
    </xf>
    <xf numFmtId="169" fontId="78" fillId="0" borderId="0"/>
    <xf numFmtId="37" fontId="79" fillId="0" borderId="0"/>
    <xf numFmtId="37" fontId="79" fillId="0" borderId="0"/>
    <xf numFmtId="0" fontId="80" fillId="0" borderId="0" applyNumberFormat="0" applyFill="0" applyBorder="0">
      <protection locked="0"/>
    </xf>
    <xf numFmtId="170" fontId="81" fillId="0" borderId="0" applyFill="0" applyBorder="0" applyProtection="0"/>
    <xf numFmtId="171" fontId="81" fillId="0" borderId="0" applyFill="0" applyBorder="0" applyProtection="0"/>
    <xf numFmtId="0" fontId="47" fillId="26" borderId="8" applyNumberFormat="0" applyBorder="0" applyAlignment="0" applyProtection="0"/>
    <xf numFmtId="0" fontId="47" fillId="26" borderId="8" applyNumberFormat="0" applyBorder="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1" applyNumberFormat="0" applyAlignment="0" applyProtection="0"/>
    <xf numFmtId="0" fontId="82" fillId="86" borderId="11" applyNumberFormat="0" applyAlignment="0" applyProtection="0"/>
    <xf numFmtId="0" fontId="83" fillId="34" borderId="10" applyNumberFormat="0" applyAlignment="0" applyProtection="0"/>
    <xf numFmtId="0" fontId="82" fillId="86" borderId="11"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30" fillId="105" borderId="9"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30" fillId="105" borderId="9"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1"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2" fillId="86"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0" fontId="83" fillId="34" borderId="10" applyNumberFormat="0" applyAlignment="0" applyProtection="0"/>
    <xf numFmtId="187" fontId="84" fillId="0" borderId="0" applyFont="0" applyFill="0" applyBorder="0" applyProtection="0">
      <alignment horizontal="center"/>
    </xf>
    <xf numFmtId="0" fontId="36" fillId="106" borderId="0" applyNumberFormat="0" applyFont="0" applyBorder="0" applyProtection="0"/>
    <xf numFmtId="0" fontId="36" fillId="106" borderId="0" applyNumberFormat="0" applyFont="0" applyBorder="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67" fillId="0" borderId="29"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67" fillId="0" borderId="29"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67" fillId="0" borderId="29" applyNumberFormat="0" applyFill="0" applyAlignment="0" applyProtection="0"/>
    <xf numFmtId="0" fontId="67" fillId="0" borderId="29" applyNumberFormat="0" applyFill="0" applyAlignment="0" applyProtection="0"/>
    <xf numFmtId="0" fontId="67" fillId="0" borderId="29"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6" fillId="0" borderId="31"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6" fillId="0" borderId="31" applyNumberFormat="0" applyFill="0" applyAlignment="0" applyProtection="0"/>
    <xf numFmtId="0" fontId="85" fillId="0" borderId="28"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85" fillId="0" borderId="28"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170" fontId="87" fillId="107" borderId="0">
      <alignment horizontal="right"/>
    </xf>
    <xf numFmtId="171" fontId="87" fillId="107" borderId="0">
      <alignment horizontal="right"/>
    </xf>
    <xf numFmtId="17" fontId="88" fillId="0" borderId="0" applyFont="0" applyFill="0" applyBorder="0">
      <protection locked="0"/>
    </xf>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67" fillId="86"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29" fillId="109"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67"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29" fillId="109"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29" fillId="109" borderId="0" applyNumberFormat="0" applyBorder="0" applyAlignment="0" applyProtection="0"/>
    <xf numFmtId="0" fontId="89" fillId="108"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89" fillId="108"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108"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89" fillId="86"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0" fontId="29" fillId="109" borderId="0" applyNumberFormat="0" applyBorder="0" applyAlignment="0" applyProtection="0"/>
    <xf numFmtId="37" fontId="90" fillId="0" borderId="0"/>
    <xf numFmtId="188" fontId="91" fillId="0" borderId="0"/>
    <xf numFmtId="189" fontId="5" fillId="0" borderId="0"/>
    <xf numFmtId="189" fontId="5" fillId="0" borderId="0"/>
    <xf numFmtId="190" fontId="5" fillId="0" borderId="0"/>
    <xf numFmtId="190" fontId="5" fillId="0" borderId="0"/>
    <xf numFmtId="190" fontId="5" fillId="0" borderId="0"/>
    <xf numFmtId="190" fontId="5" fillId="0" borderId="0"/>
    <xf numFmtId="0" fontId="103"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0" fontId="5" fillId="0" borderId="0"/>
    <xf numFmtId="170" fontId="5" fillId="0" borderId="0"/>
    <xf numFmtId="171" fontId="5" fillId="0" borderId="0"/>
    <xf numFmtId="171" fontId="5" fillId="0" borderId="0"/>
    <xf numFmtId="175" fontId="103" fillId="0" borderId="0"/>
    <xf numFmtId="0" fontId="103" fillId="0" borderId="0"/>
    <xf numFmtId="171" fontId="103" fillId="0" borderId="0"/>
    <xf numFmtId="171" fontId="103" fillId="0" borderId="0"/>
    <xf numFmtId="171" fontId="103" fillId="0" borderId="0"/>
    <xf numFmtId="176" fontId="103"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171" fontId="103" fillId="0" borderId="0"/>
    <xf numFmtId="0" fontId="103" fillId="0" borderId="0"/>
    <xf numFmtId="172"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0" fontId="47" fillId="110" borderId="0"/>
    <xf numFmtId="170" fontId="47" fillId="110" borderId="0"/>
    <xf numFmtId="171" fontId="47" fillId="110" borderId="0"/>
    <xf numFmtId="171" fontId="47" fillId="110" borderId="0"/>
    <xf numFmtId="175" fontId="47" fillId="110" borderId="0"/>
    <xf numFmtId="171" fontId="47" fillId="110" borderId="0"/>
    <xf numFmtId="171" fontId="103" fillId="0" borderId="0"/>
    <xf numFmtId="0" fontId="103"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103"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0" fontId="47" fillId="110" borderId="0"/>
    <xf numFmtId="170" fontId="47" fillId="110" borderId="0"/>
    <xf numFmtId="171" fontId="47" fillId="110" borderId="0"/>
    <xf numFmtId="171" fontId="47" fillId="110" borderId="0"/>
    <xf numFmtId="175" fontId="103" fillId="0" borderId="0"/>
    <xf numFmtId="171" fontId="103" fillId="0" borderId="0"/>
    <xf numFmtId="171" fontId="103" fillId="0" borderId="0"/>
    <xf numFmtId="0" fontId="103" fillId="0" borderId="0"/>
    <xf numFmtId="0"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103"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170" fontId="103" fillId="0" borderId="0"/>
    <xf numFmtId="171" fontId="103" fillId="0" borderId="0"/>
    <xf numFmtId="172" fontId="103" fillId="0" borderId="0"/>
    <xf numFmtId="170" fontId="103" fillId="0" borderId="0"/>
    <xf numFmtId="171" fontId="103" fillId="0" borderId="0"/>
    <xf numFmtId="171" fontId="103" fillId="0" borderId="0"/>
    <xf numFmtId="0" fontId="47" fillId="110" borderId="0"/>
    <xf numFmtId="170" fontId="47" fillId="110" borderId="0"/>
    <xf numFmtId="171" fontId="47" fillId="110" borderId="0"/>
    <xf numFmtId="171" fontId="47" fillId="110" borderId="0"/>
    <xf numFmtId="175" fontId="47" fillId="110" borderId="0"/>
    <xf numFmtId="171" fontId="47" fillId="110" borderId="0"/>
    <xf numFmtId="171" fontId="103" fillId="0" borderId="0"/>
    <xf numFmtId="0" fontId="103"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171" fontId="5" fillId="0" borderId="0"/>
    <xf numFmtId="172" fontId="5" fillId="0" borderId="0"/>
    <xf numFmtId="170" fontId="5" fillId="0" borderId="0"/>
    <xf numFmtId="171" fontId="5" fillId="0" borderId="0"/>
    <xf numFmtId="172"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47" fillId="110" borderId="0"/>
    <xf numFmtId="170" fontId="47" fillId="110" borderId="0"/>
    <xf numFmtId="170" fontId="47" fillId="110" borderId="0"/>
    <xf numFmtId="171" fontId="47" fillId="110" borderId="0"/>
    <xf numFmtId="0" fontId="103" fillId="0" borderId="0"/>
    <xf numFmtId="170" fontId="103" fillId="0" borderId="0"/>
    <xf numFmtId="171" fontId="103" fillId="0" borderId="0"/>
    <xf numFmtId="171" fontId="103" fillId="0" borderId="0"/>
    <xf numFmtId="171" fontId="47" fillId="110" borderId="0"/>
    <xf numFmtId="0" fontId="47" fillId="110" borderId="0"/>
    <xf numFmtId="170" fontId="47" fillId="110" borderId="0"/>
    <xf numFmtId="171" fontId="47" fillId="110" borderId="0"/>
    <xf numFmtId="171" fontId="47" fillId="110" borderId="0"/>
    <xf numFmtId="0" fontId="103" fillId="0" borderId="0"/>
    <xf numFmtId="170" fontId="103" fillId="0" borderId="0"/>
    <xf numFmtId="171" fontId="103" fillId="0" borderId="0"/>
    <xf numFmtId="171" fontId="103" fillId="0" borderId="0"/>
    <xf numFmtId="171" fontId="47" fillId="110" borderId="0"/>
    <xf numFmtId="175" fontId="103" fillId="0" borderId="0"/>
    <xf numFmtId="171" fontId="103" fillId="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7"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47" fillId="110" borderId="0"/>
    <xf numFmtId="170" fontId="47" fillId="110" borderId="0"/>
    <xf numFmtId="170" fontId="47" fillId="110" borderId="0"/>
    <xf numFmtId="171" fontId="47" fillId="110" borderId="0"/>
    <xf numFmtId="0" fontId="103" fillId="0" borderId="0"/>
    <xf numFmtId="170" fontId="103" fillId="0" borderId="0"/>
    <xf numFmtId="171" fontId="103" fillId="0" borderId="0"/>
    <xf numFmtId="171" fontId="103" fillId="0" borderId="0"/>
    <xf numFmtId="171" fontId="47" fillId="110" borderId="0"/>
    <xf numFmtId="0" fontId="47" fillId="110" borderId="0"/>
    <xf numFmtId="170" fontId="47" fillId="110" borderId="0"/>
    <xf numFmtId="171" fontId="47" fillId="110" borderId="0"/>
    <xf numFmtId="171" fontId="47" fillId="110" borderId="0"/>
    <xf numFmtId="0" fontId="103" fillId="0" borderId="0"/>
    <xf numFmtId="170" fontId="103" fillId="0" borderId="0"/>
    <xf numFmtId="171" fontId="103" fillId="0" borderId="0"/>
    <xf numFmtId="171" fontId="103" fillId="0" borderId="0"/>
    <xf numFmtId="171" fontId="47" fillId="11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47" fillId="110" borderId="0"/>
    <xf numFmtId="171" fontId="47" fillId="110" borderId="0"/>
    <xf numFmtId="171" fontId="5" fillId="0" borderId="0"/>
    <xf numFmtId="176" fontId="47" fillId="110" borderId="0"/>
    <xf numFmtId="191" fontId="103" fillId="0" borderId="0"/>
    <xf numFmtId="0" fontId="103" fillId="0" borderId="0"/>
    <xf numFmtId="19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175" fontId="103" fillId="0" borderId="0"/>
    <xf numFmtId="171" fontId="103" fillId="0" borderId="0"/>
    <xf numFmtId="171" fontId="5" fillId="0" borderId="0"/>
    <xf numFmtId="0" fontId="5" fillId="0" borderId="0"/>
    <xf numFmtId="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5" fontId="5" fillId="0" borderId="0"/>
    <xf numFmtId="171" fontId="5" fillId="0" borderId="0"/>
    <xf numFmtId="171" fontId="5" fillId="0" borderId="0"/>
    <xf numFmtId="0" fontId="5" fillId="0" borderId="0"/>
    <xf numFmtId="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0"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17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1"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1"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0" fontId="103" fillId="0" borderId="0"/>
    <xf numFmtId="0" fontId="103" fillId="0" borderId="0"/>
    <xf numFmtId="0" fontId="103" fillId="0" borderId="0"/>
    <xf numFmtId="0" fontId="103" fillId="0" borderId="0"/>
    <xf numFmtId="0" fontId="103" fillId="0" borderId="0"/>
    <xf numFmtId="0" fontId="103" fillId="0" borderId="0"/>
    <xf numFmtId="171"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1"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0" fontId="103" fillId="0" borderId="0"/>
    <xf numFmtId="0" fontId="103" fillId="0" borderId="0"/>
    <xf numFmtId="0" fontId="103" fillId="0" borderId="0"/>
    <xf numFmtId="0" fontId="103" fillId="0" borderId="0"/>
    <xf numFmtId="0" fontId="103" fillId="0" borderId="0"/>
    <xf numFmtId="0" fontId="103" fillId="0" borderId="0"/>
    <xf numFmtId="171"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71"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 fillId="0" borderId="0"/>
    <xf numFmtId="170" fontId="5" fillId="0" borderId="0"/>
    <xf numFmtId="171" fontId="5" fillId="0" borderId="0"/>
    <xf numFmtId="171" fontId="5" fillId="0" borderId="0"/>
    <xf numFmtId="175" fontId="103" fillId="0" borderId="0"/>
    <xf numFmtId="0" fontId="5" fillId="0" borderId="0"/>
    <xf numFmtId="171" fontId="5" fillId="0" borderId="0"/>
    <xf numFmtId="171" fontId="103" fillId="0" borderId="0"/>
    <xf numFmtId="0" fontId="5" fillId="0" borderId="0"/>
    <xf numFmtId="171" fontId="5" fillId="0" borderId="0"/>
    <xf numFmtId="0"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1" fontId="5" fillId="0" borderId="0"/>
    <xf numFmtId="176" fontId="5" fillId="0" borderId="0"/>
    <xf numFmtId="191" fontId="103" fillId="0" borderId="0"/>
    <xf numFmtId="0" fontId="5" fillId="0" borderId="0"/>
    <xf numFmtId="0" fontId="5"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0" fontId="103" fillId="0" borderId="0"/>
    <xf numFmtId="170" fontId="92" fillId="0" borderId="0"/>
    <xf numFmtId="170" fontId="92" fillId="0" borderId="0"/>
    <xf numFmtId="171" fontId="92"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92" fillId="0" borderId="0"/>
    <xf numFmtId="172" fontId="92" fillId="0" borderId="0"/>
    <xf numFmtId="170" fontId="92" fillId="0" borderId="0"/>
    <xf numFmtId="170" fontId="92" fillId="0" borderId="0"/>
    <xf numFmtId="171" fontId="92" fillId="0" borderId="0"/>
    <xf numFmtId="0" fontId="103" fillId="0" borderId="0"/>
    <xf numFmtId="170" fontId="103" fillId="0" borderId="0"/>
    <xf numFmtId="171" fontId="103" fillId="0" borderId="0"/>
    <xf numFmtId="171" fontId="103" fillId="0" borderId="0"/>
    <xf numFmtId="171" fontId="92" fillId="0" borderId="0"/>
    <xf numFmtId="172" fontId="92" fillId="0" borderId="0"/>
    <xf numFmtId="170" fontId="92" fillId="0" borderId="0"/>
    <xf numFmtId="171" fontId="92" fillId="0" borderId="0"/>
    <xf numFmtId="171" fontId="92"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92" fillId="0" borderId="0"/>
    <xf numFmtId="0" fontId="92" fillId="0" borderId="0"/>
    <xf numFmtId="170" fontId="92" fillId="0" borderId="0"/>
    <xf numFmtId="171" fontId="92" fillId="0" borderId="0"/>
    <xf numFmtId="171" fontId="92" fillId="0" borderId="0"/>
    <xf numFmtId="171" fontId="92" fillId="0" borderId="0"/>
    <xf numFmtId="0" fontId="92" fillId="0" borderId="0"/>
    <xf numFmtId="0" fontId="5"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1" fillId="0" borderId="0"/>
    <xf numFmtId="170" fontId="1" fillId="0" borderId="0"/>
    <xf numFmtId="170" fontId="1" fillId="0" borderId="0"/>
    <xf numFmtId="171" fontId="1" fillId="0" borderId="0"/>
    <xf numFmtId="0" fontId="103" fillId="0" borderId="0"/>
    <xf numFmtId="170" fontId="103" fillId="0" borderId="0"/>
    <xf numFmtId="171" fontId="103" fillId="0" borderId="0"/>
    <xf numFmtId="171" fontId="103" fillId="0" borderId="0"/>
    <xf numFmtId="171" fontId="1" fillId="0" borderId="0"/>
    <xf numFmtId="0" fontId="1" fillId="0" borderId="0"/>
    <xf numFmtId="170" fontId="1" fillId="0" borderId="0"/>
    <xf numFmtId="171" fontId="1" fillId="0" borderId="0"/>
    <xf numFmtId="171" fontId="1" fillId="0" borderId="0"/>
    <xf numFmtId="0" fontId="103" fillId="0" borderId="0"/>
    <xf numFmtId="170" fontId="103" fillId="0" borderId="0"/>
    <xf numFmtId="171" fontId="103" fillId="0" borderId="0"/>
    <xf numFmtId="171" fontId="103" fillId="0" borderId="0"/>
    <xf numFmtId="171" fontId="1" fillId="0" borderId="0"/>
    <xf numFmtId="0" fontId="5" fillId="0" borderId="0"/>
    <xf numFmtId="170" fontId="5" fillId="0" borderId="0"/>
    <xf numFmtId="171" fontId="5" fillId="0" borderId="0"/>
    <xf numFmtId="171" fontId="5" fillId="0" borderId="0"/>
    <xf numFmtId="175" fontId="5"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1" fontId="103"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5" fontId="103" fillId="0" borderId="0"/>
    <xf numFmtId="171" fontId="103" fillId="0" borderId="0"/>
    <xf numFmtId="171" fontId="5" fillId="0" borderId="0"/>
    <xf numFmtId="191" fontId="103"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5" fontId="5" fillId="0" borderId="0"/>
    <xf numFmtId="171" fontId="5"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2"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103" fillId="0" borderId="0"/>
    <xf numFmtId="170" fontId="103" fillId="0" borderId="0"/>
    <xf numFmtId="171" fontId="103"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103"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0"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0" fontId="5" fillId="0" borderId="0"/>
    <xf numFmtId="171" fontId="5" fillId="0" borderId="0"/>
    <xf numFmtId="0" fontId="103" fillId="0" borderId="0"/>
    <xf numFmtId="170" fontId="103" fillId="0" borderId="0"/>
    <xf numFmtId="171" fontId="103" fillId="0" borderId="0"/>
    <xf numFmtId="171" fontId="103" fillId="0" borderId="0"/>
    <xf numFmtId="171" fontId="5" fillId="0" borderId="0"/>
    <xf numFmtId="172"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171" fontId="5" fillId="0" borderId="0"/>
    <xf numFmtId="0" fontId="5" fillId="0" borderId="0"/>
    <xf numFmtId="170" fontId="5" fillId="0" borderId="0"/>
    <xf numFmtId="171" fontId="5" fillId="0" borderId="0"/>
    <xf numFmtId="171" fontId="5" fillId="0" borderId="0"/>
    <xf numFmtId="0" fontId="103" fillId="0" borderId="0"/>
    <xf numFmtId="170" fontId="103" fillId="0" borderId="0"/>
    <xf numFmtId="171" fontId="103" fillId="0" borderId="0"/>
    <xf numFmtId="171" fontId="103" fillId="0" borderId="0"/>
    <xf numFmtId="0" fontId="103" fillId="0" borderId="0"/>
    <xf numFmtId="170" fontId="103" fillId="0" borderId="0"/>
    <xf numFmtId="171" fontId="103" fillId="0" borderId="0"/>
    <xf numFmtId="171" fontId="103" fillId="0" borderId="0"/>
    <xf numFmtId="0" fontId="5" fillId="0" borderId="0"/>
    <xf numFmtId="170" fontId="5" fillId="0" borderId="0"/>
    <xf numFmtId="0" fontId="5" fillId="0" borderId="0"/>
    <xf numFmtId="9" fontId="5" fillId="0" borderId="0" applyFont="0" applyFill="0" applyBorder="0" applyAlignment="0" applyProtection="0"/>
    <xf numFmtId="9" fontId="21" fillId="0" borderId="0" applyFont="0" applyFill="0" applyBorder="0" applyAlignment="0" applyProtection="0"/>
    <xf numFmtId="44" fontId="5" fillId="0" borderId="0" applyFont="0" applyFill="0" applyBorder="0" applyAlignment="0" applyProtection="0"/>
    <xf numFmtId="0" fontId="101" fillId="0" borderId="0" applyNumberFormat="0" applyFill="0" applyBorder="0" applyAlignment="0" applyProtection="0"/>
    <xf numFmtId="0" fontId="5" fillId="0" borderId="0"/>
    <xf numFmtId="0" fontId="47" fillId="0" borderId="0"/>
    <xf numFmtId="9" fontId="1" fillId="0" borderId="0" applyFont="0" applyFill="0" applyBorder="0" applyAlignment="0" applyProtection="0"/>
    <xf numFmtId="0" fontId="105" fillId="0" borderId="0"/>
    <xf numFmtId="9" fontId="105" fillId="0" borderId="0" applyFont="0" applyFill="0" applyBorder="0" applyAlignment="0" applyProtection="0"/>
    <xf numFmtId="43" fontId="103" fillId="0" borderId="0" applyFont="0" applyFill="0" applyBorder="0" applyAlignment="0" applyProtection="0"/>
    <xf numFmtId="0" fontId="1" fillId="0" borderId="0"/>
  </cellStyleXfs>
  <cellXfs count="1004">
    <xf numFmtId="0" fontId="0" fillId="0" borderId="0" xfId="0"/>
    <xf numFmtId="0" fontId="3" fillId="0" borderId="0" xfId="0" applyFont="1"/>
    <xf numFmtId="0" fontId="2" fillId="0" borderId="0" xfId="0" applyFont="1"/>
    <xf numFmtId="0" fontId="4" fillId="0" borderId="0" xfId="0" applyFont="1" applyAlignment="1">
      <alignment horizontal="center"/>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horizontal="right"/>
    </xf>
    <xf numFmtId="0" fontId="2" fillId="0" borderId="0" xfId="0" applyFont="1" applyFill="1"/>
    <xf numFmtId="0" fontId="2" fillId="0" borderId="0" xfId="0" applyFont="1" applyFill="1" applyAlignment="1">
      <alignment horizontal="right"/>
    </xf>
    <xf numFmtId="0" fontId="4" fillId="0" borderId="0" xfId="0" applyFont="1"/>
    <xf numFmtId="0" fontId="4" fillId="0" borderId="0" xfId="0" applyFont="1" applyFill="1" applyAlignment="1">
      <alignment horizontal="center"/>
    </xf>
    <xf numFmtId="0" fontId="2" fillId="0" borderId="0" xfId="0" applyFont="1" applyFill="1" applyAlignment="1">
      <alignment horizontal="center"/>
    </xf>
    <xf numFmtId="0" fontId="0" fillId="0" borderId="0" xfId="0" applyFont="1"/>
    <xf numFmtId="0" fontId="20" fillId="0" borderId="0" xfId="0" applyFont="1" applyFill="1"/>
    <xf numFmtId="0" fontId="20" fillId="0" borderId="0" xfId="0" applyFont="1" applyFill="1" applyAlignment="1">
      <alignment horizontal="left" indent="1"/>
    </xf>
    <xf numFmtId="167" fontId="0" fillId="0" borderId="0" xfId="1" applyNumberFormat="1" applyFont="1"/>
    <xf numFmtId="164" fontId="0" fillId="0" borderId="0" xfId="0" applyNumberFormat="1" applyFont="1" applyFill="1"/>
    <xf numFmtId="166" fontId="0" fillId="0" borderId="0" xfId="4" applyNumberFormat="1" applyFont="1"/>
    <xf numFmtId="5" fontId="0" fillId="0" borderId="0" xfId="4" applyNumberFormat="1" applyFont="1"/>
    <xf numFmtId="5" fontId="0" fillId="0" borderId="32" xfId="4" applyNumberFormat="1" applyFont="1" applyBorder="1"/>
    <xf numFmtId="5" fontId="2" fillId="0" borderId="0" xfId="4" applyNumberFormat="1" applyFont="1"/>
    <xf numFmtId="6" fontId="2" fillId="0" borderId="0" xfId="0" applyNumberFormat="1" applyFont="1"/>
    <xf numFmtId="5" fontId="0" fillId="0" borderId="32" xfId="4" applyNumberFormat="1" applyFont="1" applyFill="1" applyBorder="1"/>
    <xf numFmtId="0" fontId="2" fillId="0" borderId="0" xfId="0" applyFont="1" applyFill="1" applyAlignment="1">
      <alignment horizontal="left"/>
    </xf>
    <xf numFmtId="0" fontId="0" fillId="0" borderId="0" xfId="0" applyFont="1" applyFill="1"/>
    <xf numFmtId="0" fontId="20" fillId="0" borderId="0" xfId="0" applyFont="1"/>
    <xf numFmtId="0" fontId="20" fillId="0" borderId="0" xfId="0" applyFont="1" applyAlignment="1">
      <alignment horizontal="center"/>
    </xf>
    <xf numFmtId="10" fontId="0" fillId="0" borderId="0" xfId="1" applyNumberFormat="1" applyFont="1"/>
    <xf numFmtId="10" fontId="0" fillId="0" borderId="0" xfId="1" applyNumberFormat="1" applyFont="1" applyFill="1"/>
    <xf numFmtId="0" fontId="0" fillId="0" borderId="0" xfId="0" applyFont="1" applyAlignment="1">
      <alignment horizontal="center"/>
    </xf>
    <xf numFmtId="10" fontId="0" fillId="0" borderId="0" xfId="0" applyNumberFormat="1" applyFont="1" applyFill="1"/>
    <xf numFmtId="5" fontId="0" fillId="0" borderId="0" xfId="4" applyNumberFormat="1" applyFont="1" applyFill="1"/>
    <xf numFmtId="5" fontId="0" fillId="0" borderId="0" xfId="0" applyNumberFormat="1" applyFont="1"/>
    <xf numFmtId="10" fontId="0" fillId="0" borderId="0" xfId="0" applyNumberFormat="1" applyFont="1"/>
    <xf numFmtId="10" fontId="0" fillId="0" borderId="32" xfId="1" applyNumberFormat="1" applyFont="1" applyBorder="1"/>
    <xf numFmtId="0" fontId="0" fillId="0" borderId="0" xfId="0" applyFont="1" applyFill="1" applyAlignment="1">
      <alignment horizontal="left" indent="1"/>
    </xf>
    <xf numFmtId="164" fontId="0" fillId="0" borderId="0" xfId="0" applyNumberFormat="1" applyFont="1"/>
    <xf numFmtId="44" fontId="0" fillId="0" borderId="0" xfId="0" applyNumberFormat="1" applyFont="1"/>
    <xf numFmtId="0" fontId="0" fillId="0" borderId="0" xfId="0" applyFont="1" applyFill="1" applyAlignment="1">
      <alignment horizontal="center"/>
    </xf>
    <xf numFmtId="166" fontId="0" fillId="0" borderId="0" xfId="4" applyNumberFormat="1" applyFont="1" applyFill="1"/>
    <xf numFmtId="7" fontId="0" fillId="0" borderId="0" xfId="0" applyNumberFormat="1" applyFont="1"/>
    <xf numFmtId="10" fontId="0" fillId="0" borderId="32" xfId="0" applyNumberFormat="1" applyFont="1" applyBorder="1"/>
    <xf numFmtId="167" fontId="0" fillId="0" borderId="32" xfId="1" applyNumberFormat="1" applyFont="1" applyBorder="1"/>
    <xf numFmtId="44" fontId="0" fillId="0" borderId="0" xfId="2" applyFont="1"/>
    <xf numFmtId="0" fontId="0" fillId="0" borderId="0" xfId="0" applyFont="1" applyAlignment="1">
      <alignment horizontal="left"/>
    </xf>
    <xf numFmtId="0" fontId="0" fillId="0" borderId="0" xfId="0" applyFont="1"/>
    <xf numFmtId="0" fontId="0" fillId="0" borderId="0" xfId="0" applyFont="1" applyFill="1"/>
    <xf numFmtId="0" fontId="0" fillId="0" borderId="0" xfId="0" applyFont="1" applyAlignment="1">
      <alignment horizontal="center"/>
    </xf>
    <xf numFmtId="0" fontId="0" fillId="0" borderId="0" xfId="0" applyFont="1" applyFill="1" applyAlignment="1">
      <alignment horizontal="left"/>
    </xf>
    <xf numFmtId="5"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wrapText="1"/>
    </xf>
    <xf numFmtId="0" fontId="0" fillId="0" borderId="0" xfId="0" applyFont="1" applyFill="1" applyAlignment="1"/>
    <xf numFmtId="0" fontId="2" fillId="0" borderId="0" xfId="0" applyFont="1" applyFill="1" applyAlignment="1"/>
    <xf numFmtId="0" fontId="2" fillId="111" borderId="0" xfId="0" applyFont="1" applyFill="1"/>
    <xf numFmtId="0" fontId="2" fillId="111" borderId="0" xfId="0" applyFont="1" applyFill="1" applyAlignment="1">
      <alignment horizontal="left"/>
    </xf>
    <xf numFmtId="5" fontId="0" fillId="111" borderId="32" xfId="4" applyNumberFormat="1" applyFont="1" applyFill="1" applyBorder="1"/>
    <xf numFmtId="0" fontId="0" fillId="111" borderId="0" xfId="0" applyFont="1" applyFill="1"/>
    <xf numFmtId="10" fontId="0" fillId="111" borderId="0" xfId="1" applyNumberFormat="1" applyFont="1" applyFill="1"/>
    <xf numFmtId="5" fontId="0" fillId="111" borderId="0" xfId="4" applyNumberFormat="1" applyFont="1" applyFill="1"/>
    <xf numFmtId="0" fontId="2" fillId="112" borderId="0" xfId="0" applyFont="1" applyFill="1" applyAlignment="1">
      <alignment horizontal="left"/>
    </xf>
    <xf numFmtId="0" fontId="0" fillId="112" borderId="0" xfId="0" applyFont="1" applyFill="1" applyAlignment="1">
      <alignment horizontal="left"/>
    </xf>
    <xf numFmtId="0" fontId="0" fillId="112" borderId="0" xfId="0" applyFont="1" applyFill="1"/>
    <xf numFmtId="0" fontId="0" fillId="111" borderId="0" xfId="0" applyFont="1" applyFill="1"/>
    <xf numFmtId="0" fontId="0" fillId="111" borderId="0" xfId="0" applyFont="1" applyFill="1" applyAlignment="1">
      <alignment horizontal="center"/>
    </xf>
    <xf numFmtId="0" fontId="2" fillId="112" borderId="0" xfId="0" applyFont="1" applyFill="1"/>
    <xf numFmtId="164" fontId="0" fillId="112" borderId="0" xfId="0" applyNumberFormat="1" applyFont="1" applyFill="1"/>
    <xf numFmtId="0" fontId="4" fillId="0" borderId="0" xfId="0" applyFont="1" applyFill="1" applyAlignment="1"/>
    <xf numFmtId="10" fontId="0" fillId="111" borderId="0" xfId="1" applyNumberFormat="1" applyFont="1" applyFill="1" applyAlignment="1">
      <alignment horizontal="center"/>
    </xf>
    <xf numFmtId="0" fontId="2" fillId="0" borderId="0" xfId="0" applyFont="1" applyAlignment="1">
      <alignment horizontal="center"/>
    </xf>
    <xf numFmtId="0" fontId="93" fillId="0" borderId="0" xfId="0" applyFont="1"/>
    <xf numFmtId="0" fontId="94" fillId="0" borderId="0" xfId="0" applyFont="1" applyAlignment="1">
      <alignment horizontal="center"/>
    </xf>
    <xf numFmtId="0" fontId="95" fillId="0" borderId="0" xfId="0" applyFont="1" applyAlignment="1">
      <alignment horizontal="center"/>
    </xf>
    <xf numFmtId="5" fontId="2" fillId="0" borderId="0" xfId="4" applyNumberFormat="1" applyFont="1" applyFill="1"/>
    <xf numFmtId="0" fontId="20" fillId="0" borderId="0" xfId="47" applyFont="1"/>
    <xf numFmtId="0" fontId="20" fillId="0" borderId="0" xfId="47" applyFont="1" applyFill="1"/>
    <xf numFmtId="0" fontId="20" fillId="0" borderId="0" xfId="47" applyFont="1" applyFill="1" applyAlignment="1">
      <alignment horizontal="left" indent="1"/>
    </xf>
    <xf numFmtId="0" fontId="20" fillId="0" borderId="0" xfId="47" applyFont="1" applyAlignment="1">
      <alignment horizontal="left" indent="1"/>
    </xf>
    <xf numFmtId="0" fontId="97" fillId="0" borderId="0" xfId="47" applyFont="1"/>
    <xf numFmtId="0" fontId="20" fillId="111" borderId="0" xfId="47" applyFont="1" applyFill="1"/>
    <xf numFmtId="0" fontId="98" fillId="0" borderId="0" xfId="47" quotePrefix="1" applyFont="1" applyAlignment="1">
      <alignment horizontal="center"/>
    </xf>
    <xf numFmtId="0" fontId="20" fillId="0" borderId="0" xfId="47" applyFont="1" applyAlignment="1">
      <alignment horizontal="right"/>
    </xf>
    <xf numFmtId="0" fontId="98" fillId="0" borderId="0" xfId="47" applyFont="1" applyAlignment="1">
      <alignment horizontal="center"/>
    </xf>
    <xf numFmtId="0" fontId="98" fillId="0" borderId="0" xfId="47" applyFont="1" applyAlignment="1">
      <alignment horizontal="left"/>
    </xf>
    <xf numFmtId="2" fontId="20" fillId="0" borderId="0" xfId="0" applyNumberFormat="1" applyFont="1" applyFill="1"/>
    <xf numFmtId="2" fontId="97" fillId="0" borderId="0" xfId="0" applyNumberFormat="1" applyFont="1" applyFill="1"/>
    <xf numFmtId="2" fontId="20" fillId="0" borderId="0" xfId="0" applyNumberFormat="1" applyFont="1" applyFill="1" applyAlignment="1" applyProtection="1">
      <alignment horizontal="center"/>
    </xf>
    <xf numFmtId="2" fontId="20" fillId="0" borderId="0" xfId="0" applyNumberFormat="1" applyFont="1" applyFill="1" applyAlignment="1" applyProtection="1">
      <alignment horizontal="left"/>
    </xf>
    <xf numFmtId="2" fontId="20" fillId="0" borderId="0" xfId="0" applyNumberFormat="1" applyFont="1" applyFill="1" applyAlignment="1">
      <alignment horizontal="center"/>
    </xf>
    <xf numFmtId="193" fontId="20" fillId="0" borderId="0" xfId="0" applyNumberFormat="1" applyFont="1" applyFill="1"/>
    <xf numFmtId="2" fontId="20" fillId="0" borderId="0" xfId="0" applyNumberFormat="1" applyFont="1" applyFill="1" applyAlignment="1" applyProtection="1">
      <alignment horizontal="left" wrapText="1"/>
    </xf>
    <xf numFmtId="1" fontId="97" fillId="0" borderId="0" xfId="0" applyNumberFormat="1" applyFont="1" applyFill="1" applyAlignment="1">
      <alignment horizontal="center"/>
    </xf>
    <xf numFmtId="2" fontId="96" fillId="0" borderId="0" xfId="0" applyNumberFormat="1" applyFont="1" applyFill="1" applyAlignment="1" applyProtection="1">
      <alignment horizontal="left"/>
    </xf>
    <xf numFmtId="164" fontId="20" fillId="0" borderId="0" xfId="0" applyNumberFormat="1" applyFont="1" applyFill="1" applyAlignment="1" applyProtection="1">
      <alignment horizontal="right"/>
    </xf>
    <xf numFmtId="2" fontId="20" fillId="0" borderId="0" xfId="0" applyNumberFormat="1" applyFont="1" applyFill="1" applyBorder="1" applyAlignment="1" applyProtection="1">
      <alignment horizontal="center"/>
    </xf>
    <xf numFmtId="2" fontId="23" fillId="0" borderId="0" xfId="0" applyNumberFormat="1" applyFont="1" applyFill="1" applyBorder="1" applyAlignment="1" applyProtection="1">
      <alignment horizontal="center"/>
    </xf>
    <xf numFmtId="164" fontId="20" fillId="0" borderId="0" xfId="0" applyNumberFormat="1" applyFont="1" applyFill="1" applyBorder="1" applyAlignment="1" applyProtection="1">
      <alignment horizontal="right"/>
    </xf>
    <xf numFmtId="194" fontId="20" fillId="0" borderId="0" xfId="0" applyNumberFormat="1" applyFont="1" applyFill="1" applyAlignment="1" applyProtection="1">
      <alignment horizontal="right"/>
    </xf>
    <xf numFmtId="2" fontId="20" fillId="0" borderId="0" xfId="0" quotePrefix="1" applyNumberFormat="1" applyFont="1" applyFill="1" applyAlignment="1" applyProtection="1">
      <alignment horizontal="center"/>
    </xf>
    <xf numFmtId="165" fontId="20" fillId="0" borderId="0" xfId="2" applyNumberFormat="1" applyFont="1" applyFill="1" applyAlignment="1" applyProtection="1">
      <alignment horizontal="left"/>
    </xf>
    <xf numFmtId="165" fontId="20" fillId="0" borderId="0" xfId="2" applyNumberFormat="1" applyFont="1" applyFill="1"/>
    <xf numFmtId="164" fontId="20" fillId="0" borderId="0" xfId="0" applyNumberFormat="1" applyFont="1" applyFill="1" applyBorder="1" applyAlignment="1" applyProtection="1">
      <alignment horizontal="center"/>
    </xf>
    <xf numFmtId="2" fontId="97" fillId="0" borderId="0" xfId="0" applyNumberFormat="1" applyFont="1" applyFill="1" applyAlignment="1" applyProtection="1">
      <alignment horizontal="right"/>
    </xf>
    <xf numFmtId="0" fontId="96" fillId="0" borderId="0" xfId="0" applyFont="1"/>
    <xf numFmtId="0" fontId="20" fillId="0" borderId="0" xfId="0" applyFont="1"/>
    <xf numFmtId="193" fontId="20" fillId="0" borderId="0" xfId="0" applyNumberFormat="1" applyFont="1" applyFill="1" applyAlignment="1">
      <alignment horizontal="center"/>
    </xf>
    <xf numFmtId="0" fontId="97" fillId="111" borderId="0" xfId="0" applyFont="1" applyFill="1"/>
    <xf numFmtId="0" fontId="0" fillId="0" borderId="0" xfId="0" applyFont="1" applyBorder="1"/>
    <xf numFmtId="0" fontId="97" fillId="112" borderId="0" xfId="0" applyFont="1" applyFill="1"/>
    <xf numFmtId="0" fontId="98" fillId="0" borderId="0" xfId="0" applyFont="1" applyAlignment="1">
      <alignment horizontal="center"/>
    </xf>
    <xf numFmtId="0" fontId="0" fillId="0" borderId="0" xfId="0" applyFont="1" applyAlignment="1">
      <alignment horizontal="right"/>
    </xf>
    <xf numFmtId="42" fontId="0" fillId="0" borderId="0" xfId="0" applyNumberFormat="1" applyFont="1"/>
    <xf numFmtId="0" fontId="98" fillId="0" borderId="0" xfId="0" quotePrefix="1" applyFont="1" applyAlignment="1">
      <alignment horizontal="center"/>
    </xf>
    <xf numFmtId="0" fontId="97" fillId="0" borderId="0" xfId="0" quotePrefix="1" applyFont="1" applyFill="1" applyAlignment="1">
      <alignment horizontal="center"/>
    </xf>
    <xf numFmtId="0" fontId="97" fillId="0" borderId="0" xfId="0" quotePrefix="1" applyFont="1"/>
    <xf numFmtId="0" fontId="97" fillId="0" borderId="0" xfId="0" quotePrefix="1" applyFont="1" applyAlignment="1">
      <alignment horizontal="center"/>
    </xf>
    <xf numFmtId="0" fontId="23" fillId="0" borderId="0" xfId="0" applyFont="1"/>
    <xf numFmtId="0" fontId="97" fillId="0" borderId="8" xfId="0" applyFont="1" applyBorder="1" applyAlignment="1">
      <alignment horizontal="center" vertical="center" wrapText="1"/>
    </xf>
    <xf numFmtId="0" fontId="97" fillId="0" borderId="8" xfId="0" applyFont="1" applyFill="1" applyBorder="1" applyAlignment="1">
      <alignment horizontal="center" vertical="center" wrapText="1"/>
    </xf>
    <xf numFmtId="0" fontId="20" fillId="111" borderId="0" xfId="0" applyFont="1" applyFill="1" applyAlignment="1">
      <alignment horizontal="center"/>
    </xf>
    <xf numFmtId="195" fontId="20" fillId="111" borderId="0" xfId="1" applyNumberFormat="1" applyFont="1" applyFill="1" applyAlignment="1">
      <alignment horizontal="center"/>
    </xf>
    <xf numFmtId="166" fontId="0" fillId="111" borderId="0" xfId="4" applyNumberFormat="1" applyFont="1" applyFill="1"/>
    <xf numFmtId="0" fontId="97" fillId="0" borderId="0" xfId="0" applyFont="1" applyAlignment="1">
      <alignment horizontal="right"/>
    </xf>
    <xf numFmtId="10" fontId="0" fillId="0" borderId="0" xfId="1" applyNumberFormat="1" applyFont="1"/>
    <xf numFmtId="0" fontId="97" fillId="0" borderId="0" xfId="0" applyFont="1" applyFill="1" applyAlignment="1">
      <alignment horizontal="center"/>
    </xf>
    <xf numFmtId="0" fontId="99" fillId="0" borderId="0" xfId="0" applyFont="1" applyFill="1" applyAlignment="1">
      <alignment horizontal="left"/>
    </xf>
    <xf numFmtId="0" fontId="0" fillId="0" borderId="0" xfId="0" applyFont="1" applyBorder="1" applyAlignment="1">
      <alignment wrapText="1"/>
    </xf>
    <xf numFmtId="10" fontId="20" fillId="111" borderId="0" xfId="1" applyNumberFormat="1" applyFont="1" applyFill="1" applyAlignment="1">
      <alignment horizontal="left" indent="1"/>
    </xf>
    <xf numFmtId="14" fontId="0" fillId="111" borderId="0" xfId="0" applyNumberFormat="1" applyFont="1" applyFill="1"/>
    <xf numFmtId="164" fontId="0" fillId="111" borderId="0" xfId="0" applyNumberFormat="1" applyFont="1" applyFill="1"/>
    <xf numFmtId="164" fontId="23" fillId="111" borderId="0" xfId="0" applyNumberFormat="1" applyFont="1" applyFill="1"/>
    <xf numFmtId="0" fontId="20" fillId="111" borderId="0" xfId="0" applyFont="1" applyFill="1" applyAlignment="1">
      <alignment horizontal="left" indent="1"/>
    </xf>
    <xf numFmtId="0" fontId="20" fillId="111" borderId="0" xfId="0" quotePrefix="1" applyFont="1" applyFill="1" applyAlignment="1">
      <alignment horizontal="left"/>
    </xf>
    <xf numFmtId="0" fontId="20" fillId="111" borderId="0" xfId="0" quotePrefix="1" applyFont="1" applyFill="1" applyAlignment="1">
      <alignment horizontal="center"/>
    </xf>
    <xf numFmtId="0" fontId="20" fillId="0" borderId="0" xfId="0" quotePrefix="1" applyFont="1" applyFill="1" applyAlignment="1">
      <alignment horizontal="center"/>
    </xf>
    <xf numFmtId="0" fontId="2" fillId="0" borderId="0" xfId="0" applyFont="1" applyAlignment="1">
      <alignment vertical="center"/>
    </xf>
    <xf numFmtId="0" fontId="97" fillId="112" borderId="0" xfId="0" applyFont="1" applyFill="1"/>
    <xf numFmtId="0" fontId="20" fillId="112" borderId="0" xfId="0" applyFont="1" applyFill="1" applyAlignment="1">
      <alignment horizontal="center"/>
    </xf>
    <xf numFmtId="0" fontId="20" fillId="112" borderId="0" xfId="0" applyFont="1" applyFill="1"/>
    <xf numFmtId="0" fontId="20" fillId="0" borderId="0" xfId="0" quotePrefix="1" applyFont="1" applyAlignment="1">
      <alignment horizontal="center" wrapText="1"/>
    </xf>
    <xf numFmtId="0" fontId="97" fillId="0" borderId="0" xfId="0" applyFont="1" applyFill="1"/>
    <xf numFmtId="0" fontId="97" fillId="0" borderId="0" xfId="0" applyFont="1" applyAlignment="1">
      <alignment horizontal="center"/>
    </xf>
    <xf numFmtId="0" fontId="20" fillId="0" borderId="0" xfId="0" applyFont="1" applyFill="1" applyAlignment="1">
      <alignment horizontal="left"/>
    </xf>
    <xf numFmtId="0" fontId="20" fillId="0" borderId="0" xfId="0" applyFont="1" applyFill="1" applyAlignment="1"/>
    <xf numFmtId="0" fontId="20" fillId="0" borderId="0" xfId="0" applyFont="1" applyAlignment="1">
      <alignment horizontal="left" indent="1"/>
    </xf>
    <xf numFmtId="0" fontId="98" fillId="0" borderId="0" xfId="0" applyFont="1" applyFill="1" applyAlignment="1">
      <alignment horizontal="center"/>
    </xf>
    <xf numFmtId="0" fontId="98" fillId="0" borderId="0" xfId="0" quotePrefix="1" applyFont="1" applyFill="1" applyAlignment="1">
      <alignment horizontal="center"/>
    </xf>
    <xf numFmtId="0" fontId="20" fillId="0" borderId="0" xfId="6" quotePrefix="1" applyFont="1" applyAlignment="1">
      <alignment horizontal="center"/>
    </xf>
    <xf numFmtId="0" fontId="20" fillId="0" borderId="0" xfId="0" applyFont="1" applyFill="1" applyAlignment="1">
      <alignment horizontal="center"/>
    </xf>
    <xf numFmtId="0" fontId="0" fillId="0" borderId="0" xfId="0" applyFont="1" applyFill="1" applyAlignment="1">
      <alignment horizontal="center" wrapText="1"/>
    </xf>
    <xf numFmtId="0" fontId="2" fillId="0" borderId="0" xfId="0" applyFont="1" applyFill="1" applyAlignment="1">
      <alignment horizontal="center" wrapText="1"/>
    </xf>
    <xf numFmtId="0" fontId="4" fillId="0" borderId="0" xfId="0" applyFont="1" applyFill="1" applyAlignment="1">
      <alignment horizontal="center" wrapText="1"/>
    </xf>
    <xf numFmtId="164" fontId="20" fillId="0" borderId="0" xfId="0" applyNumberFormat="1" applyFont="1" applyFill="1" applyBorder="1"/>
    <xf numFmtId="0" fontId="20" fillId="0" borderId="0" xfId="47" applyFont="1" applyAlignment="1">
      <alignment horizontal="center"/>
    </xf>
    <xf numFmtId="164" fontId="20" fillId="0" borderId="0" xfId="47" applyNumberFormat="1" applyFont="1"/>
    <xf numFmtId="0" fontId="20" fillId="0" borderId="0" xfId="6" applyFont="1"/>
    <xf numFmtId="0" fontId="97" fillId="0" borderId="0" xfId="6" applyFont="1"/>
    <xf numFmtId="0" fontId="20" fillId="0" borderId="0" xfId="6" applyFont="1" applyFill="1"/>
    <xf numFmtId="0" fontId="97" fillId="112" borderId="0" xfId="6" applyFont="1" applyFill="1"/>
    <xf numFmtId="0" fontId="20" fillId="112" borderId="0" xfId="6" applyFont="1" applyFill="1"/>
    <xf numFmtId="0" fontId="98" fillId="0" borderId="0" xfId="6" applyFont="1" applyAlignment="1">
      <alignment horizontal="center"/>
    </xf>
    <xf numFmtId="0" fontId="98" fillId="0" borderId="0" xfId="6" applyFont="1" applyFill="1" applyAlignment="1">
      <alignment horizontal="center"/>
    </xf>
    <xf numFmtId="164" fontId="20" fillId="0" borderId="0" xfId="6" applyNumberFormat="1" applyFont="1"/>
    <xf numFmtId="0" fontId="0" fillId="0" borderId="0" xfId="0" applyFill="1"/>
    <xf numFmtId="166" fontId="20" fillId="0" borderId="0" xfId="8" applyNumberFormat="1" applyFont="1" applyFill="1" applyBorder="1" applyAlignment="1">
      <alignment horizontal="center" vertical="center" wrapText="1"/>
    </xf>
    <xf numFmtId="5" fontId="20" fillId="0" borderId="0" xfId="8" applyNumberFormat="1" applyFont="1"/>
    <xf numFmtId="0" fontId="97" fillId="0" borderId="0" xfId="6" applyFont="1" applyBorder="1" applyAlignment="1">
      <alignment horizontal="center"/>
    </xf>
    <xf numFmtId="0" fontId="98" fillId="0" borderId="0" xfId="0" applyFont="1" applyFill="1"/>
    <xf numFmtId="0" fontId="97" fillId="0" borderId="0" xfId="0" applyFont="1" applyFill="1"/>
    <xf numFmtId="5" fontId="20" fillId="0" borderId="0" xfId="0" quotePrefix="1" applyNumberFormat="1" applyFont="1" applyFill="1" applyAlignment="1">
      <alignment horizontal="center"/>
    </xf>
    <xf numFmtId="0" fontId="4" fillId="0" borderId="0" xfId="0" applyFont="1" applyFill="1"/>
    <xf numFmtId="0" fontId="0" fillId="0" borderId="0" xfId="0" applyFont="1" applyFill="1" applyAlignment="1"/>
    <xf numFmtId="0" fontId="20" fillId="0" borderId="0" xfId="0" quotePrefix="1" applyFont="1" applyFill="1" applyAlignment="1">
      <alignment horizontal="left"/>
    </xf>
    <xf numFmtId="0" fontId="0" fillId="0" borderId="0" xfId="0" applyFont="1" applyFill="1" applyBorder="1"/>
    <xf numFmtId="0" fontId="20" fillId="0" borderId="0" xfId="0" applyFont="1" applyFill="1" applyBorder="1"/>
    <xf numFmtId="0" fontId="2" fillId="0" borderId="0" xfId="0" applyFont="1" applyFill="1" applyBorder="1"/>
    <xf numFmtId="0" fontId="2" fillId="0" borderId="0" xfId="0" applyFont="1" applyFill="1" applyBorder="1" applyAlignment="1">
      <alignment horizontal="center"/>
    </xf>
    <xf numFmtId="0" fontId="97" fillId="0" borderId="0" xfId="0" applyFont="1" applyFill="1" applyBorder="1" applyAlignment="1">
      <alignment horizontal="center"/>
    </xf>
    <xf numFmtId="0" fontId="4" fillId="0" borderId="0" xfId="0" applyFont="1" applyAlignment="1">
      <alignment horizontal="center" wrapText="1"/>
    </xf>
    <xf numFmtId="39" fontId="0" fillId="0" borderId="0" xfId="0" applyNumberFormat="1" applyFont="1"/>
    <xf numFmtId="10" fontId="2" fillId="0" borderId="0" xfId="1" applyNumberFormat="1" applyFont="1" applyFill="1"/>
    <xf numFmtId="37" fontId="0" fillId="0" borderId="0" xfId="0" applyNumberFormat="1" applyFont="1"/>
    <xf numFmtId="0" fontId="2" fillId="0" borderId="32" xfId="0" applyFont="1" applyFill="1" applyBorder="1" applyAlignment="1">
      <alignment horizontal="center"/>
    </xf>
    <xf numFmtId="0" fontId="0" fillId="0" borderId="0" xfId="0" applyFont="1" applyAlignment="1"/>
    <xf numFmtId="0" fontId="97" fillId="0" borderId="0" xfId="0" applyFont="1"/>
    <xf numFmtId="166" fontId="20" fillId="0" borderId="0" xfId="8" applyNumberFormat="1" applyFont="1" applyFill="1" applyBorder="1" applyAlignment="1">
      <alignment horizontal="right"/>
    </xf>
    <xf numFmtId="166" fontId="20" fillId="0" borderId="0" xfId="11" applyNumberFormat="1" applyFont="1" applyFill="1" applyBorder="1" applyAlignment="1">
      <alignment horizontal="right"/>
    </xf>
    <xf numFmtId="0" fontId="20" fillId="0" borderId="0" xfId="0" applyFont="1" applyAlignment="1">
      <alignment horizontal="center" vertical="center" wrapText="1"/>
    </xf>
    <xf numFmtId="0" fontId="0" fillId="0" borderId="0" xfId="0" applyFont="1" applyAlignment="1">
      <alignment horizontal="center" vertical="center" wrapText="1"/>
    </xf>
    <xf numFmtId="3" fontId="20" fillId="0" borderId="0" xfId="11" applyNumberFormat="1" applyFont="1" applyFill="1" applyBorder="1" applyAlignment="1">
      <alignment horizontal="center"/>
    </xf>
    <xf numFmtId="0" fontId="97" fillId="0" borderId="0" xfId="11" applyFont="1" applyAlignment="1">
      <alignment horizontal="center"/>
    </xf>
    <xf numFmtId="0" fontId="20" fillId="0" borderId="0" xfId="11" applyNumberFormat="1" applyFont="1" applyFill="1" applyBorder="1" applyAlignment="1">
      <alignment horizontal="left"/>
    </xf>
    <xf numFmtId="0" fontId="20" fillId="0" borderId="0" xfId="11" applyFont="1"/>
    <xf numFmtId="0" fontId="98" fillId="0" borderId="0" xfId="0" applyFont="1" applyAlignment="1">
      <alignment horizontal="center" wrapText="1"/>
    </xf>
    <xf numFmtId="0" fontId="98" fillId="0" borderId="0" xfId="11" applyFont="1" applyBorder="1" applyAlignment="1">
      <alignment horizontal="center" wrapText="1"/>
    </xf>
    <xf numFmtId="0" fontId="98" fillId="0" borderId="0" xfId="11" applyFont="1" applyAlignment="1">
      <alignment horizontal="center" wrapText="1"/>
    </xf>
    <xf numFmtId="0" fontId="20" fillId="0" borderId="0" xfId="11" applyFont="1" applyBorder="1"/>
    <xf numFmtId="1" fontId="20" fillId="0" borderId="0" xfId="11" applyNumberFormat="1" applyFont="1" applyFill="1" applyBorder="1" applyAlignment="1">
      <alignment horizontal="center"/>
    </xf>
    <xf numFmtId="0" fontId="20" fillId="0" borderId="0" xfId="11" applyFont="1" applyFill="1" applyBorder="1"/>
    <xf numFmtId="0" fontId="20" fillId="0" borderId="32" xfId="11" applyNumberFormat="1" applyFont="1" applyFill="1" applyBorder="1" applyAlignment="1">
      <alignment horizontal="left"/>
    </xf>
    <xf numFmtId="1" fontId="20" fillId="0" borderId="32" xfId="11" applyNumberFormat="1" applyFont="1" applyFill="1" applyBorder="1" applyAlignment="1">
      <alignment horizontal="center"/>
    </xf>
    <xf numFmtId="0" fontId="97" fillId="0" borderId="0" xfId="11" applyNumberFormat="1" applyFont="1" applyFill="1" applyBorder="1" applyAlignment="1">
      <alignment horizontal="left"/>
    </xf>
    <xf numFmtId="0" fontId="0" fillId="0" borderId="0" xfId="0" applyFont="1" applyFill="1" applyAlignment="1">
      <alignment vertical="center" wrapText="1"/>
    </xf>
    <xf numFmtId="0" fontId="0" fillId="0" borderId="0" xfId="0" applyFont="1" applyAlignment="1">
      <alignment vertical="center" wrapText="1"/>
    </xf>
    <xf numFmtId="166" fontId="97" fillId="0" borderId="0" xfId="8" applyNumberFormat="1" applyFont="1" applyFill="1" applyBorder="1" applyAlignment="1">
      <alignment horizontal="center" wrapText="1"/>
    </xf>
    <xf numFmtId="166" fontId="98" fillId="0" borderId="0" xfId="0" applyNumberFormat="1" applyFont="1" applyAlignment="1">
      <alignment horizontal="center" wrapText="1"/>
    </xf>
    <xf numFmtId="166" fontId="1" fillId="0" borderId="0" xfId="4" applyNumberFormat="1" applyFont="1" applyFill="1"/>
    <xf numFmtId="166" fontId="5" fillId="0" borderId="0" xfId="4" applyNumberFormat="1" applyFont="1" applyFill="1" applyBorder="1" applyAlignment="1">
      <alignment horizontal="left" indent="1"/>
    </xf>
    <xf numFmtId="166" fontId="1" fillId="0" borderId="0" xfId="4" applyNumberFormat="1" applyFont="1"/>
    <xf numFmtId="166" fontId="20" fillId="0" borderId="0" xfId="4" applyNumberFormat="1" applyFont="1" applyFill="1" applyBorder="1" applyAlignment="1">
      <alignment horizontal="left" indent="1"/>
    </xf>
    <xf numFmtId="164" fontId="20" fillId="0" borderId="0" xfId="8" applyNumberFormat="1" applyFont="1" applyFill="1" applyBorder="1" applyAlignment="1">
      <alignment horizontal="right"/>
    </xf>
    <xf numFmtId="0" fontId="0" fillId="0" borderId="0" xfId="0" applyFont="1" applyAlignment="1">
      <alignment horizontal="left" indent="1"/>
    </xf>
    <xf numFmtId="3" fontId="20" fillId="0" borderId="0" xfId="11" applyNumberFormat="1" applyFont="1" applyFill="1" applyBorder="1" applyAlignment="1"/>
    <xf numFmtId="196" fontId="0" fillId="0" borderId="0" xfId="0" applyNumberFormat="1" applyFont="1"/>
    <xf numFmtId="0" fontId="20" fillId="111" borderId="0" xfId="6" applyFont="1" applyFill="1"/>
    <xf numFmtId="0" fontId="97" fillId="0" borderId="0" xfId="6" applyFont="1" applyAlignment="1">
      <alignment horizontal="left" indent="1"/>
    </xf>
    <xf numFmtId="37" fontId="0" fillId="0" borderId="0" xfId="0" applyNumberFormat="1" applyFont="1" applyFill="1"/>
    <xf numFmtId="37" fontId="20" fillId="0" borderId="0" xfId="0" applyNumberFormat="1" applyFont="1" applyFill="1" applyAlignment="1">
      <alignment horizontal="left" indent="1"/>
    </xf>
    <xf numFmtId="167" fontId="0" fillId="0" borderId="0" xfId="0" applyNumberFormat="1" applyFont="1" applyFill="1"/>
    <xf numFmtId="167" fontId="0" fillId="0" borderId="0" xfId="0" applyNumberFormat="1" applyFont="1" applyFill="1" applyAlignment="1">
      <alignment horizontal="left" indent="1"/>
    </xf>
    <xf numFmtId="164" fontId="4" fillId="0" borderId="0" xfId="0" applyNumberFormat="1" applyFont="1" applyFill="1"/>
    <xf numFmtId="0" fontId="0" fillId="0" borderId="0" xfId="0" applyFont="1" applyFill="1" applyAlignment="1">
      <alignment horizontal="left" indent="1"/>
    </xf>
    <xf numFmtId="0" fontId="20" fillId="0" borderId="0" xfId="6" applyFont="1" applyBorder="1" applyAlignment="1">
      <alignment horizontal="right"/>
    </xf>
    <xf numFmtId="0" fontId="102" fillId="0" borderId="0" xfId="6" applyFont="1" applyBorder="1" applyAlignment="1">
      <alignment horizontal="left"/>
    </xf>
    <xf numFmtId="0" fontId="97" fillId="0" borderId="0" xfId="6" applyFont="1" applyBorder="1" applyAlignment="1">
      <alignment horizontal="right"/>
    </xf>
    <xf numFmtId="0" fontId="102" fillId="112" borderId="0" xfId="6" applyFont="1" applyFill="1" applyBorder="1" applyAlignment="1">
      <alignment horizontal="left"/>
    </xf>
    <xf numFmtId="0" fontId="97" fillId="112" borderId="0" xfId="6" applyFont="1" applyFill="1" applyBorder="1" applyAlignment="1">
      <alignment horizontal="right"/>
    </xf>
    <xf numFmtId="0" fontId="0" fillId="0" borderId="0" xfId="0" quotePrefix="1" applyFont="1" applyFill="1" applyAlignment="1">
      <alignment horizontal="center"/>
    </xf>
    <xf numFmtId="0" fontId="97" fillId="0" borderId="32" xfId="6" applyFont="1" applyBorder="1" applyAlignment="1">
      <alignment horizontal="center"/>
    </xf>
    <xf numFmtId="0" fontId="97" fillId="0" borderId="32" xfId="6" applyFont="1" applyFill="1" applyBorder="1" applyAlignment="1">
      <alignment horizontal="center"/>
    </xf>
    <xf numFmtId="0" fontId="97" fillId="0" borderId="0" xfId="6" applyFont="1" applyFill="1" applyBorder="1" applyAlignment="1">
      <alignment horizontal="center"/>
    </xf>
    <xf numFmtId="193" fontId="20" fillId="111" borderId="0" xfId="6" applyNumberFormat="1" applyFont="1" applyFill="1" applyAlignment="1">
      <alignment horizontal="center"/>
    </xf>
    <xf numFmtId="0" fontId="0" fillId="111" borderId="0" xfId="47" applyFont="1" applyFill="1"/>
    <xf numFmtId="0" fontId="0" fillId="111" borderId="0" xfId="47" applyFont="1" applyFill="1"/>
    <xf numFmtId="193" fontId="20" fillId="0" borderId="0" xfId="6" quotePrefix="1" applyNumberFormat="1" applyFont="1" applyFill="1" applyAlignment="1">
      <alignment horizontal="center"/>
    </xf>
    <xf numFmtId="164" fontId="20" fillId="0" borderId="0" xfId="9" applyNumberFormat="1" applyFont="1" applyFill="1" applyBorder="1"/>
    <xf numFmtId="164" fontId="20" fillId="0" borderId="0" xfId="9" applyNumberFormat="1" applyFont="1" applyBorder="1"/>
    <xf numFmtId="39" fontId="20" fillId="0" borderId="0" xfId="0" applyNumberFormat="1" applyFont="1" applyFill="1" applyAlignment="1">
      <alignment horizontal="left" indent="1"/>
    </xf>
    <xf numFmtId="164" fontId="20" fillId="0" borderId="33" xfId="9" applyNumberFormat="1" applyFont="1" applyBorder="1"/>
    <xf numFmtId="39" fontId="0" fillId="0" borderId="0" xfId="0" applyNumberFormat="1" applyFont="1" applyAlignment="1">
      <alignment horizontal="left" indent="1"/>
    </xf>
    <xf numFmtId="0" fontId="20" fillId="0" borderId="0" xfId="6" quotePrefix="1" applyFont="1" applyAlignment="1">
      <alignment horizontal="left" indent="1"/>
    </xf>
    <xf numFmtId="164" fontId="20" fillId="0" borderId="0" xfId="9" applyNumberFormat="1" applyFont="1" applyBorder="1" applyAlignment="1">
      <alignment horizontal="left" indent="1"/>
    </xf>
    <xf numFmtId="39" fontId="20" fillId="0" borderId="0" xfId="9" applyNumberFormat="1" applyFont="1" applyBorder="1"/>
    <xf numFmtId="37" fontId="20" fillId="112" borderId="0" xfId="9" applyNumberFormat="1" applyFont="1" applyFill="1" applyBorder="1" applyAlignment="1">
      <alignment horizontal="center"/>
    </xf>
    <xf numFmtId="39" fontId="20" fillId="112" borderId="0" xfId="9" applyNumberFormat="1" applyFont="1" applyFill="1" applyBorder="1"/>
    <xf numFmtId="193" fontId="20" fillId="111" borderId="0" xfId="47" quotePrefix="1" applyNumberFormat="1" applyFont="1" applyFill="1" applyAlignment="1">
      <alignment horizontal="center"/>
    </xf>
    <xf numFmtId="0" fontId="20" fillId="111" borderId="0" xfId="47" applyFont="1" applyFill="1" applyBorder="1" applyProtection="1"/>
    <xf numFmtId="0" fontId="20" fillId="111" borderId="0" xfId="0" applyFont="1" applyFill="1"/>
    <xf numFmtId="0" fontId="20" fillId="112" borderId="0" xfId="6" applyFont="1" applyFill="1" applyBorder="1"/>
    <xf numFmtId="164" fontId="20" fillId="112" borderId="0" xfId="9" applyNumberFormat="1" applyFont="1" applyFill="1" applyBorder="1"/>
    <xf numFmtId="164" fontId="97" fillId="0" borderId="0" xfId="6" applyNumberFormat="1" applyFont="1" applyBorder="1" applyAlignment="1">
      <alignment horizontal="center"/>
    </xf>
    <xf numFmtId="164" fontId="97" fillId="0" borderId="32" xfId="6" applyNumberFormat="1" applyFont="1" applyBorder="1" applyAlignment="1">
      <alignment horizontal="center"/>
    </xf>
    <xf numFmtId="164" fontId="97" fillId="0" borderId="32" xfId="6" applyNumberFormat="1" applyFont="1" applyFill="1" applyBorder="1" applyAlignment="1">
      <alignment horizontal="center"/>
    </xf>
    <xf numFmtId="193" fontId="20" fillId="0" borderId="0" xfId="0" applyNumberFormat="1" applyFont="1" applyFill="1" applyBorder="1" applyAlignment="1" applyProtection="1">
      <alignment horizontal="center"/>
    </xf>
    <xf numFmtId="0" fontId="20" fillId="0" borderId="0" xfId="0" applyFont="1" applyFill="1" applyBorder="1" applyProtection="1"/>
    <xf numFmtId="164" fontId="20" fillId="0" borderId="0" xfId="0" applyNumberFormat="1" applyFont="1" applyFill="1" applyBorder="1" applyProtection="1"/>
    <xf numFmtId="164" fontId="20" fillId="0" borderId="32" xfId="9" applyNumberFormat="1" applyFont="1" applyBorder="1"/>
    <xf numFmtId="164" fontId="20" fillId="0" borderId="33" xfId="9" applyNumberFormat="1" applyFont="1" applyFill="1" applyBorder="1"/>
    <xf numFmtId="164" fontId="20" fillId="112" borderId="0" xfId="9" applyNumberFormat="1" applyFont="1" applyFill="1" applyBorder="1" applyAlignment="1">
      <alignment horizontal="left" indent="1"/>
    </xf>
    <xf numFmtId="0" fontId="20" fillId="112" borderId="0" xfId="0" applyFont="1" applyFill="1" applyAlignment="1">
      <alignment horizontal="left" indent="1"/>
    </xf>
    <xf numFmtId="164" fontId="97" fillId="0" borderId="0" xfId="9" applyNumberFormat="1" applyFont="1" applyBorder="1" applyAlignment="1">
      <alignment horizontal="center"/>
    </xf>
    <xf numFmtId="0" fontId="97" fillId="0" borderId="0" xfId="0" quotePrefix="1" applyFont="1" applyAlignment="1">
      <alignment horizontal="left" indent="1"/>
    </xf>
    <xf numFmtId="164" fontId="98" fillId="0" borderId="0" xfId="9" applyNumberFormat="1" applyFont="1" applyBorder="1" applyAlignment="1">
      <alignment horizontal="center"/>
    </xf>
    <xf numFmtId="0" fontId="20" fillId="0" borderId="0" xfId="0" applyFont="1" applyFill="1" applyAlignment="1">
      <alignment wrapText="1"/>
    </xf>
    <xf numFmtId="10" fontId="20" fillId="0" borderId="0" xfId="9" applyNumberFormat="1" applyFont="1" applyBorder="1"/>
    <xf numFmtId="164" fontId="0" fillId="0" borderId="0" xfId="0" applyNumberFormat="1" applyFont="1" applyAlignment="1">
      <alignment horizontal="right"/>
    </xf>
    <xf numFmtId="0" fontId="0" fillId="0" borderId="0" xfId="0" applyFont="1" applyFill="1" applyAlignment="1">
      <alignment wrapText="1"/>
    </xf>
    <xf numFmtId="0" fontId="0" fillId="111" borderId="0" xfId="0" applyFont="1" applyFill="1" applyAlignment="1">
      <alignment wrapText="1"/>
    </xf>
    <xf numFmtId="0" fontId="20" fillId="0" borderId="0" xfId="0" applyFont="1" applyAlignment="1">
      <alignment horizontal="right" indent="1"/>
    </xf>
    <xf numFmtId="0" fontId="20" fillId="0" borderId="0" xfId="7" applyFont="1"/>
    <xf numFmtId="0" fontId="97" fillId="0" borderId="0" xfId="7" applyFont="1" applyAlignment="1">
      <alignment horizontal="center"/>
    </xf>
    <xf numFmtId="0" fontId="97" fillId="0" borderId="0" xfId="7" applyFont="1" applyFill="1" applyAlignment="1">
      <alignment horizontal="center"/>
    </xf>
    <xf numFmtId="0" fontId="20" fillId="111" borderId="0" xfId="7" applyFont="1" applyFill="1"/>
    <xf numFmtId="164" fontId="96" fillId="111" borderId="0" xfId="7" applyNumberFormat="1" applyFont="1" applyFill="1"/>
    <xf numFmtId="164" fontId="20" fillId="111" borderId="0" xfId="7" applyNumberFormat="1" applyFont="1" applyFill="1"/>
    <xf numFmtId="0" fontId="20" fillId="111" borderId="0" xfId="7" quotePrefix="1" applyFont="1" applyFill="1"/>
    <xf numFmtId="0" fontId="98" fillId="0" borderId="0" xfId="7" applyFont="1" applyFill="1" applyAlignment="1">
      <alignment horizontal="center"/>
    </xf>
    <xf numFmtId="164" fontId="20" fillId="0" borderId="0" xfId="7" applyNumberFormat="1" applyFont="1"/>
    <xf numFmtId="0" fontId="97" fillId="0" borderId="0" xfId="7" applyFont="1" applyAlignment="1">
      <alignment vertical="center"/>
    </xf>
    <xf numFmtId="0" fontId="97" fillId="0" borderId="0" xfId="7" applyFont="1" applyAlignment="1">
      <alignment horizontal="center" vertical="center"/>
    </xf>
    <xf numFmtId="0" fontId="98" fillId="0" borderId="0" xfId="7" applyFont="1" applyFill="1" applyAlignment="1"/>
    <xf numFmtId="0" fontId="97" fillId="0" borderId="0" xfId="7" applyFont="1" applyFill="1" applyAlignment="1"/>
    <xf numFmtId="0" fontId="20" fillId="0" borderId="0" xfId="7" applyFont="1" applyFill="1"/>
    <xf numFmtId="0" fontId="97" fillId="0" borderId="0" xfId="7" quotePrefix="1" applyFont="1" applyFill="1" applyAlignment="1">
      <alignment horizontal="center"/>
    </xf>
    <xf numFmtId="164" fontId="20" fillId="0" borderId="0" xfId="7" applyNumberFormat="1" applyFont="1" applyFill="1"/>
    <xf numFmtId="0" fontId="98" fillId="0" borderId="0" xfId="7" applyFont="1" applyFill="1" applyAlignment="1">
      <alignment horizontal="left"/>
    </xf>
    <xf numFmtId="0" fontId="20" fillId="0" borderId="0" xfId="7" applyFont="1" applyFill="1" applyAlignment="1">
      <alignment horizontal="left" indent="1"/>
    </xf>
    <xf numFmtId="0" fontId="97" fillId="0" borderId="0" xfId="7" applyFont="1"/>
    <xf numFmtId="0" fontId="97" fillId="0" borderId="0" xfId="7" applyFont="1" applyFill="1"/>
    <xf numFmtId="6" fontId="0" fillId="0" borderId="0" xfId="0" applyNumberFormat="1" applyFont="1"/>
    <xf numFmtId="6" fontId="23" fillId="0" borderId="0" xfId="0" applyNumberFormat="1" applyFont="1" applyFill="1"/>
    <xf numFmtId="0" fontId="0" fillId="0" borderId="0" xfId="0" applyFont="1" applyAlignment="1">
      <alignment wrapText="1"/>
    </xf>
    <xf numFmtId="0" fontId="2" fillId="0" borderId="0" xfId="47" applyFont="1" applyAlignment="1">
      <alignment horizontal="center"/>
    </xf>
    <xf numFmtId="0" fontId="20" fillId="0" borderId="36" xfId="47" applyFont="1" applyBorder="1"/>
    <xf numFmtId="0" fontId="20" fillId="0" borderId="6" xfId="47" applyFont="1" applyBorder="1"/>
    <xf numFmtId="0" fontId="97" fillId="0" borderId="6" xfId="47" applyFont="1" applyBorder="1"/>
    <xf numFmtId="0" fontId="20" fillId="0" borderId="6" xfId="47" applyFont="1" applyBorder="1" applyAlignment="1">
      <alignment horizontal="right"/>
    </xf>
    <xf numFmtId="164" fontId="20" fillId="0" borderId="0" xfId="47" applyNumberFormat="1" applyFont="1" applyAlignment="1">
      <alignment horizontal="right"/>
    </xf>
    <xf numFmtId="0" fontId="97" fillId="0" borderId="0" xfId="47" applyFont="1" applyAlignment="1">
      <alignment horizontal="right"/>
    </xf>
    <xf numFmtId="6" fontId="0" fillId="0" borderId="0" xfId="0" applyNumberFormat="1" applyFont="1" applyFill="1"/>
    <xf numFmtId="0" fontId="0" fillId="111" borderId="0" xfId="0" quotePrefix="1" applyFont="1" applyFill="1" applyAlignment="1">
      <alignment horizontal="center"/>
    </xf>
    <xf numFmtId="6" fontId="0" fillId="0" borderId="0" xfId="0" applyNumberFormat="1" applyFont="1" applyFill="1"/>
    <xf numFmtId="5" fontId="0" fillId="111" borderId="0" xfId="0" applyNumberFormat="1" applyFont="1" applyFill="1"/>
    <xf numFmtId="5" fontId="2" fillId="0" borderId="0" xfId="0" applyNumberFormat="1" applyFont="1" applyFill="1"/>
    <xf numFmtId="6" fontId="0" fillId="0" borderId="0" xfId="0" applyNumberFormat="1" applyFont="1"/>
    <xf numFmtId="0" fontId="4" fillId="112" borderId="0" xfId="0" applyFont="1" applyFill="1" applyAlignment="1">
      <alignment horizontal="center"/>
    </xf>
    <xf numFmtId="0" fontId="0" fillId="0" borderId="0" xfId="0" applyFont="1" applyFill="1" applyAlignment="1">
      <alignment horizontal="left"/>
    </xf>
    <xf numFmtId="0" fontId="0" fillId="112" borderId="0" xfId="0" applyFont="1" applyFill="1"/>
    <xf numFmtId="164" fontId="20" fillId="0" borderId="0" xfId="9" applyNumberFormat="1" applyFont="1" applyFill="1" applyBorder="1" applyAlignment="1">
      <alignment horizontal="left" indent="1"/>
    </xf>
    <xf numFmtId="10" fontId="2" fillId="0" borderId="0" xfId="1" applyNumberFormat="1" applyFont="1"/>
    <xf numFmtId="10" fontId="2" fillId="112" borderId="0" xfId="1" applyNumberFormat="1" applyFont="1" applyFill="1"/>
    <xf numFmtId="10" fontId="2" fillId="0" borderId="0" xfId="0" applyNumberFormat="1" applyFont="1"/>
    <xf numFmtId="0" fontId="0" fillId="112" borderId="0" xfId="0" applyFont="1" applyFill="1" applyAlignment="1"/>
    <xf numFmtId="0" fontId="0" fillId="111" borderId="0" xfId="0" quotePrefix="1" applyFont="1" applyFill="1"/>
    <xf numFmtId="167" fontId="0" fillId="0" borderId="0" xfId="1" applyNumberFormat="1" applyFont="1" applyFill="1"/>
    <xf numFmtId="167" fontId="0" fillId="111" borderId="0" xfId="1" applyNumberFormat="1" applyFont="1" applyFill="1"/>
    <xf numFmtId="167" fontId="0" fillId="0" borderId="0" xfId="1" applyNumberFormat="1" applyFont="1" applyFill="1"/>
    <xf numFmtId="0" fontId="20" fillId="0" borderId="0" xfId="0" applyFont="1"/>
    <xf numFmtId="0" fontId="20" fillId="0" borderId="0" xfId="0" applyFont="1" applyAlignment="1">
      <alignment horizontal="center"/>
    </xf>
    <xf numFmtId="0" fontId="20" fillId="0" borderId="0" xfId="0" applyFont="1" applyFill="1"/>
    <xf numFmtId="0" fontId="97" fillId="0" borderId="0" xfId="0" applyFont="1" applyAlignment="1">
      <alignment horizontal="center"/>
    </xf>
    <xf numFmtId="0" fontId="97" fillId="0" borderId="0" xfId="0" applyFont="1" applyFill="1" applyAlignment="1">
      <alignment horizontal="center"/>
    </xf>
    <xf numFmtId="10" fontId="0" fillId="0" borderId="0" xfId="0" applyNumberFormat="1" applyFont="1"/>
    <xf numFmtId="0" fontId="20" fillId="0" borderId="0" xfId="0" applyFont="1" applyFill="1" applyAlignment="1">
      <alignment horizontal="center"/>
    </xf>
    <xf numFmtId="0" fontId="98" fillId="0" borderId="0" xfId="0" applyFont="1" applyAlignment="1">
      <alignment horizontal="center"/>
    </xf>
    <xf numFmtId="0" fontId="20" fillId="0" borderId="0" xfId="0" applyFont="1" applyFill="1" applyAlignment="1">
      <alignment horizontal="right"/>
    </xf>
    <xf numFmtId="0" fontId="20" fillId="0" borderId="0" xfId="0" quotePrefix="1" applyFont="1" applyAlignment="1">
      <alignment horizontal="center"/>
    </xf>
    <xf numFmtId="0" fontId="97" fillId="0" borderId="0" xfId="0" applyFont="1" applyAlignment="1">
      <alignment horizontal="right"/>
    </xf>
    <xf numFmtId="10" fontId="20" fillId="0" borderId="0" xfId="1" applyNumberFormat="1" applyFont="1"/>
    <xf numFmtId="0" fontId="97" fillId="111" borderId="0" xfId="47" applyFont="1" applyFill="1"/>
    <xf numFmtId="10" fontId="0" fillId="0" borderId="32" xfId="1" applyNumberFormat="1" applyFont="1" applyFill="1" applyBorder="1"/>
    <xf numFmtId="17" fontId="0" fillId="0" borderId="0" xfId="0" applyNumberFormat="1" applyFont="1" applyFill="1"/>
    <xf numFmtId="37" fontId="97" fillId="0" borderId="0" xfId="0" applyNumberFormat="1" applyFont="1"/>
    <xf numFmtId="0" fontId="20" fillId="111" borderId="0" xfId="0" applyFont="1" applyFill="1"/>
    <xf numFmtId="0" fontId="20" fillId="0" borderId="33" xfId="0" applyFont="1" applyBorder="1"/>
    <xf numFmtId="0" fontId="20" fillId="0" borderId="0" xfId="0" applyFont="1" applyAlignment="1">
      <alignment horizontal="right"/>
    </xf>
    <xf numFmtId="0" fontId="0" fillId="0" borderId="0" xfId="0" applyFont="1" applyBorder="1" applyAlignment="1">
      <alignment horizontal="left"/>
    </xf>
    <xf numFmtId="0" fontId="4" fillId="0" borderId="0" xfId="0" applyFont="1" applyBorder="1" applyAlignment="1">
      <alignment horizontal="left"/>
    </xf>
    <xf numFmtId="0" fontId="0" fillId="0" borderId="0" xfId="0" applyAlignment="1">
      <alignment wrapText="1"/>
    </xf>
    <xf numFmtId="0" fontId="0" fillId="0" borderId="0" xfId="0" applyAlignment="1">
      <alignment horizontal="left" wrapText="1"/>
    </xf>
    <xf numFmtId="0" fontId="2" fillId="0" borderId="40" xfId="0" applyFont="1" applyBorder="1" applyAlignment="1">
      <alignment horizontal="center"/>
    </xf>
    <xf numFmtId="0" fontId="0" fillId="0" borderId="41" xfId="0" applyBorder="1"/>
    <xf numFmtId="0" fontId="0" fillId="0" borderId="42" xfId="0" applyBorder="1"/>
    <xf numFmtId="0" fontId="0" fillId="0" borderId="40" xfId="0" applyBorder="1"/>
    <xf numFmtId="0" fontId="97" fillId="0" borderId="8" xfId="0" applyFont="1" applyBorder="1" applyAlignment="1">
      <alignment horizontal="center" vertical="center"/>
    </xf>
    <xf numFmtId="164" fontId="97" fillId="0" borderId="8" xfId="0" applyNumberFormat="1" applyFont="1" applyBorder="1" applyAlignment="1">
      <alignment horizontal="center" vertical="center" wrapText="1"/>
    </xf>
    <xf numFmtId="169" fontId="97" fillId="0" borderId="8" xfId="0" applyNumberFormat="1" applyFont="1" applyBorder="1" applyAlignment="1" applyProtection="1">
      <alignment horizontal="center" vertical="center" wrapText="1"/>
    </xf>
    <xf numFmtId="5" fontId="20" fillId="0" borderId="0" xfId="0" applyNumberFormat="1" applyFont="1" applyFill="1"/>
    <xf numFmtId="5" fontId="20" fillId="111" borderId="0" xfId="6" applyNumberFormat="1" applyFont="1" applyFill="1"/>
    <xf numFmtId="5" fontId="0" fillId="111" borderId="0" xfId="47" applyNumberFormat="1" applyFont="1" applyFill="1"/>
    <xf numFmtId="5" fontId="20" fillId="0" borderId="0" xfId="9" applyNumberFormat="1" applyFont="1" applyFill="1" applyBorder="1"/>
    <xf numFmtId="5" fontId="20" fillId="0" borderId="0" xfId="9" applyNumberFormat="1" applyFont="1" applyBorder="1"/>
    <xf numFmtId="5" fontId="20" fillId="0" borderId="33" xfId="9" applyNumberFormat="1" applyFont="1" applyBorder="1"/>
    <xf numFmtId="5" fontId="20" fillId="111" borderId="0" xfId="9" applyNumberFormat="1" applyFont="1" applyFill="1" applyBorder="1"/>
    <xf numFmtId="5" fontId="0" fillId="111" borderId="0" xfId="9" applyNumberFormat="1" applyFont="1" applyFill="1" applyBorder="1"/>
    <xf numFmtId="7" fontId="20" fillId="0" borderId="0" xfId="1" applyNumberFormat="1" applyFont="1" applyBorder="1"/>
    <xf numFmtId="5" fontId="20" fillId="0" borderId="0" xfId="9" applyNumberFormat="1" applyFont="1" applyBorder="1" applyAlignment="1">
      <alignment horizontal="left" indent="1"/>
    </xf>
    <xf numFmtId="5" fontId="20" fillId="0" borderId="0" xfId="0" quotePrefix="1" applyNumberFormat="1" applyFont="1" applyAlignment="1">
      <alignment horizontal="center"/>
    </xf>
    <xf numFmtId="5" fontId="20" fillId="0" borderId="0" xfId="0" quotePrefix="1" applyNumberFormat="1" applyFont="1" applyAlignment="1">
      <alignment horizontal="right"/>
    </xf>
    <xf numFmtId="37" fontId="20" fillId="0" borderId="0" xfId="0" applyNumberFormat="1" applyFont="1"/>
    <xf numFmtId="37" fontId="3" fillId="0" borderId="0" xfId="0" applyNumberFormat="1" applyFont="1"/>
    <xf numFmtId="37" fontId="20" fillId="0" borderId="0" xfId="0" quotePrefix="1" applyNumberFormat="1" applyFont="1" applyAlignment="1">
      <alignment horizontal="center"/>
    </xf>
    <xf numFmtId="5" fontId="20" fillId="0" borderId="0" xfId="6" applyNumberFormat="1" applyFont="1" applyFill="1" applyBorder="1" applyAlignment="1">
      <alignment horizontal="right"/>
    </xf>
    <xf numFmtId="5" fontId="20" fillId="0" borderId="33" xfId="9" applyNumberFormat="1" applyFont="1" applyFill="1" applyBorder="1"/>
    <xf numFmtId="5" fontId="20" fillId="0" borderId="0" xfId="0" applyNumberFormat="1" applyFont="1"/>
    <xf numFmtId="5" fontId="20" fillId="111" borderId="0" xfId="0" applyNumberFormat="1" applyFont="1" applyFill="1"/>
    <xf numFmtId="43" fontId="20" fillId="0" borderId="0" xfId="47" applyNumberFormat="1" applyFont="1"/>
    <xf numFmtId="5" fontId="20" fillId="0" borderId="0" xfId="47" applyNumberFormat="1" applyFont="1"/>
    <xf numFmtId="5" fontId="97" fillId="0" borderId="0" xfId="47" applyNumberFormat="1" applyFont="1"/>
    <xf numFmtId="5" fontId="20" fillId="0" borderId="32" xfId="47" applyNumberFormat="1" applyFont="1" applyBorder="1"/>
    <xf numFmtId="5" fontId="97" fillId="0" borderId="0" xfId="47" applyNumberFormat="1" applyFont="1" applyAlignment="1">
      <alignment horizontal="right"/>
    </xf>
    <xf numFmtId="5" fontId="20" fillId="111" borderId="0" xfId="47" applyNumberFormat="1" applyFont="1" applyFill="1"/>
    <xf numFmtId="5" fontId="20" fillId="111" borderId="32" xfId="47" applyNumberFormat="1" applyFont="1" applyFill="1" applyBorder="1"/>
    <xf numFmtId="39" fontId="0" fillId="0" borderId="0" xfId="0" applyNumberFormat="1" applyFont="1" applyAlignment="1">
      <alignment horizontal="left" indent="1"/>
    </xf>
    <xf numFmtId="0" fontId="0" fillId="0" borderId="0" xfId="0" applyFont="1" applyAlignment="1">
      <alignment horizontal="left" indent="1"/>
    </xf>
    <xf numFmtId="5" fontId="20" fillId="0" borderId="0" xfId="4" applyNumberFormat="1" applyFont="1" applyFill="1"/>
    <xf numFmtId="5" fontId="20" fillId="0" borderId="0" xfId="4" applyNumberFormat="1" applyFont="1"/>
    <xf numFmtId="5" fontId="20" fillId="111" borderId="0" xfId="8160" applyNumberFormat="1" applyFont="1" applyFill="1" applyBorder="1" applyProtection="1">
      <protection locked="0"/>
    </xf>
    <xf numFmtId="5" fontId="20" fillId="111" borderId="32" xfId="8160" applyNumberFormat="1" applyFont="1" applyFill="1" applyBorder="1" applyProtection="1">
      <protection locked="0"/>
    </xf>
    <xf numFmtId="5" fontId="20" fillId="111" borderId="0" xfId="0" applyNumberFormat="1" applyFont="1" applyFill="1" applyBorder="1" applyProtection="1">
      <protection locked="0"/>
    </xf>
    <xf numFmtId="5" fontId="20" fillId="111" borderId="0" xfId="0" applyNumberFormat="1" applyFont="1" applyFill="1" applyAlignment="1" applyProtection="1">
      <alignment horizontal="center"/>
    </xf>
    <xf numFmtId="5" fontId="97" fillId="0" borderId="0" xfId="0" applyNumberFormat="1" applyFont="1"/>
    <xf numFmtId="5" fontId="20" fillId="111" borderId="0" xfId="8" applyNumberFormat="1" applyFont="1" applyFill="1"/>
    <xf numFmtId="5" fontId="0" fillId="111" borderId="0" xfId="8" applyNumberFormat="1" applyFont="1" applyFill="1"/>
    <xf numFmtId="5" fontId="0" fillId="111" borderId="32" xfId="8" applyNumberFormat="1" applyFont="1" applyFill="1" applyBorder="1"/>
    <xf numFmtId="5" fontId="0" fillId="0" borderId="0" xfId="4" applyNumberFormat="1" applyFont="1" applyFill="1" applyBorder="1"/>
    <xf numFmtId="5" fontId="0" fillId="0" borderId="0" xfId="8" applyNumberFormat="1" applyFont="1"/>
    <xf numFmtId="5" fontId="20" fillId="111" borderId="0" xfId="9" applyNumberFormat="1" applyFont="1" applyFill="1" applyBorder="1" applyAlignment="1">
      <alignment horizontal="right"/>
    </xf>
    <xf numFmtId="5" fontId="20" fillId="111" borderId="32" xfId="9" applyNumberFormat="1" applyFont="1" applyFill="1" applyBorder="1" applyAlignment="1">
      <alignment horizontal="right"/>
    </xf>
    <xf numFmtId="5" fontId="20" fillId="0" borderId="0" xfId="8" applyNumberFormat="1" applyFont="1" applyFill="1" applyBorder="1" applyAlignment="1">
      <alignment horizontal="right"/>
    </xf>
    <xf numFmtId="5" fontId="97" fillId="0" borderId="0" xfId="8" applyNumberFormat="1" applyFont="1" applyFill="1" applyBorder="1" applyAlignment="1">
      <alignment horizontal="right"/>
    </xf>
    <xf numFmtId="5" fontId="2" fillId="111" borderId="0" xfId="0" applyNumberFormat="1" applyFont="1" applyFill="1"/>
    <xf numFmtId="5" fontId="2" fillId="0" borderId="0" xfId="0" applyNumberFormat="1" applyFont="1"/>
    <xf numFmtId="0" fontId="98" fillId="0" borderId="0" xfId="47" quotePrefix="1" applyFont="1" applyAlignment="1">
      <alignment horizontal="center" wrapText="1"/>
    </xf>
    <xf numFmtId="0" fontId="98" fillId="0" borderId="0" xfId="0" quotePrefix="1" applyFont="1" applyAlignment="1">
      <alignment horizontal="center"/>
    </xf>
    <xf numFmtId="5" fontId="20" fillId="0" borderId="0" xfId="6" applyNumberFormat="1" applyFont="1" applyFill="1"/>
    <xf numFmtId="5" fontId="0" fillId="0" borderId="0" xfId="9" applyNumberFormat="1" applyFont="1" applyFill="1" applyBorder="1"/>
    <xf numFmtId="0" fontId="0" fillId="0" borderId="0" xfId="0" applyFont="1" applyFill="1" applyAlignment="1">
      <alignment horizontal="left"/>
    </xf>
    <xf numFmtId="0" fontId="2" fillId="0" borderId="0" xfId="0" applyFont="1" applyAlignment="1">
      <alignment horizontal="center"/>
    </xf>
    <xf numFmtId="0" fontId="98" fillId="0" borderId="0" xfId="0" applyFont="1"/>
    <xf numFmtId="0" fontId="97" fillId="0" borderId="0" xfId="0" applyFont="1" applyAlignment="1">
      <alignment horizontal="center" vertical="top"/>
    </xf>
    <xf numFmtId="166" fontId="20" fillId="0" borderId="0" xfId="0" applyNumberFormat="1" applyFont="1"/>
    <xf numFmtId="197" fontId="20" fillId="0" borderId="0" xfId="0" applyNumberFormat="1" applyFont="1"/>
    <xf numFmtId="166" fontId="20" fillId="0" borderId="0" xfId="0" applyNumberFormat="1" applyFont="1" applyAlignment="1">
      <alignment horizontal="right"/>
    </xf>
    <xf numFmtId="0" fontId="2" fillId="0" borderId="0" xfId="0" applyFont="1" applyAlignment="1">
      <alignment horizontal="center"/>
    </xf>
    <xf numFmtId="10" fontId="0" fillId="0" borderId="0" xfId="1" applyNumberFormat="1" applyFont="1" applyFill="1" applyAlignment="1">
      <alignment horizontal="right" indent="1"/>
    </xf>
    <xf numFmtId="10" fontId="0" fillId="0" borderId="0" xfId="1" applyNumberFormat="1" applyFont="1" applyFill="1" applyAlignment="1">
      <alignment horizontal="right"/>
    </xf>
    <xf numFmtId="0" fontId="2" fillId="0" borderId="32" xfId="0" applyFont="1" applyFill="1" applyBorder="1" applyAlignment="1">
      <alignment horizontal="center" wrapText="1"/>
    </xf>
    <xf numFmtId="10" fontId="0" fillId="0" borderId="0" xfId="4" applyNumberFormat="1" applyFont="1" applyFill="1" applyAlignment="1">
      <alignment horizontal="right"/>
    </xf>
    <xf numFmtId="0" fontId="2" fillId="0" borderId="0" xfId="0" applyFont="1" applyAlignment="1">
      <alignment horizontal="left" vertical="center"/>
    </xf>
    <xf numFmtId="0" fontId="97" fillId="0" borderId="0" xfId="47" applyFont="1" applyAlignment="1">
      <alignment horizontal="center"/>
    </xf>
    <xf numFmtId="0" fontId="0" fillId="0" borderId="33" xfId="0" applyBorder="1"/>
    <xf numFmtId="0" fontId="0" fillId="111" borderId="40" xfId="0" applyFill="1" applyBorder="1"/>
    <xf numFmtId="0" fontId="0" fillId="0" borderId="32" xfId="0" applyBorder="1"/>
    <xf numFmtId="0" fontId="2" fillId="0" borderId="0" xfId="0" applyFont="1" applyAlignment="1">
      <alignment horizontal="center"/>
    </xf>
    <xf numFmtId="10" fontId="2" fillId="0" borderId="33" xfId="0" applyNumberFormat="1" applyFont="1" applyBorder="1"/>
    <xf numFmtId="10" fontId="2" fillId="0" borderId="0" xfId="0" applyNumberFormat="1" applyFont="1" applyFill="1"/>
    <xf numFmtId="2" fontId="97" fillId="0" borderId="0" xfId="0" applyNumberFormat="1" applyFont="1" applyFill="1" applyAlignment="1" applyProtection="1">
      <alignment horizontal="left"/>
    </xf>
    <xf numFmtId="2" fontId="98" fillId="0" borderId="0" xfId="0" applyNumberFormat="1" applyFont="1" applyFill="1" applyAlignment="1" applyProtection="1">
      <alignment horizontal="left"/>
    </xf>
    <xf numFmtId="0" fontId="97" fillId="0" borderId="33" xfId="0" applyFont="1" applyBorder="1" applyAlignment="1">
      <alignment horizontal="center" vertical="center" wrapText="1"/>
    </xf>
    <xf numFmtId="0" fontId="97" fillId="0" borderId="33" xfId="0" applyFont="1" applyBorder="1"/>
    <xf numFmtId="5" fontId="97" fillId="0" borderId="0" xfId="9" applyNumberFormat="1" applyFont="1" applyBorder="1"/>
    <xf numFmtId="164" fontId="97" fillId="0" borderId="0" xfId="9" applyNumberFormat="1" applyFont="1" applyFill="1" applyBorder="1"/>
    <xf numFmtId="5" fontId="97" fillId="0" borderId="0" xfId="9" applyNumberFormat="1" applyFont="1" applyFill="1" applyBorder="1"/>
    <xf numFmtId="37" fontId="97" fillId="0" borderId="0" xfId="0" quotePrefix="1" applyNumberFormat="1" applyFont="1" applyAlignment="1">
      <alignment horizontal="right"/>
    </xf>
    <xf numFmtId="0" fontId="2"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xf>
    <xf numFmtId="5" fontId="20" fillId="111" borderId="0" xfId="4" applyNumberFormat="1" applyFont="1" applyFill="1" applyBorder="1" applyAlignment="1">
      <alignment horizontal="right" indent="1"/>
    </xf>
    <xf numFmtId="5" fontId="20" fillId="111" borderId="0" xfId="0" applyNumberFormat="1" applyFont="1" applyFill="1"/>
    <xf numFmtId="5" fontId="2" fillId="0" borderId="33" xfId="4" applyNumberFormat="1" applyFont="1" applyFill="1" applyBorder="1"/>
    <xf numFmtId="0" fontId="0" fillId="0" borderId="0" xfId="0" applyFont="1" applyFill="1" applyAlignment="1">
      <alignment horizontal="left"/>
    </xf>
    <xf numFmtId="0" fontId="0" fillId="0" borderId="0" xfId="0" applyFont="1" applyAlignment="1">
      <alignment wrapText="1"/>
    </xf>
    <xf numFmtId="10" fontId="2" fillId="0" borderId="0" xfId="0" applyNumberFormat="1" applyFont="1" applyBorder="1"/>
    <xf numFmtId="0" fontId="97" fillId="0" borderId="0" xfId="0" applyFont="1" applyFill="1" applyAlignment="1"/>
    <xf numFmtId="0" fontId="2" fillId="0" borderId="0" xfId="0" applyFont="1" applyAlignment="1">
      <alignment horizontal="center"/>
    </xf>
    <xf numFmtId="0" fontId="97" fillId="0" borderId="32" xfId="31683" applyFont="1" applyBorder="1" applyAlignment="1">
      <alignment horizontal="center"/>
    </xf>
    <xf numFmtId="0" fontId="97" fillId="0" borderId="0" xfId="31683" applyFont="1" applyAlignment="1">
      <alignment horizontal="center"/>
    </xf>
    <xf numFmtId="37" fontId="97" fillId="0" borderId="0" xfId="31683" applyNumberFormat="1" applyFont="1"/>
    <xf numFmtId="37" fontId="97" fillId="0" borderId="0" xfId="31683" applyNumberFormat="1" applyFont="1" applyAlignment="1">
      <alignment horizontal="center"/>
    </xf>
    <xf numFmtId="37" fontId="97" fillId="0" borderId="0" xfId="31683" quotePrefix="1" applyNumberFormat="1" applyFont="1" applyAlignment="1">
      <alignment horizontal="center"/>
    </xf>
    <xf numFmtId="39" fontId="97" fillId="0" borderId="0" xfId="31683" quotePrefix="1" applyNumberFormat="1" applyFont="1" applyAlignment="1">
      <alignment horizontal="center"/>
    </xf>
    <xf numFmtId="37" fontId="97" fillId="0" borderId="26" xfId="31683" applyNumberFormat="1" applyFont="1" applyBorder="1" applyAlignment="1">
      <alignment horizontal="center"/>
    </xf>
    <xf numFmtId="199" fontId="97" fillId="0" borderId="26" xfId="31683" applyNumberFormat="1" applyFont="1" applyBorder="1" applyAlignment="1">
      <alignment horizontal="center"/>
    </xf>
    <xf numFmtId="39" fontId="97" fillId="0" borderId="26" xfId="31683" applyNumberFormat="1" applyFont="1" applyBorder="1" applyAlignment="1">
      <alignment horizontal="center"/>
    </xf>
    <xf numFmtId="0" fontId="97" fillId="0" borderId="26" xfId="31683" applyFont="1" applyBorder="1" applyAlignment="1">
      <alignment horizontal="center"/>
    </xf>
    <xf numFmtId="199" fontId="97" fillId="0" borderId="0" xfId="31683" applyNumberFormat="1" applyFont="1" applyAlignment="1">
      <alignment horizontal="center"/>
    </xf>
    <xf numFmtId="39" fontId="97" fillId="0" borderId="0" xfId="31683" applyNumberFormat="1" applyFont="1" applyAlignment="1">
      <alignment horizontal="center"/>
    </xf>
    <xf numFmtId="37" fontId="20" fillId="0" borderId="0" xfId="31683" applyNumberFormat="1" applyFont="1" applyAlignment="1">
      <alignment horizontal="right"/>
    </xf>
    <xf numFmtId="37" fontId="20" fillId="0" borderId="0" xfId="31683" applyNumberFormat="1" applyFont="1" applyAlignment="1">
      <alignment horizontal="center"/>
    </xf>
    <xf numFmtId="37" fontId="20" fillId="0" borderId="32" xfId="31683" applyNumberFormat="1" applyFont="1" applyBorder="1" applyAlignment="1">
      <alignment horizontal="right"/>
    </xf>
    <xf numFmtId="0" fontId="20" fillId="0" borderId="0" xfId="47" applyFont="1" applyAlignment="1">
      <alignment horizontal="fill"/>
    </xf>
    <xf numFmtId="0" fontId="20" fillId="0" borderId="32" xfId="16013" applyFont="1" applyBorder="1"/>
    <xf numFmtId="0" fontId="97" fillId="111" borderId="0" xfId="0" applyFont="1" applyFill="1" applyAlignment="1">
      <alignment horizontal="left"/>
    </xf>
    <xf numFmtId="37" fontId="0" fillId="0" borderId="32" xfId="0" applyNumberFormat="1" applyFont="1" applyBorder="1"/>
    <xf numFmtId="5" fontId="20" fillId="111" borderId="0" xfId="7" applyNumberFormat="1" applyFont="1" applyFill="1"/>
    <xf numFmtId="5" fontId="96" fillId="111" borderId="0" xfId="7" applyNumberFormat="1" applyFont="1" applyFill="1"/>
    <xf numFmtId="5" fontId="20" fillId="0" borderId="0" xfId="7" applyNumberFormat="1" applyFont="1" applyFill="1"/>
    <xf numFmtId="37" fontId="20" fillId="0" borderId="0" xfId="0" applyNumberFormat="1" applyFont="1" applyFill="1"/>
    <xf numFmtId="37" fontId="20" fillId="0" borderId="0" xfId="6" applyNumberFormat="1" applyFont="1" applyFill="1"/>
    <xf numFmtId="0" fontId="20" fillId="0" borderId="0" xfId="6" applyFont="1" applyFill="1" applyAlignment="1">
      <alignment horizontal="left"/>
    </xf>
    <xf numFmtId="0" fontId="20" fillId="0" borderId="0" xfId="0" applyFont="1" applyFill="1" applyAlignment="1">
      <alignment horizontal="right" wrapText="1"/>
    </xf>
    <xf numFmtId="0" fontId="20" fillId="0" borderId="0" xfId="6" applyFont="1" applyFill="1" applyAlignment="1">
      <alignment horizontal="left" wrapText="1"/>
    </xf>
    <xf numFmtId="6" fontId="100" fillId="0" borderId="0" xfId="0" applyNumberFormat="1" applyFont="1"/>
    <xf numFmtId="5" fontId="20" fillId="0" borderId="0" xfId="0" quotePrefix="1" applyNumberFormat="1" applyFont="1" applyFill="1" applyAlignment="1">
      <alignment horizontal="right"/>
    </xf>
    <xf numFmtId="0" fontId="2" fillId="0" borderId="0" xfId="0" applyFont="1" applyAlignment="1">
      <alignment horizontal="center"/>
    </xf>
    <xf numFmtId="37" fontId="44" fillId="0" borderId="0" xfId="0" applyNumberFormat="1" applyFont="1" applyAlignment="1" applyProtection="1">
      <alignment horizontal="left"/>
      <protection locked="0"/>
    </xf>
    <xf numFmtId="0" fontId="0" fillId="0" borderId="0" xfId="0" applyAlignment="1">
      <alignment horizontal="center"/>
    </xf>
    <xf numFmtId="0" fontId="2" fillId="0" borderId="0" xfId="0" applyFont="1" applyAlignment="1">
      <alignment horizontal="center" wrapText="1"/>
    </xf>
    <xf numFmtId="0" fontId="2" fillId="0" borderId="0" xfId="0" applyFont="1" applyAlignment="1">
      <alignment horizontal="center"/>
    </xf>
    <xf numFmtId="0" fontId="2" fillId="0" borderId="8" xfId="0" applyFont="1" applyBorder="1" applyAlignment="1">
      <alignment horizontal="center"/>
    </xf>
    <xf numFmtId="0" fontId="0" fillId="0" borderId="0" xfId="0" applyFill="1" applyBorder="1"/>
    <xf numFmtId="0" fontId="2" fillId="0" borderId="32" xfId="0" applyFont="1" applyBorder="1" applyAlignment="1">
      <alignment horizontal="center"/>
    </xf>
    <xf numFmtId="0" fontId="0" fillId="0" borderId="0" xfId="0" applyAlignment="1">
      <alignment horizontal="left"/>
    </xf>
    <xf numFmtId="0" fontId="2" fillId="113" borderId="8" xfId="0" applyFont="1" applyFill="1" applyBorder="1" applyAlignment="1">
      <alignment horizontal="center" wrapText="1"/>
    </xf>
    <xf numFmtId="0" fontId="2" fillId="113" borderId="8" xfId="0" applyFont="1" applyFill="1" applyBorder="1" applyAlignment="1">
      <alignment horizontal="center"/>
    </xf>
    <xf numFmtId="0" fontId="2" fillId="0" borderId="8" xfId="0" applyFont="1" applyBorder="1" applyAlignment="1">
      <alignment horizontal="right"/>
    </xf>
    <xf numFmtId="0" fontId="2" fillId="0" borderId="32" xfId="0" applyFont="1" applyBorder="1" applyAlignment="1">
      <alignment horizontal="center" wrapText="1"/>
    </xf>
    <xf numFmtId="0" fontId="0" fillId="113" borderId="32" xfId="0" applyFill="1" applyBorder="1"/>
    <xf numFmtId="0" fontId="2" fillId="0" borderId="8" xfId="0" applyFont="1" applyBorder="1" applyAlignment="1">
      <alignment horizontal="center" wrapText="1"/>
    </xf>
    <xf numFmtId="0" fontId="2" fillId="0" borderId="0" xfId="0" applyFont="1" applyAlignment="1">
      <alignment horizontal="center"/>
    </xf>
    <xf numFmtId="0" fontId="20" fillId="0" borderId="0" xfId="24673" applyFont="1"/>
    <xf numFmtId="0" fontId="97" fillId="0" borderId="0" xfId="24673" applyFont="1" applyAlignment="1">
      <alignment horizontal="center"/>
    </xf>
    <xf numFmtId="0" fontId="98" fillId="0" borderId="0" xfId="24673" applyFont="1" applyAlignment="1">
      <alignment horizontal="centerContinuous"/>
    </xf>
    <xf numFmtId="0" fontId="98" fillId="0" borderId="0" xfId="24673" applyFont="1"/>
    <xf numFmtId="0" fontId="97" fillId="0" borderId="0" xfId="24673" applyFont="1"/>
    <xf numFmtId="0" fontId="98" fillId="0" borderId="0" xfId="24673" applyFont="1" applyAlignment="1">
      <alignment horizontal="center"/>
    </xf>
    <xf numFmtId="198" fontId="20" fillId="0" borderId="0" xfId="24673" applyNumberFormat="1" applyFont="1" applyAlignment="1">
      <alignment horizontal="center"/>
    </xf>
    <xf numFmtId="198" fontId="20" fillId="0" borderId="0" xfId="24673" applyNumberFormat="1" applyFont="1"/>
    <xf numFmtId="198" fontId="103" fillId="111" borderId="0" xfId="10" applyNumberFormat="1" applyFont="1" applyFill="1" applyAlignment="1">
      <alignment horizontal="center"/>
    </xf>
    <xf numFmtId="37" fontId="0" fillId="113" borderId="33" xfId="0" applyNumberFormat="1" applyFill="1" applyBorder="1"/>
    <xf numFmtId="37" fontId="0" fillId="0" borderId="33" xfId="4" applyNumberFormat="1" applyFont="1" applyFill="1" applyBorder="1"/>
    <xf numFmtId="37" fontId="0" fillId="113" borderId="0" xfId="0" applyNumberFormat="1" applyFill="1" applyBorder="1"/>
    <xf numFmtId="37" fontId="0" fillId="0" borderId="0" xfId="4" applyNumberFormat="1" applyFont="1" applyFill="1" applyBorder="1"/>
    <xf numFmtId="37" fontId="0" fillId="113" borderId="32" xfId="0" applyNumberFormat="1" applyFill="1" applyBorder="1"/>
    <xf numFmtId="37" fontId="0" fillId="0" borderId="32" xfId="4" applyNumberFormat="1" applyFont="1" applyFill="1" applyBorder="1"/>
    <xf numFmtId="37" fontId="0" fillId="0" borderId="40" xfId="0" applyNumberFormat="1" applyBorder="1"/>
    <xf numFmtId="37" fontId="0" fillId="0" borderId="41" xfId="0" applyNumberFormat="1" applyBorder="1"/>
    <xf numFmtId="37" fontId="0" fillId="0" borderId="42" xfId="0" applyNumberFormat="1" applyBorder="1"/>
    <xf numFmtId="37" fontId="0" fillId="0" borderId="40" xfId="4" applyNumberFormat="1" applyFont="1" applyBorder="1"/>
    <xf numFmtId="37" fontId="0" fillId="0" borderId="41" xfId="4" applyNumberFormat="1" applyFont="1" applyBorder="1"/>
    <xf numFmtId="37" fontId="0" fillId="0" borderId="42" xfId="4" applyNumberFormat="1" applyFont="1" applyBorder="1"/>
    <xf numFmtId="37" fontId="0" fillId="0" borderId="40" xfId="4" applyNumberFormat="1" applyFont="1" applyFill="1" applyBorder="1"/>
    <xf numFmtId="37" fontId="0" fillId="0" borderId="41" xfId="4" applyNumberFormat="1" applyFont="1" applyFill="1" applyBorder="1"/>
    <xf numFmtId="37" fontId="0" fillId="0" borderId="42" xfId="4" applyNumberFormat="1" applyFont="1" applyFill="1" applyBorder="1"/>
    <xf numFmtId="0" fontId="2" fillId="0" borderId="0" xfId="0" applyFont="1" applyAlignment="1">
      <alignment horizontal="center"/>
    </xf>
    <xf numFmtId="166" fontId="0" fillId="0" borderId="0" xfId="0" applyNumberFormat="1"/>
    <xf numFmtId="37" fontId="0" fillId="0" borderId="41" xfId="0" applyNumberFormat="1" applyFill="1" applyBorder="1"/>
    <xf numFmtId="37" fontId="0" fillId="0" borderId="40" xfId="0" applyNumberFormat="1" applyFill="1" applyBorder="1"/>
    <xf numFmtId="37" fontId="0" fillId="0" borderId="39" xfId="0" applyNumberFormat="1" applyFill="1" applyBorder="1"/>
    <xf numFmtId="37" fontId="0" fillId="0" borderId="42" xfId="0" applyNumberFormat="1" applyFill="1" applyBorder="1"/>
    <xf numFmtId="37" fontId="0" fillId="0" borderId="35" xfId="0" applyNumberFormat="1" applyFill="1" applyBorder="1"/>
    <xf numFmtId="37" fontId="0" fillId="0" borderId="0" xfId="0" applyNumberFormat="1"/>
    <xf numFmtId="7" fontId="0" fillId="0" borderId="0" xfId="0" applyNumberFormat="1"/>
    <xf numFmtId="0" fontId="0" fillId="0" borderId="0" xfId="0" applyAlignment="1">
      <alignment horizontal="right" wrapText="1"/>
    </xf>
    <xf numFmtId="0" fontId="0" fillId="113" borderId="0" xfId="0" applyFill="1"/>
    <xf numFmtId="7" fontId="0" fillId="0" borderId="0" xfId="0" applyNumberFormat="1" applyFill="1"/>
    <xf numFmtId="0" fontId="2" fillId="0" borderId="0" xfId="0" applyFont="1" applyAlignment="1">
      <alignment horizontal="right" wrapText="1"/>
    </xf>
    <xf numFmtId="7" fontId="0" fillId="113" borderId="32" xfId="0" applyNumberFormat="1" applyFill="1" applyBorder="1"/>
    <xf numFmtId="0" fontId="0" fillId="0" borderId="32" xfId="0" applyBorder="1" applyAlignment="1">
      <alignment horizontal="right" wrapText="1"/>
    </xf>
    <xf numFmtId="0" fontId="2" fillId="0" borderId="32" xfId="0" applyFont="1" applyBorder="1"/>
    <xf numFmtId="37" fontId="0" fillId="0" borderId="32" xfId="0" applyNumberFormat="1" applyBorder="1"/>
    <xf numFmtId="0" fontId="0" fillId="0" borderId="0" xfId="0" applyFont="1" applyAlignment="1">
      <alignment horizontal="left" wrapText="1"/>
    </xf>
    <xf numFmtId="200" fontId="0" fillId="0" borderId="0" xfId="0" applyNumberFormat="1"/>
    <xf numFmtId="10" fontId="0" fillId="0" borderId="0" xfId="1" applyNumberFormat="1" applyFont="1" applyFill="1" applyBorder="1"/>
    <xf numFmtId="199" fontId="0" fillId="113" borderId="0" xfId="0" applyNumberFormat="1" applyFill="1"/>
    <xf numFmtId="199" fontId="0" fillId="0" borderId="0" xfId="0" applyNumberFormat="1"/>
    <xf numFmtId="37" fontId="0" fillId="113" borderId="41" xfId="0" applyNumberFormat="1" applyFill="1" applyBorder="1" applyAlignment="1">
      <alignment horizontal="center"/>
    </xf>
    <xf numFmtId="37" fontId="0" fillId="113" borderId="40" xfId="0" applyNumberFormat="1" applyFont="1" applyFill="1" applyBorder="1" applyAlignment="1">
      <alignment horizontal="center"/>
    </xf>
    <xf numFmtId="37" fontId="0" fillId="113" borderId="0" xfId="0" applyNumberFormat="1" applyFont="1" applyFill="1" applyAlignment="1">
      <alignment horizontal="center"/>
    </xf>
    <xf numFmtId="0" fontId="0" fillId="113" borderId="40" xfId="0" applyFont="1" applyFill="1" applyBorder="1" applyAlignment="1">
      <alignment horizontal="center"/>
    </xf>
    <xf numFmtId="37" fontId="0" fillId="113" borderId="41" xfId="0" applyNumberFormat="1" applyFont="1" applyFill="1" applyBorder="1" applyAlignment="1">
      <alignment horizontal="center"/>
    </xf>
    <xf numFmtId="0" fontId="0" fillId="113" borderId="41" xfId="0" applyFont="1" applyFill="1" applyBorder="1" applyAlignment="1">
      <alignment horizontal="center"/>
    </xf>
    <xf numFmtId="37" fontId="0" fillId="113" borderId="42" xfId="0" applyNumberFormat="1" applyFill="1" applyBorder="1" applyAlignment="1">
      <alignment horizontal="center"/>
    </xf>
    <xf numFmtId="37" fontId="0" fillId="113" borderId="42" xfId="0" applyNumberFormat="1" applyFont="1" applyFill="1" applyBorder="1" applyAlignment="1">
      <alignment horizontal="center"/>
    </xf>
    <xf numFmtId="0" fontId="0" fillId="113" borderId="42" xfId="0" applyFont="1" applyFill="1" applyBorder="1" applyAlignment="1">
      <alignment horizontal="center"/>
    </xf>
    <xf numFmtId="37" fontId="0" fillId="0" borderId="8" xfId="0" applyNumberFormat="1" applyBorder="1" applyAlignment="1">
      <alignment horizontal="center"/>
    </xf>
    <xf numFmtId="7" fontId="0" fillId="113" borderId="41" xfId="0" applyNumberFormat="1" applyFill="1" applyBorder="1" applyAlignment="1">
      <alignment horizontal="center"/>
    </xf>
    <xf numFmtId="7" fontId="0" fillId="113" borderId="42" xfId="0" applyNumberFormat="1" applyFill="1" applyBorder="1" applyAlignment="1">
      <alignment horizontal="center"/>
    </xf>
    <xf numFmtId="7" fontId="0" fillId="0" borderId="8" xfId="0" applyNumberFormat="1" applyBorder="1" applyAlignment="1">
      <alignment horizontal="center"/>
    </xf>
    <xf numFmtId="0" fontId="0" fillId="0" borderId="0" xfId="0" applyNumberFormat="1"/>
    <xf numFmtId="201" fontId="0" fillId="0" borderId="0" xfId="0" applyNumberFormat="1"/>
    <xf numFmtId="0" fontId="2" fillId="0" borderId="0" xfId="0" applyFont="1" applyAlignment="1">
      <alignment horizontal="center"/>
    </xf>
    <xf numFmtId="0" fontId="0" fillId="0" borderId="0" xfId="0" applyFont="1" applyAlignment="1">
      <alignment horizontal="left"/>
    </xf>
    <xf numFmtId="0" fontId="0" fillId="0" borderId="0" xfId="0" applyFont="1" applyFill="1" applyAlignment="1">
      <alignment horizontal="left"/>
    </xf>
    <xf numFmtId="0" fontId="2" fillId="0" borderId="0" xfId="0" applyFont="1" applyBorder="1" applyAlignment="1">
      <alignment horizontal="center"/>
    </xf>
    <xf numFmtId="0" fontId="0" fillId="0" borderId="0" xfId="0" applyFont="1" applyFill="1" applyBorder="1" applyAlignment="1">
      <alignment horizontal="left"/>
    </xf>
    <xf numFmtId="0" fontId="2" fillId="0" borderId="0" xfId="0" applyFont="1" applyAlignment="1">
      <alignment horizontal="center"/>
    </xf>
    <xf numFmtId="166" fontId="20" fillId="0" borderId="0" xfId="8" applyNumberFormat="1" applyFont="1" applyAlignment="1">
      <alignment horizontal="center"/>
    </xf>
    <xf numFmtId="5" fontId="97" fillId="0" borderId="33" xfId="8" applyNumberFormat="1" applyFont="1" applyBorder="1"/>
    <xf numFmtId="0" fontId="0" fillId="111" borderId="0" xfId="0" applyFill="1"/>
    <xf numFmtId="0" fontId="0" fillId="112" borderId="0" xfId="0" applyFill="1"/>
    <xf numFmtId="17" fontId="20" fillId="0" borderId="0" xfId="6" quotePrefix="1" applyNumberFormat="1" applyFont="1" applyAlignment="1">
      <alignment horizontal="left"/>
    </xf>
    <xf numFmtId="0" fontId="2" fillId="0" borderId="0" xfId="0" quotePrefix="1" applyFont="1" applyAlignment="1">
      <alignment horizontal="center"/>
    </xf>
    <xf numFmtId="0" fontId="20" fillId="0" borderId="0" xfId="47" applyFont="1" applyAlignment="1">
      <alignment horizontal="center" wrapText="1"/>
    </xf>
    <xf numFmtId="0" fontId="0" fillId="0" borderId="0" xfId="0" applyAlignment="1">
      <alignment horizontal="center" vertical="center" wrapText="1"/>
    </xf>
    <xf numFmtId="5" fontId="0" fillId="0" borderId="0" xfId="0" applyNumberFormat="1"/>
    <xf numFmtId="0" fontId="97" fillId="0" borderId="33" xfId="6" applyFont="1" applyBorder="1" applyAlignment="1">
      <alignment horizontal="left"/>
    </xf>
    <xf numFmtId="0" fontId="97" fillId="0" borderId="33" xfId="6" quotePrefix="1" applyFont="1" applyBorder="1" applyAlignment="1">
      <alignment horizontal="left"/>
    </xf>
    <xf numFmtId="0" fontId="20" fillId="0" borderId="0" xfId="6" quotePrefix="1" applyFont="1" applyAlignment="1">
      <alignment horizontal="left"/>
    </xf>
    <xf numFmtId="164" fontId="0" fillId="0" borderId="0" xfId="0" applyNumberFormat="1"/>
    <xf numFmtId="0" fontId="98" fillId="0" borderId="0" xfId="0" quotePrefix="1" applyFont="1" applyAlignment="1">
      <alignment horizontal="center" wrapText="1"/>
    </xf>
    <xf numFmtId="164" fontId="20" fillId="0" borderId="0" xfId="0" applyNumberFormat="1" applyFont="1"/>
    <xf numFmtId="17" fontId="20" fillId="0" borderId="32" xfId="6" quotePrefix="1" applyNumberFormat="1" applyFont="1" applyBorder="1" applyAlignment="1">
      <alignment horizontal="left"/>
    </xf>
    <xf numFmtId="164" fontId="3" fillId="0" borderId="0" xfId="0" applyNumberFormat="1" applyFont="1"/>
    <xf numFmtId="0" fontId="97" fillId="0" borderId="0" xfId="6" quotePrefix="1" applyFont="1" applyAlignment="1">
      <alignment horizontal="left"/>
    </xf>
    <xf numFmtId="5" fontId="2" fillId="0" borderId="0" xfId="8" applyNumberFormat="1" applyFont="1"/>
    <xf numFmtId="0" fontId="20" fillId="0" borderId="0" xfId="0" quotePrefix="1" applyFont="1" applyAlignment="1">
      <alignment horizontal="center" vertical="center"/>
    </xf>
    <xf numFmtId="5" fontId="20" fillId="0" borderId="32" xfId="8" applyNumberFormat="1" applyFont="1" applyBorder="1"/>
    <xf numFmtId="164" fontId="0" fillId="112" borderId="0" xfId="0" applyNumberFormat="1" applyFill="1"/>
    <xf numFmtId="5" fontId="2" fillId="0" borderId="33" xfId="8" applyNumberFormat="1" applyFont="1" applyBorder="1"/>
    <xf numFmtId="0" fontId="0" fillId="112" borderId="0" xfId="0" applyFill="1" applyAlignment="1">
      <alignment horizontal="center"/>
    </xf>
    <xf numFmtId="5" fontId="20" fillId="0" borderId="0" xfId="0" applyNumberFormat="1" applyFont="1" applyAlignment="1">
      <alignment horizontal="right"/>
    </xf>
    <xf numFmtId="0" fontId="0" fillId="0" borderId="0" xfId="0" applyAlignment="1">
      <alignment horizontal="center" vertical="center"/>
    </xf>
    <xf numFmtId="0" fontId="0" fillId="0" borderId="0" xfId="0" applyAlignment="1">
      <alignment vertical="center"/>
    </xf>
    <xf numFmtId="0" fontId="20" fillId="0" borderId="0" xfId="0" applyFont="1" applyAlignment="1">
      <alignment vertical="center"/>
    </xf>
    <xf numFmtId="0" fontId="101" fillId="0" borderId="0" xfId="0" applyFont="1" applyAlignment="1">
      <alignment horizontal="center" wrapText="1"/>
    </xf>
    <xf numFmtId="37" fontId="0" fillId="0" borderId="0" xfId="49" applyNumberFormat="1" applyFont="1" applyAlignment="1">
      <alignment horizontal="right"/>
    </xf>
    <xf numFmtId="10" fontId="0" fillId="0" borderId="0" xfId="0" applyNumberFormat="1"/>
    <xf numFmtId="5" fontId="0" fillId="0" borderId="0" xfId="4" applyNumberFormat="1" applyFont="1" applyAlignment="1">
      <alignment horizontal="right"/>
    </xf>
    <xf numFmtId="0" fontId="2" fillId="0" borderId="0" xfId="0" applyFont="1" applyAlignment="1">
      <alignment horizontal="center"/>
    </xf>
    <xf numFmtId="0" fontId="0" fillId="0" borderId="0" xfId="0" applyFont="1" applyAlignment="1">
      <alignment horizontal="left"/>
    </xf>
    <xf numFmtId="0" fontId="2" fillId="0" borderId="8" xfId="0" applyFont="1" applyBorder="1" applyAlignment="1">
      <alignment horizontal="center" wrapText="1"/>
    </xf>
    <xf numFmtId="0" fontId="2" fillId="0" borderId="0" xfId="0" applyFont="1" applyAlignment="1">
      <alignment horizontal="center"/>
    </xf>
    <xf numFmtId="0" fontId="2" fillId="0" borderId="8" xfId="0" applyFont="1" applyFill="1" applyBorder="1" applyAlignment="1">
      <alignment horizontal="center" wrapText="1"/>
    </xf>
    <xf numFmtId="7" fontId="2" fillId="0" borderId="32" xfId="0" applyNumberFormat="1" applyFont="1" applyFill="1" applyBorder="1" applyAlignment="1">
      <alignment horizontal="center" wrapText="1"/>
    </xf>
    <xf numFmtId="0" fontId="2" fillId="113" borderId="32" xfId="0" applyFont="1" applyFill="1" applyBorder="1" applyAlignment="1">
      <alignment horizontal="center" wrapText="1"/>
    </xf>
    <xf numFmtId="0" fontId="2" fillId="113" borderId="32" xfId="0" applyFont="1" applyFill="1" applyBorder="1" applyAlignment="1">
      <alignment horizontal="center"/>
    </xf>
    <xf numFmtId="0" fontId="20" fillId="0" borderId="0" xfId="0" applyFont="1" applyFill="1" applyAlignment="1">
      <alignment horizontal="left"/>
    </xf>
    <xf numFmtId="0" fontId="20" fillId="0" borderId="0" xfId="0" applyFont="1" applyAlignment="1">
      <alignment horizontal="left"/>
    </xf>
    <xf numFmtId="3" fontId="0" fillId="0" borderId="0" xfId="0" applyNumberFormat="1" applyFont="1" applyFill="1"/>
    <xf numFmtId="9" fontId="20" fillId="111" borderId="0" xfId="1" applyFont="1" applyFill="1"/>
    <xf numFmtId="9" fontId="97" fillId="0" borderId="33" xfId="1" applyFont="1" applyBorder="1"/>
    <xf numFmtId="3" fontId="0" fillId="0" borderId="0" xfId="0" applyNumberFormat="1"/>
    <xf numFmtId="202" fontId="0" fillId="0" borderId="0" xfId="0" applyNumberFormat="1"/>
    <xf numFmtId="198" fontId="0" fillId="0" borderId="0" xfId="0" applyNumberFormat="1"/>
    <xf numFmtId="9" fontId="20" fillId="0" borderId="0" xfId="1" applyFont="1"/>
    <xf numFmtId="5" fontId="0" fillId="0" borderId="33" xfId="8" applyNumberFormat="1" applyFont="1" applyBorder="1"/>
    <xf numFmtId="5" fontId="20" fillId="0" borderId="33" xfId="0" applyNumberFormat="1" applyFont="1" applyBorder="1" applyAlignment="1">
      <alignment horizontal="right"/>
    </xf>
    <xf numFmtId="0" fontId="97" fillId="111" borderId="0" xfId="0" applyFont="1" applyFill="1" applyAlignment="1">
      <alignment horizontal="right"/>
    </xf>
    <xf numFmtId="0" fontId="2" fillId="0" borderId="0" xfId="0" applyFont="1" applyAlignment="1">
      <alignment horizontal="center"/>
    </xf>
    <xf numFmtId="5" fontId="0" fillId="0" borderId="0" xfId="4" applyNumberFormat="1" applyFont="1" applyAlignment="1"/>
    <xf numFmtId="10" fontId="0" fillId="0" borderId="0" xfId="1" applyNumberFormat="1" applyFont="1" applyFill="1" applyAlignment="1">
      <alignment horizontal="center"/>
    </xf>
    <xf numFmtId="0" fontId="2" fillId="0" borderId="32" xfId="0" applyFont="1" applyBorder="1" applyAlignment="1">
      <alignment horizontal="right" wrapText="1"/>
    </xf>
    <xf numFmtId="0" fontId="2" fillId="0" borderId="45" xfId="0" applyFont="1" applyBorder="1"/>
    <xf numFmtId="0" fontId="2" fillId="0" borderId="6" xfId="0" applyFont="1" applyBorder="1" applyAlignment="1">
      <alignment horizontal="right"/>
    </xf>
    <xf numFmtId="5" fontId="0" fillId="0" borderId="0" xfId="0" applyNumberFormat="1" applyBorder="1"/>
    <xf numFmtId="0" fontId="0" fillId="0" borderId="39" xfId="0" applyBorder="1"/>
    <xf numFmtId="0" fontId="2" fillId="0" borderId="36" xfId="0" applyFont="1" applyBorder="1" applyAlignment="1">
      <alignment horizontal="right"/>
    </xf>
    <xf numFmtId="0" fontId="0" fillId="0" borderId="32" xfId="0" applyBorder="1" applyAlignment="1">
      <alignment horizontal="right"/>
    </xf>
    <xf numFmtId="0" fontId="0" fillId="0" borderId="35" xfId="0" applyBorder="1"/>
    <xf numFmtId="0" fontId="2" fillId="0" borderId="48" xfId="0" applyFont="1" applyBorder="1" applyAlignment="1">
      <alignment horizontal="center" wrapText="1"/>
    </xf>
    <xf numFmtId="0" fontId="2" fillId="0" borderId="49" xfId="0" applyFont="1" applyBorder="1" applyAlignment="1">
      <alignment horizontal="center" wrapText="1"/>
    </xf>
    <xf numFmtId="0" fontId="4" fillId="0" borderId="45" xfId="0" applyFont="1" applyBorder="1" applyAlignment="1">
      <alignment horizontal="center"/>
    </xf>
    <xf numFmtId="0" fontId="4" fillId="0" borderId="46" xfId="0" applyFont="1" applyBorder="1" applyAlignment="1">
      <alignment horizontal="center"/>
    </xf>
    <xf numFmtId="0" fontId="4" fillId="0" borderId="46" xfId="0" applyFont="1" applyFill="1" applyBorder="1" applyAlignment="1">
      <alignment horizontal="center"/>
    </xf>
    <xf numFmtId="0" fontId="4" fillId="0" borderId="47" xfId="0" applyFont="1" applyBorder="1" applyAlignment="1">
      <alignment horizontal="center"/>
    </xf>
    <xf numFmtId="0" fontId="2" fillId="0" borderId="6" xfId="0" applyFont="1" applyBorder="1" applyAlignment="1">
      <alignment horizontal="center"/>
    </xf>
    <xf numFmtId="0" fontId="20" fillId="0" borderId="0" xfId="0" applyFont="1" applyBorder="1" applyAlignment="1">
      <alignment horizontal="center"/>
    </xf>
    <xf numFmtId="0" fontId="0" fillId="0" borderId="0" xfId="0" applyFont="1" applyBorder="1" applyAlignment="1">
      <alignment horizontal="center"/>
    </xf>
    <xf numFmtId="0" fontId="0" fillId="0" borderId="39" xfId="0" applyFont="1" applyBorder="1" applyAlignment="1">
      <alignment horizontal="center"/>
    </xf>
    <xf numFmtId="0" fontId="0" fillId="0" borderId="6" xfId="0" applyFont="1" applyBorder="1"/>
    <xf numFmtId="0" fontId="2" fillId="0" borderId="39" xfId="0" applyFont="1" applyBorder="1" applyAlignment="1">
      <alignment horizontal="center"/>
    </xf>
    <xf numFmtId="0" fontId="4" fillId="0" borderId="36" xfId="0" applyFont="1" applyBorder="1" applyAlignment="1">
      <alignment horizontal="center"/>
    </xf>
    <xf numFmtId="0" fontId="4" fillId="0" borderId="32" xfId="0" applyFont="1" applyBorder="1" applyAlignment="1">
      <alignment horizontal="center"/>
    </xf>
    <xf numFmtId="0" fontId="4" fillId="0" borderId="35" xfId="0" applyFont="1" applyBorder="1" applyAlignment="1">
      <alignment horizontal="center"/>
    </xf>
    <xf numFmtId="0" fontId="2" fillId="0" borderId="46" xfId="0" applyFont="1" applyBorder="1" applyAlignment="1">
      <alignment horizontal="center"/>
    </xf>
    <xf numFmtId="0" fontId="2" fillId="0" borderId="46" xfId="0" applyFont="1" applyFill="1" applyBorder="1" applyAlignment="1">
      <alignment horizontal="center"/>
    </xf>
    <xf numFmtId="0" fontId="2" fillId="0" borderId="47" xfId="0" applyFont="1" applyBorder="1" applyAlignment="1">
      <alignment horizontal="center"/>
    </xf>
    <xf numFmtId="0" fontId="2" fillId="0" borderId="33" xfId="0" applyFont="1" applyBorder="1"/>
    <xf numFmtId="10" fontId="0" fillId="0" borderId="0" xfId="1" applyNumberFormat="1" applyFont="1" applyAlignment="1">
      <alignment horizontal="right"/>
    </xf>
    <xf numFmtId="166" fontId="20" fillId="0" borderId="0" xfId="11" applyNumberFormat="1" applyFont="1" applyAlignment="1">
      <alignment horizontal="center" vertical="center" wrapText="1"/>
    </xf>
    <xf numFmtId="166" fontId="20" fillId="0" borderId="0" xfId="11" applyNumberFormat="1" applyFont="1" applyAlignment="1">
      <alignment horizontal="right"/>
    </xf>
    <xf numFmtId="5" fontId="20" fillId="111" borderId="0" xfId="9" applyNumberFormat="1" applyFont="1" applyFill="1" applyAlignment="1">
      <alignment horizontal="right"/>
    </xf>
    <xf numFmtId="5" fontId="0" fillId="111" borderId="0" xfId="0" applyNumberFormat="1" applyFill="1"/>
    <xf numFmtId="5" fontId="97" fillId="0" borderId="33" xfId="9" applyNumberFormat="1" applyFont="1" applyBorder="1" applyAlignment="1">
      <alignment horizontal="right"/>
    </xf>
    <xf numFmtId="10" fontId="0" fillId="0" borderId="0" xfId="0" applyNumberFormat="1" applyFont="1" applyFill="1" applyAlignment="1">
      <alignment horizontal="center"/>
    </xf>
    <xf numFmtId="0" fontId="2"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xf>
    <xf numFmtId="0" fontId="0" fillId="0" borderId="0" xfId="0" applyFont="1" applyAlignment="1">
      <alignment horizontal="left"/>
    </xf>
    <xf numFmtId="0" fontId="2" fillId="112" borderId="0" xfId="0" applyFont="1" applyFill="1" applyAlignment="1">
      <alignment horizontal="center"/>
    </xf>
    <xf numFmtId="0" fontId="0" fillId="112" borderId="0" xfId="0" applyFont="1" applyFill="1" applyAlignment="1">
      <alignment horizontal="center"/>
    </xf>
    <xf numFmtId="0" fontId="2" fillId="0" borderId="0" xfId="0" applyFont="1" applyAlignment="1">
      <alignment horizontal="center"/>
    </xf>
    <xf numFmtId="0" fontId="2" fillId="0" borderId="0" xfId="0" applyFont="1" applyAlignment="1">
      <alignment horizontal="center"/>
    </xf>
    <xf numFmtId="0" fontId="0" fillId="0" borderId="0" xfId="0" applyFont="1" applyAlignment="1">
      <alignment horizontal="left"/>
    </xf>
    <xf numFmtId="0" fontId="0" fillId="0" borderId="0" xfId="0" applyFont="1" applyAlignment="1">
      <alignment wrapText="1"/>
    </xf>
    <xf numFmtId="0" fontId="0" fillId="0" borderId="0" xfId="0" quotePrefix="1"/>
    <xf numFmtId="0" fontId="0" fillId="0" borderId="0" xfId="0" applyAlignment="1">
      <alignment horizontal="center" wrapText="1"/>
    </xf>
    <xf numFmtId="0" fontId="2" fillId="0" borderId="50" xfId="0" applyFont="1" applyBorder="1" applyAlignment="1">
      <alignment horizontal="center"/>
    </xf>
    <xf numFmtId="0" fontId="2" fillId="0" borderId="51" xfId="0" applyFont="1" applyBorder="1" applyAlignment="1">
      <alignment horizontal="center"/>
    </xf>
    <xf numFmtId="5" fontId="2" fillId="0" borderId="44" xfId="0" applyNumberFormat="1" applyFont="1" applyBorder="1"/>
    <xf numFmtId="5" fontId="0" fillId="111" borderId="0" xfId="0" applyNumberFormat="1" applyFill="1" applyAlignment="1">
      <alignment horizontal="right"/>
    </xf>
    <xf numFmtId="5" fontId="0" fillId="0" borderId="0" xfId="0" applyNumberFormat="1" applyAlignment="1">
      <alignment horizontal="right"/>
    </xf>
    <xf numFmtId="0" fontId="20" fillId="0" borderId="0" xfId="0" applyFont="1" applyAlignment="1">
      <alignment wrapText="1"/>
    </xf>
    <xf numFmtId="5" fontId="0" fillId="0" borderId="0" xfId="0" applyNumberFormat="1" applyAlignment="1">
      <alignment horizontal="left" wrapText="1"/>
    </xf>
    <xf numFmtId="0" fontId="2" fillId="0" borderId="0" xfId="0" applyFont="1" applyAlignment="1">
      <alignment horizontal="center"/>
    </xf>
    <xf numFmtId="0" fontId="20" fillId="0" borderId="0" xfId="0" applyFont="1" applyFill="1" applyAlignment="1">
      <alignment horizontal="left"/>
    </xf>
    <xf numFmtId="0" fontId="0" fillId="0" borderId="0" xfId="0" applyFont="1" applyAlignment="1">
      <alignment wrapText="1"/>
    </xf>
    <xf numFmtId="0" fontId="2" fillId="0" borderId="43" xfId="0" applyFont="1" applyBorder="1" applyAlignment="1">
      <alignment horizontal="center"/>
    </xf>
    <xf numFmtId="10" fontId="2" fillId="0" borderId="0" xfId="0" applyNumberFormat="1" applyFont="1" applyAlignment="1">
      <alignment horizontal="center"/>
    </xf>
    <xf numFmtId="0" fontId="0" fillId="0" borderId="0" xfId="0" applyFill="1" applyAlignment="1">
      <alignment horizontal="center" vertical="center" wrapText="1"/>
    </xf>
    <xf numFmtId="164" fontId="20" fillId="0" borderId="0" xfId="0" applyNumberFormat="1" applyFont="1" applyFill="1"/>
    <xf numFmtId="17" fontId="20" fillId="0" borderId="0" xfId="6" quotePrefix="1" applyNumberFormat="1" applyFont="1" applyFill="1" applyAlignment="1">
      <alignment horizontal="left"/>
    </xf>
    <xf numFmtId="0" fontId="20" fillId="0" borderId="0" xfId="47" applyFont="1" applyFill="1" applyAlignment="1">
      <alignment horizontal="center" wrapText="1"/>
    </xf>
    <xf numFmtId="10" fontId="0" fillId="0" borderId="32" xfId="0" applyNumberFormat="1" applyFont="1" applyFill="1" applyBorder="1"/>
    <xf numFmtId="6" fontId="0" fillId="0" borderId="0" xfId="0" applyNumberFormat="1"/>
    <xf numFmtId="5" fontId="0" fillId="111" borderId="32" xfId="0" applyNumberFormat="1" applyFont="1" applyFill="1" applyBorder="1"/>
    <xf numFmtId="0" fontId="2" fillId="0" borderId="0" xfId="0" applyFont="1" applyAlignment="1">
      <alignment horizontal="center"/>
    </xf>
    <xf numFmtId="0" fontId="0" fillId="0" borderId="0" xfId="0" applyFont="1" applyAlignment="1">
      <alignment wrapText="1"/>
    </xf>
    <xf numFmtId="10" fontId="103" fillId="0" borderId="0" xfId="1" applyNumberFormat="1" applyFont="1"/>
    <xf numFmtId="5" fontId="2" fillId="0" borderId="0" xfId="4" applyNumberFormat="1" applyFont="1" applyFill="1" applyBorder="1"/>
    <xf numFmtId="5" fontId="0" fillId="0" borderId="0" xfId="0" applyNumberFormat="1" applyFill="1" applyAlignment="1">
      <alignment horizontal="right"/>
    </xf>
    <xf numFmtId="0" fontId="2" fillId="0" borderId="0" xfId="0" applyFont="1" applyAlignment="1">
      <alignment horizontal="center"/>
    </xf>
    <xf numFmtId="5" fontId="2" fillId="0" borderId="46" xfId="4" applyNumberFormat="1" applyFont="1" applyBorder="1"/>
    <xf numFmtId="10" fontId="0" fillId="0" borderId="32" xfId="0" applyNumberFormat="1" applyBorder="1"/>
    <xf numFmtId="10" fontId="0" fillId="0" borderId="0" xfId="4" applyNumberFormat="1" applyFont="1"/>
    <xf numFmtId="0" fontId="0" fillId="112" borderId="0" xfId="0" applyFill="1" applyAlignment="1">
      <alignment horizontal="left"/>
    </xf>
    <xf numFmtId="192" fontId="0" fillId="0" borderId="0" xfId="0" applyNumberFormat="1"/>
    <xf numFmtId="0" fontId="0" fillId="0" borderId="0" xfId="0" applyAlignment="1">
      <alignment horizontal="left" indent="1"/>
    </xf>
    <xf numFmtId="0" fontId="2" fillId="0" borderId="51" xfId="0" applyFont="1" applyFill="1" applyBorder="1" applyAlignment="1">
      <alignment vertical="top"/>
    </xf>
    <xf numFmtId="0" fontId="2" fillId="0" borderId="0" xfId="0" applyFont="1" applyFill="1" applyAlignment="1">
      <alignment vertical="top"/>
    </xf>
    <xf numFmtId="7" fontId="0" fillId="111" borderId="0" xfId="1" applyNumberFormat="1" applyFont="1" applyFill="1"/>
    <xf numFmtId="7" fontId="2" fillId="0" borderId="49" xfId="2" applyNumberFormat="1" applyFont="1" applyFill="1" applyBorder="1" applyAlignment="1">
      <alignment vertical="top"/>
    </xf>
    <xf numFmtId="7" fontId="2" fillId="0" borderId="49" xfId="0" applyNumberFormat="1" applyFont="1" applyFill="1" applyBorder="1" applyAlignment="1">
      <alignment vertical="top"/>
    </xf>
    <xf numFmtId="7" fontId="0" fillId="0" borderId="0" xfId="0" applyNumberFormat="1" applyFont="1" applyFill="1" applyAlignment="1">
      <alignment vertical="top"/>
    </xf>
    <xf numFmtId="0" fontId="4" fillId="0" borderId="0" xfId="0" applyFont="1" applyFill="1" applyAlignment="1">
      <alignment horizontal="center" vertical="top"/>
    </xf>
    <xf numFmtId="0" fontId="2" fillId="0" borderId="0" xfId="0" applyFont="1" applyFill="1" applyAlignment="1">
      <alignment horizontal="center" vertical="top"/>
    </xf>
    <xf numFmtId="0" fontId="0" fillId="0" borderId="0" xfId="0" applyFont="1" applyFill="1" applyAlignment="1">
      <alignment vertical="top"/>
    </xf>
    <xf numFmtId="0" fontId="0" fillId="0" borderId="0" xfId="0" applyFont="1" applyFill="1" applyAlignment="1">
      <alignment vertical="top" wrapText="1"/>
    </xf>
    <xf numFmtId="0" fontId="0" fillId="0" borderId="0" xfId="0" applyFont="1" applyFill="1" applyAlignment="1">
      <alignment horizontal="center" vertical="top"/>
    </xf>
    <xf numFmtId="0" fontId="4" fillId="0" borderId="0" xfId="0" applyFont="1" applyFill="1" applyAlignment="1">
      <alignment horizontal="center" vertical="top" wrapText="1"/>
    </xf>
    <xf numFmtId="0" fontId="2" fillId="0" borderId="0" xfId="0" applyFont="1" applyFill="1" applyBorder="1" applyAlignment="1">
      <alignment vertical="top"/>
    </xf>
    <xf numFmtId="7" fontId="0" fillId="0" borderId="0" xfId="1" applyNumberFormat="1" applyFont="1" applyFill="1"/>
    <xf numFmtId="0" fontId="0" fillId="113" borderId="0" xfId="0" applyFont="1" applyFill="1" applyAlignment="1">
      <alignment vertical="top"/>
    </xf>
    <xf numFmtId="0" fontId="2" fillId="0" borderId="0" xfId="0" applyFont="1" applyAlignment="1">
      <alignment horizontal="center"/>
    </xf>
    <xf numFmtId="0" fontId="0" fillId="0" borderId="0" xfId="0" applyFont="1" applyAlignment="1">
      <alignment wrapText="1"/>
    </xf>
    <xf numFmtId="5" fontId="97" fillId="0" borderId="0" xfId="9" applyNumberFormat="1" applyFont="1" applyFill="1" applyBorder="1" applyAlignment="1">
      <alignment horizontal="right"/>
    </xf>
    <xf numFmtId="5" fontId="20" fillId="0" borderId="0" xfId="9" applyNumberFormat="1" applyFont="1" applyFill="1" applyBorder="1" applyAlignment="1">
      <alignment horizontal="right"/>
    </xf>
    <xf numFmtId="0" fontId="98" fillId="0" borderId="0" xfId="0" quotePrefix="1" applyFont="1" applyFill="1" applyBorder="1" applyAlignment="1">
      <alignment horizontal="center"/>
    </xf>
    <xf numFmtId="0" fontId="0" fillId="0" borderId="0" xfId="0" applyFill="1" applyBorder="1" applyAlignment="1">
      <alignment horizontal="center" vertical="center" wrapText="1"/>
    </xf>
    <xf numFmtId="10" fontId="20" fillId="0" borderId="0" xfId="1" applyNumberFormat="1" applyFont="1" applyFill="1" applyBorder="1" applyAlignment="1">
      <alignment horizontal="center"/>
    </xf>
    <xf numFmtId="0" fontId="97" fillId="0" borderId="0" xfId="11" applyFont="1" applyFill="1" applyBorder="1" applyAlignment="1">
      <alignment horizontal="center"/>
    </xf>
    <xf numFmtId="0" fontId="98" fillId="0" borderId="0" xfId="11" applyFont="1" applyFill="1" applyBorder="1" applyAlignment="1">
      <alignment horizontal="center" wrapText="1"/>
    </xf>
    <xf numFmtId="10" fontId="0" fillId="0" borderId="0" xfId="0" applyNumberFormat="1" applyFont="1" applyFill="1" applyAlignment="1">
      <alignment wrapText="1"/>
    </xf>
    <xf numFmtId="5" fontId="103" fillId="0" borderId="0" xfId="4" applyNumberFormat="1" applyFont="1"/>
    <xf numFmtId="9" fontId="20" fillId="0" borderId="0" xfId="8" applyNumberFormat="1" applyFont="1"/>
    <xf numFmtId="0" fontId="2" fillId="0" borderId="0" xfId="0" applyFont="1" applyBorder="1" applyAlignment="1">
      <alignment horizontal="center" wrapText="1"/>
    </xf>
    <xf numFmtId="0" fontId="2" fillId="0" borderId="0" xfId="0" applyFont="1" applyAlignment="1">
      <alignment horizontal="center"/>
    </xf>
    <xf numFmtId="166" fontId="20" fillId="0" borderId="0" xfId="8" applyNumberFormat="1" applyFont="1" applyFill="1" applyAlignment="1">
      <alignment horizontal="center"/>
    </xf>
    <xf numFmtId="0" fontId="0" fillId="0" borderId="0" xfId="0" applyFont="1" applyFill="1" applyAlignment="1">
      <alignment horizontal="left"/>
    </xf>
    <xf numFmtId="0" fontId="0" fillId="0" borderId="0" xfId="0" applyFont="1" applyFill="1" applyAlignment="1">
      <alignment horizontal="left"/>
    </xf>
    <xf numFmtId="203" fontId="2" fillId="0" borderId="0" xfId="0" applyNumberFormat="1" applyFont="1"/>
    <xf numFmtId="37" fontId="2" fillId="0" borderId="0" xfId="0" applyNumberFormat="1" applyFont="1"/>
    <xf numFmtId="0" fontId="4" fillId="0" borderId="0" xfId="0" applyFont="1" applyBorder="1" applyAlignment="1">
      <alignment horizontal="center"/>
    </xf>
    <xf numFmtId="0" fontId="4" fillId="0" borderId="0" xfId="0" applyFont="1" applyBorder="1" applyAlignment="1">
      <alignment horizontal="center" wrapText="1"/>
    </xf>
    <xf numFmtId="0" fontId="2" fillId="113" borderId="0" xfId="0" applyFont="1" applyFill="1" applyAlignment="1">
      <alignment horizontal="center"/>
    </xf>
    <xf numFmtId="0" fontId="0" fillId="113" borderId="0" xfId="0" applyFont="1" applyFill="1"/>
    <xf numFmtId="0" fontId="2" fillId="113" borderId="49" xfId="0" applyFont="1" applyFill="1" applyBorder="1" applyAlignment="1">
      <alignment horizontal="center" wrapText="1"/>
    </xf>
    <xf numFmtId="0" fontId="2" fillId="113" borderId="0" xfId="0" applyFont="1" applyFill="1" applyAlignment="1">
      <alignment vertical="top"/>
    </xf>
    <xf numFmtId="0" fontId="97" fillId="0" borderId="50" xfId="0" applyFont="1" applyBorder="1" applyAlignment="1">
      <alignment horizontal="center" wrapText="1"/>
    </xf>
    <xf numFmtId="5" fontId="97" fillId="0" borderId="46" xfId="0" applyNumberFormat="1" applyFont="1" applyBorder="1"/>
    <xf numFmtId="0" fontId="0" fillId="0" borderId="0" xfId="0" applyAlignment="1"/>
    <xf numFmtId="0" fontId="2" fillId="0" borderId="0" xfId="0" applyFont="1" applyAlignment="1">
      <alignment horizontal="center"/>
    </xf>
    <xf numFmtId="43" fontId="0" fillId="0" borderId="0" xfId="4" applyFont="1"/>
    <xf numFmtId="5" fontId="0" fillId="0" borderId="39" xfId="0" applyNumberFormat="1" applyBorder="1"/>
    <xf numFmtId="0" fontId="0" fillId="0" borderId="35" xfId="0" applyBorder="1" applyAlignment="1">
      <alignment horizontal="right"/>
    </xf>
    <xf numFmtId="5" fontId="0" fillId="0" borderId="0" xfId="0" applyNumberFormat="1" applyAlignment="1">
      <alignment horizontal="center"/>
    </xf>
    <xf numFmtId="0" fontId="0" fillId="0" borderId="32" xfId="0" applyBorder="1" applyAlignment="1">
      <alignment horizontal="left"/>
    </xf>
    <xf numFmtId="0" fontId="2" fillId="0" borderId="0" xfId="0" applyFont="1" applyBorder="1" applyAlignment="1">
      <alignment horizontal="right"/>
    </xf>
    <xf numFmtId="37" fontId="0" fillId="0" borderId="0" xfId="0" applyNumberFormat="1" applyBorder="1" applyAlignment="1">
      <alignment horizontal="center"/>
    </xf>
    <xf numFmtId="203" fontId="0" fillId="0" borderId="0" xfId="0" applyNumberFormat="1"/>
    <xf numFmtId="0" fontId="0" fillId="0" borderId="0" xfId="0"/>
    <xf numFmtId="5" fontId="0" fillId="0" borderId="0" xfId="0" applyNumberFormat="1"/>
    <xf numFmtId="0" fontId="0" fillId="0" borderId="40" xfId="0" applyBorder="1" applyAlignment="1">
      <alignment horizontal="left"/>
    </xf>
    <xf numFmtId="0" fontId="0" fillId="0" borderId="41" xfId="0" applyBorder="1" applyAlignment="1">
      <alignment horizontal="left"/>
    </xf>
    <xf numFmtId="0" fontId="0" fillId="0" borderId="42" xfId="0" applyBorder="1" applyAlignment="1">
      <alignment horizontal="left"/>
    </xf>
    <xf numFmtId="37" fontId="44" fillId="0" borderId="0" xfId="0" applyNumberFormat="1" applyFont="1" applyFill="1" applyBorder="1" applyAlignment="1" applyProtection="1">
      <alignment wrapText="1"/>
      <protection locked="0"/>
    </xf>
    <xf numFmtId="0" fontId="20" fillId="0" borderId="0" xfId="0" applyFont="1" applyFill="1" applyAlignment="1">
      <alignment horizontal="left"/>
    </xf>
    <xf numFmtId="0" fontId="0" fillId="0" borderId="0" xfId="0" applyFont="1" applyFill="1" applyAlignment="1">
      <alignment horizontal="left"/>
    </xf>
    <xf numFmtId="0" fontId="0" fillId="0" borderId="0" xfId="0" applyFill="1" applyAlignment="1"/>
    <xf numFmtId="0" fontId="0" fillId="0" borderId="0" xfId="0" applyFill="1" applyAlignment="1">
      <alignment horizontal="center"/>
    </xf>
    <xf numFmtId="5" fontId="0" fillId="113" borderId="0" xfId="0" applyNumberFormat="1" applyFill="1" applyAlignment="1">
      <alignment horizontal="right"/>
    </xf>
    <xf numFmtId="10" fontId="97" fillId="0" borderId="0" xfId="1" applyNumberFormat="1" applyFont="1" applyFill="1" applyBorder="1" applyProtection="1">
      <protection locked="0"/>
    </xf>
    <xf numFmtId="0" fontId="2" fillId="0" borderId="0" xfId="0" applyFont="1" applyAlignment="1">
      <alignment horizontal="center"/>
    </xf>
    <xf numFmtId="17" fontId="20" fillId="0" borderId="0" xfId="6" quotePrefix="1" applyNumberFormat="1" applyFont="1" applyBorder="1" applyAlignment="1">
      <alignment horizontal="left"/>
    </xf>
    <xf numFmtId="5" fontId="0" fillId="111" borderId="0" xfId="8" applyNumberFormat="1" applyFont="1" applyFill="1" applyBorder="1"/>
    <xf numFmtId="0" fontId="97" fillId="0" borderId="46" xfId="6" quotePrefix="1" applyFont="1" applyBorder="1" applyAlignment="1">
      <alignment horizontal="left"/>
    </xf>
    <xf numFmtId="5" fontId="2" fillId="0" borderId="46" xfId="8" applyNumberFormat="1" applyFont="1" applyBorder="1"/>
    <xf numFmtId="0" fontId="2" fillId="0" borderId="46" xfId="0" applyFont="1" applyBorder="1"/>
    <xf numFmtId="1" fontId="20" fillId="0" borderId="46" xfId="11" applyNumberFormat="1" applyFont="1" applyFill="1" applyBorder="1" applyAlignment="1">
      <alignment horizontal="center"/>
    </xf>
    <xf numFmtId="5" fontId="20" fillId="111" borderId="0" xfId="9" applyNumberFormat="1" applyFont="1" applyFill="1"/>
    <xf numFmtId="5" fontId="20" fillId="0" borderId="44" xfId="9" applyNumberFormat="1" applyFont="1" applyFill="1" applyBorder="1"/>
    <xf numFmtId="0" fontId="2" fillId="0" borderId="0" xfId="0" applyFont="1" applyAlignment="1">
      <alignment horizontal="center"/>
    </xf>
    <xf numFmtId="0" fontId="97" fillId="0" borderId="45" xfId="47" applyFont="1" applyBorder="1"/>
    <xf numFmtId="0" fontId="20" fillId="0" borderId="46" xfId="47" applyFont="1" applyBorder="1"/>
    <xf numFmtId="0" fontId="98" fillId="0" borderId="46" xfId="47" applyFont="1" applyBorder="1" applyAlignment="1">
      <alignment horizontal="center"/>
    </xf>
    <xf numFmtId="0" fontId="98" fillId="0" borderId="47" xfId="47" applyFont="1" applyBorder="1" applyAlignment="1">
      <alignment horizontal="center"/>
    </xf>
    <xf numFmtId="164" fontId="20" fillId="0" borderId="39" xfId="47" applyNumberFormat="1" applyFont="1" applyBorder="1"/>
    <xf numFmtId="164" fontId="96" fillId="0" borderId="39" xfId="47" applyNumberFormat="1" applyFont="1" applyBorder="1"/>
    <xf numFmtId="5" fontId="97" fillId="0" borderId="46" xfId="47" applyNumberFormat="1" applyFont="1" applyBorder="1"/>
    <xf numFmtId="10" fontId="20" fillId="113" borderId="0" xfId="47" applyNumberFormat="1" applyFont="1" applyFill="1"/>
    <xf numFmtId="0" fontId="0" fillId="0" borderId="0" xfId="47" applyFont="1" applyAlignment="1">
      <alignment horizontal="left" indent="1"/>
    </xf>
    <xf numFmtId="10" fontId="20" fillId="0" borderId="0" xfId="47" applyNumberFormat="1" applyFont="1"/>
    <xf numFmtId="0" fontId="20" fillId="0" borderId="32" xfId="47" applyFont="1" applyBorder="1" applyAlignment="1">
      <alignment horizontal="right"/>
    </xf>
    <xf numFmtId="5" fontId="97" fillId="0" borderId="32" xfId="47" applyNumberFormat="1" applyFont="1" applyBorder="1"/>
    <xf numFmtId="0" fontId="20" fillId="0" borderId="32" xfId="47" applyFont="1" applyBorder="1" applyAlignment="1">
      <alignment horizontal="left" indent="1"/>
    </xf>
    <xf numFmtId="164" fontId="20" fillId="0" borderId="35" xfId="47" applyNumberFormat="1" applyFont="1" applyBorder="1"/>
    <xf numFmtId="0" fontId="20" fillId="0" borderId="46" xfId="47" applyFont="1" applyBorder="1" applyAlignment="1">
      <alignment horizontal="right"/>
    </xf>
    <xf numFmtId="164" fontId="20" fillId="0" borderId="46" xfId="47" applyNumberFormat="1" applyFont="1" applyBorder="1"/>
    <xf numFmtId="0" fontId="20" fillId="0" borderId="46" xfId="47" applyFont="1" applyBorder="1" applyAlignment="1">
      <alignment horizontal="left" indent="1"/>
    </xf>
    <xf numFmtId="164" fontId="20" fillId="0" borderId="47" xfId="47" applyNumberFormat="1" applyFont="1" applyBorder="1"/>
    <xf numFmtId="167" fontId="20" fillId="0" borderId="39" xfId="47" applyNumberFormat="1" applyFont="1" applyBorder="1"/>
    <xf numFmtId="5" fontId="97" fillId="0" borderId="48" xfId="47" applyNumberFormat="1" applyFont="1" applyBorder="1"/>
    <xf numFmtId="164" fontId="96" fillId="0" borderId="35" xfId="47" applyNumberFormat="1" applyFont="1" applyBorder="1"/>
    <xf numFmtId="164" fontId="97" fillId="0" borderId="0" xfId="47" applyNumberFormat="1" applyFont="1"/>
    <xf numFmtId="0" fontId="20" fillId="0" borderId="45" xfId="47" applyFont="1" applyBorder="1"/>
    <xf numFmtId="164" fontId="96" fillId="0" borderId="47" xfId="47" applyNumberFormat="1" applyFont="1" applyBorder="1"/>
    <xf numFmtId="0" fontId="2" fillId="0" borderId="0" xfId="16306" applyFont="1" applyAlignment="1">
      <alignment horizontal="center"/>
    </xf>
    <xf numFmtId="0" fontId="103" fillId="0" borderId="0" xfId="16306"/>
    <xf numFmtId="0" fontId="2" fillId="0" borderId="0" xfId="16306" applyFont="1" applyAlignment="1">
      <alignment horizontal="right"/>
    </xf>
    <xf numFmtId="37" fontId="103" fillId="0" borderId="0" xfId="16306" applyNumberFormat="1" applyAlignment="1">
      <alignment horizontal="center"/>
    </xf>
    <xf numFmtId="0" fontId="2" fillId="0" borderId="0" xfId="0" applyFont="1" applyAlignment="1">
      <alignment horizontal="center"/>
    </xf>
    <xf numFmtId="0" fontId="20" fillId="0" borderId="0" xfId="0" applyFont="1" applyAlignment="1">
      <alignment horizontal="left" vertical="center" wrapText="1"/>
    </xf>
    <xf numFmtId="0" fontId="20" fillId="0" borderId="0" xfId="31683" applyFont="1" applyAlignment="1">
      <alignment horizontal="center"/>
    </xf>
    <xf numFmtId="0" fontId="97" fillId="0" borderId="48" xfId="31683" applyFont="1" applyBorder="1" applyAlignment="1">
      <alignment horizontal="center"/>
    </xf>
    <xf numFmtId="37" fontId="97" fillId="0" borderId="0" xfId="31683" quotePrefix="1" applyNumberFormat="1" applyFont="1" applyAlignment="1">
      <alignment horizontal="center" wrapText="1"/>
    </xf>
    <xf numFmtId="0" fontId="98" fillId="0" borderId="0" xfId="7" applyFont="1" applyAlignment="1">
      <alignment horizontal="center"/>
    </xf>
    <xf numFmtId="0" fontId="20" fillId="113" borderId="0" xfId="11" applyFont="1" applyFill="1" applyAlignment="1">
      <alignment horizontal="left" vertical="center"/>
    </xf>
    <xf numFmtId="0" fontId="99" fillId="0" borderId="0" xfId="0" applyFont="1" applyAlignment="1">
      <alignment horizontal="center"/>
    </xf>
    <xf numFmtId="10" fontId="99" fillId="112" borderId="0" xfId="1" applyNumberFormat="1" applyFont="1" applyFill="1"/>
    <xf numFmtId="0" fontId="23" fillId="112" borderId="0" xfId="0" applyFont="1" applyFill="1"/>
    <xf numFmtId="0" fontId="108" fillId="0" borderId="0" xfId="0" applyFont="1" applyAlignment="1">
      <alignment horizontal="center"/>
    </xf>
    <xf numFmtId="0" fontId="97" fillId="113" borderId="32" xfId="0" applyFont="1" applyFill="1" applyBorder="1" applyAlignment="1">
      <alignment horizontal="center" wrapText="1"/>
    </xf>
    <xf numFmtId="10" fontId="99" fillId="0" borderId="0" xfId="1" applyNumberFormat="1" applyFont="1" applyFill="1"/>
    <xf numFmtId="0" fontId="23" fillId="0" borderId="0" xfId="0" applyFont="1" applyFill="1"/>
    <xf numFmtId="9" fontId="0" fillId="0" borderId="0" xfId="1" applyFont="1"/>
    <xf numFmtId="0" fontId="20" fillId="0" borderId="6" xfId="47" applyFont="1" applyFill="1" applyBorder="1"/>
    <xf numFmtId="0" fontId="2" fillId="0" borderId="0" xfId="0" applyFont="1" applyAlignment="1">
      <alignment horizontal="center"/>
    </xf>
    <xf numFmtId="0" fontId="97" fillId="0" borderId="32" xfId="0" applyFont="1" applyBorder="1" applyAlignment="1">
      <alignment horizontal="right"/>
    </xf>
    <xf numFmtId="37" fontId="20" fillId="0" borderId="32" xfId="0" applyNumberFormat="1" applyFont="1" applyBorder="1"/>
    <xf numFmtId="0" fontId="20" fillId="0" borderId="32" xfId="0" applyFont="1" applyBorder="1"/>
    <xf numFmtId="5" fontId="20" fillId="0" borderId="0" xfId="8" applyNumberFormat="1" applyFont="1" applyFill="1"/>
    <xf numFmtId="9" fontId="20" fillId="0" borderId="0" xfId="1" applyFont="1" applyFill="1"/>
    <xf numFmtId="0" fontId="99" fillId="0" borderId="0" xfId="16306" applyFont="1" applyFill="1" applyAlignment="1">
      <alignment horizontal="center"/>
    </xf>
    <xf numFmtId="0" fontId="23" fillId="0" borderId="0" xfId="16306" applyFont="1" applyFill="1"/>
    <xf numFmtId="0" fontId="23" fillId="0" borderId="0" xfId="16306" applyFont="1"/>
    <xf numFmtId="0" fontId="99" fillId="0" borderId="0" xfId="16306" applyFont="1" applyAlignment="1">
      <alignment horizontal="center"/>
    </xf>
    <xf numFmtId="37" fontId="23" fillId="0" borderId="0" xfId="16306" applyNumberFormat="1" applyFont="1"/>
    <xf numFmtId="0" fontId="2" fillId="113" borderId="35" xfId="0" applyFont="1" applyFill="1" applyBorder="1" applyAlignment="1">
      <alignment horizontal="center" vertical="top" wrapText="1"/>
    </xf>
    <xf numFmtId="0" fontId="2" fillId="0" borderId="0" xfId="0" applyFont="1" applyAlignment="1">
      <alignment horizontal="center"/>
    </xf>
    <xf numFmtId="0" fontId="4" fillId="0" borderId="0" xfId="0" applyFont="1" applyFill="1" applyBorder="1" applyAlignment="1">
      <alignment horizontal="center" wrapText="1"/>
    </xf>
    <xf numFmtId="0" fontId="0" fillId="0" borderId="0" xfId="0" applyFont="1" applyFill="1" applyAlignment="1">
      <alignment horizontal="right"/>
    </xf>
    <xf numFmtId="203" fontId="0" fillId="0" borderId="0" xfId="4" applyNumberFormat="1" applyFont="1" applyFill="1"/>
    <xf numFmtId="0" fontId="99" fillId="0" borderId="0" xfId="0" applyFont="1" applyFill="1" applyAlignment="1">
      <alignment wrapText="1"/>
    </xf>
    <xf numFmtId="5" fontId="0" fillId="0" borderId="0" xfId="8" applyNumberFormat="1" applyFont="1" applyFill="1"/>
    <xf numFmtId="0" fontId="2" fillId="0" borderId="8" xfId="0" applyFont="1" applyFill="1" applyBorder="1" applyAlignment="1">
      <alignment horizontal="center"/>
    </xf>
    <xf numFmtId="0" fontId="0" fillId="0" borderId="40" xfId="0" applyFill="1" applyBorder="1"/>
    <xf numFmtId="0" fontId="0" fillId="0" borderId="41" xfId="0" applyFill="1" applyBorder="1"/>
    <xf numFmtId="0" fontId="2" fillId="0" borderId="8" xfId="0" applyFont="1" applyFill="1" applyBorder="1" applyAlignment="1">
      <alignment horizontal="right"/>
    </xf>
    <xf numFmtId="7" fontId="0" fillId="0" borderId="8" xfId="0" applyNumberFormat="1" applyFill="1" applyBorder="1" applyAlignment="1">
      <alignment horizontal="center"/>
    </xf>
    <xf numFmtId="5" fontId="97" fillId="0" borderId="0" xfId="0" applyNumberFormat="1" applyFont="1" applyFill="1" applyBorder="1"/>
    <xf numFmtId="5" fontId="97" fillId="0" borderId="0" xfId="0" applyNumberFormat="1" applyFont="1" applyFill="1" applyBorder="1" applyProtection="1">
      <protection locked="0"/>
    </xf>
    <xf numFmtId="14" fontId="20" fillId="0" borderId="0" xfId="0" quotePrefix="1" applyNumberFormat="1" applyFont="1" applyFill="1" applyAlignment="1" applyProtection="1">
      <alignment horizontal="right" vertical="center"/>
    </xf>
    <xf numFmtId="14" fontId="20" fillId="0" borderId="0" xfId="0" applyNumberFormat="1" applyFont="1" applyFill="1" applyAlignment="1" applyProtection="1">
      <alignment horizontal="right" vertical="center"/>
    </xf>
    <xf numFmtId="194" fontId="20" fillId="0" borderId="0" xfId="1" applyNumberFormat="1" applyFont="1" applyFill="1" applyAlignment="1">
      <alignment horizontal="center"/>
    </xf>
    <xf numFmtId="164" fontId="99" fillId="0" borderId="32" xfId="6" applyNumberFormat="1" applyFont="1" applyBorder="1" applyAlignment="1">
      <alignment horizontal="center"/>
    </xf>
    <xf numFmtId="0" fontId="0" fillId="0" borderId="0" xfId="48" applyFont="1" applyFill="1"/>
    <xf numFmtId="37" fontId="44" fillId="0" borderId="0" xfId="0" applyNumberFormat="1" applyFont="1" applyFill="1" applyBorder="1" applyAlignment="1" applyProtection="1">
      <alignment horizontal="left"/>
      <protection locked="0"/>
    </xf>
    <xf numFmtId="37" fontId="5" fillId="0" borderId="38" xfId="0" applyNumberFormat="1" applyFont="1" applyFill="1" applyBorder="1" applyAlignment="1" applyProtection="1">
      <alignment horizontal="left"/>
      <protection locked="0"/>
    </xf>
    <xf numFmtId="37" fontId="103" fillId="0" borderId="41" xfId="4" applyNumberFormat="1" applyFont="1" applyFill="1" applyBorder="1"/>
    <xf numFmtId="0" fontId="5" fillId="0" borderId="0" xfId="31688" applyFont="1" applyFill="1" applyAlignment="1">
      <alignment horizontal="right" vertical="top"/>
    </xf>
    <xf numFmtId="0" fontId="5" fillId="0" borderId="0" xfId="31688" applyFont="1" applyFill="1"/>
    <xf numFmtId="0" fontId="2" fillId="0" borderId="0" xfId="47" applyFont="1" applyFill="1" applyAlignment="1">
      <alignment horizontal="center"/>
    </xf>
    <xf numFmtId="0" fontId="97" fillId="112" borderId="0" xfId="6" applyFont="1" applyFill="1" applyBorder="1" applyAlignment="1">
      <alignment horizontal="left"/>
    </xf>
    <xf numFmtId="0" fontId="20" fillId="0" borderId="0" xfId="0" applyFont="1" applyFill="1" applyAlignment="1">
      <alignment horizontal="left"/>
    </xf>
    <xf numFmtId="166" fontId="97" fillId="0" borderId="0" xfId="4" applyNumberFormat="1" applyFont="1"/>
    <xf numFmtId="10" fontId="20" fillId="0" borderId="0" xfId="0" applyNumberFormat="1" applyFont="1"/>
    <xf numFmtId="10" fontId="20" fillId="0" borderId="32" xfId="1" applyNumberFormat="1" applyFont="1" applyBorder="1"/>
    <xf numFmtId="10" fontId="97" fillId="0" borderId="0" xfId="0" applyNumberFormat="1" applyFont="1"/>
    <xf numFmtId="5" fontId="97" fillId="0" borderId="0" xfId="4" applyNumberFormat="1" applyFont="1"/>
    <xf numFmtId="5" fontId="20" fillId="113" borderId="0" xfId="0" applyNumberFormat="1" applyFont="1" applyFill="1" applyAlignment="1">
      <alignment horizontal="center"/>
    </xf>
    <xf numFmtId="7" fontId="20" fillId="0" borderId="0" xfId="0" applyNumberFormat="1" applyFont="1"/>
    <xf numFmtId="0" fontId="20" fillId="0" borderId="32" xfId="0" applyFont="1" applyFill="1" applyBorder="1" applyAlignment="1">
      <alignment horizontal="right"/>
    </xf>
    <xf numFmtId="37" fontId="20" fillId="0" borderId="32" xfId="0" applyNumberFormat="1" applyFont="1" applyFill="1" applyBorder="1"/>
    <xf numFmtId="0" fontId="20" fillId="0" borderId="32" xfId="0" applyFont="1" applyBorder="1" applyAlignment="1">
      <alignment horizontal="right"/>
    </xf>
    <xf numFmtId="0" fontId="97" fillId="0" borderId="0" xfId="0" applyFont="1" applyFill="1" applyAlignment="1">
      <alignment horizontal="left"/>
    </xf>
    <xf numFmtId="0" fontId="98" fillId="0" borderId="0" xfId="0" quotePrefix="1" applyFont="1" applyFill="1" applyAlignment="1">
      <alignment horizontal="center" wrapText="1"/>
    </xf>
    <xf numFmtId="37" fontId="5" fillId="0" borderId="6" xfId="0" applyNumberFormat="1" applyFont="1" applyFill="1" applyBorder="1" applyAlignment="1" applyProtection="1">
      <alignment horizontal="left"/>
      <protection locked="0"/>
    </xf>
    <xf numFmtId="37" fontId="5" fillId="0" borderId="6" xfId="0" applyNumberFormat="1" applyFont="1" applyBorder="1" applyAlignment="1" applyProtection="1">
      <alignment horizontal="left"/>
      <protection locked="0"/>
    </xf>
    <xf numFmtId="37" fontId="5" fillId="0" borderId="36" xfId="0" applyNumberFormat="1" applyFont="1" applyBorder="1" applyAlignment="1" applyProtection="1">
      <alignment horizontal="left"/>
      <protection locked="0"/>
    </xf>
    <xf numFmtId="37" fontId="5" fillId="0" borderId="0" xfId="0" applyNumberFormat="1" applyFont="1" applyFill="1" applyBorder="1" applyAlignment="1" applyProtection="1">
      <alignment horizontal="left"/>
      <protection locked="0"/>
    </xf>
    <xf numFmtId="0" fontId="97" fillId="0" borderId="0" xfId="16306" applyFont="1" applyFill="1"/>
    <xf numFmtId="0" fontId="98" fillId="0" borderId="0" xfId="16306" applyFont="1" applyAlignment="1">
      <alignment horizontal="center"/>
    </xf>
    <xf numFmtId="0" fontId="97" fillId="0" borderId="50" xfId="16306" applyFont="1" applyBorder="1" applyAlignment="1">
      <alignment horizontal="center" wrapText="1"/>
    </xf>
    <xf numFmtId="0" fontId="97" fillId="0" borderId="0" xfId="16306" applyFont="1" applyAlignment="1">
      <alignment horizontal="center"/>
    </xf>
    <xf numFmtId="0" fontId="20" fillId="0" borderId="40" xfId="16306" applyFont="1" applyBorder="1"/>
    <xf numFmtId="37" fontId="20" fillId="113" borderId="41" xfId="16306" applyNumberFormat="1" applyFont="1" applyFill="1" applyBorder="1" applyAlignment="1">
      <alignment horizontal="center"/>
    </xf>
    <xf numFmtId="37" fontId="20" fillId="113" borderId="40" xfId="16306" applyNumberFormat="1" applyFont="1" applyFill="1" applyBorder="1" applyAlignment="1">
      <alignment horizontal="center"/>
    </xf>
    <xf numFmtId="37" fontId="20" fillId="113" borderId="0" xfId="16306" applyNumberFormat="1" applyFont="1" applyFill="1" applyAlignment="1">
      <alignment horizontal="center"/>
    </xf>
    <xf numFmtId="0" fontId="20" fillId="113" borderId="40" xfId="16306" applyFont="1" applyFill="1" applyBorder="1" applyAlignment="1">
      <alignment horizontal="center"/>
    </xf>
    <xf numFmtId="0" fontId="20" fillId="0" borderId="41" xfId="16306" applyFont="1" applyBorder="1"/>
    <xf numFmtId="0" fontId="20" fillId="113" borderId="41" xfId="16306" applyFont="1" applyFill="1" applyBorder="1" applyAlignment="1">
      <alignment horizontal="center"/>
    </xf>
    <xf numFmtId="37" fontId="20" fillId="113" borderId="42" xfId="16306" applyNumberFormat="1" applyFont="1" applyFill="1" applyBorder="1" applyAlignment="1">
      <alignment horizontal="center"/>
    </xf>
    <xf numFmtId="0" fontId="20" fillId="113" borderId="42" xfId="16306" applyFont="1" applyFill="1" applyBorder="1" applyAlignment="1">
      <alignment horizontal="center"/>
    </xf>
    <xf numFmtId="0" fontId="97" fillId="0" borderId="50" xfId="16306" applyFont="1" applyBorder="1" applyAlignment="1">
      <alignment horizontal="right"/>
    </xf>
    <xf numFmtId="37" fontId="20" fillId="0" borderId="50" xfId="16306" applyNumberFormat="1" applyFont="1" applyBorder="1" applyAlignment="1">
      <alignment horizontal="center"/>
    </xf>
    <xf numFmtId="0" fontId="97" fillId="0" borderId="50" xfId="16306" applyFont="1" applyBorder="1" applyAlignment="1">
      <alignment horizontal="center"/>
    </xf>
    <xf numFmtId="0" fontId="97" fillId="112" borderId="0" xfId="0" applyFont="1" applyFill="1" applyAlignment="1">
      <alignment horizontal="left"/>
    </xf>
    <xf numFmtId="0" fontId="97" fillId="0" borderId="50" xfId="16306" applyFont="1" applyFill="1" applyBorder="1" applyAlignment="1">
      <alignment horizontal="center" wrapText="1"/>
    </xf>
    <xf numFmtId="3" fontId="20" fillId="0" borderId="0" xfId="6" applyNumberFormat="1" applyFont="1" applyFill="1" applyBorder="1" applyAlignment="1">
      <alignment horizontal="left" indent="1"/>
    </xf>
    <xf numFmtId="5" fontId="20" fillId="0" borderId="33" xfId="0" applyNumberFormat="1" applyFont="1" applyFill="1" applyBorder="1"/>
    <xf numFmtId="10" fontId="20" fillId="0" borderId="0" xfId="9" applyNumberFormat="1" applyFont="1" applyFill="1" applyBorder="1"/>
    <xf numFmtId="5" fontId="97" fillId="0" borderId="0" xfId="4" applyNumberFormat="1" applyFont="1" applyFill="1"/>
    <xf numFmtId="7" fontId="97" fillId="0" borderId="0" xfId="0" applyNumberFormat="1" applyFont="1" applyAlignment="1">
      <alignment horizontal="right"/>
    </xf>
    <xf numFmtId="5" fontId="20" fillId="113" borderId="0" xfId="4" applyNumberFormat="1" applyFont="1" applyFill="1"/>
    <xf numFmtId="5" fontId="20" fillId="0" borderId="32" xfId="4" applyNumberFormat="1" applyFont="1" applyFill="1" applyBorder="1"/>
    <xf numFmtId="5" fontId="20" fillId="0" borderId="0" xfId="0" applyNumberFormat="1" applyFont="1" applyAlignment="1">
      <alignment horizontal="left"/>
    </xf>
    <xf numFmtId="10" fontId="20" fillId="0" borderId="32" xfId="0" applyNumberFormat="1" applyFont="1" applyBorder="1"/>
    <xf numFmtId="5" fontId="97" fillId="0" borderId="46" xfId="4" applyNumberFormat="1" applyFont="1" applyFill="1" applyBorder="1"/>
    <xf numFmtId="0" fontId="97" fillId="113" borderId="0" xfId="0" applyFont="1" applyFill="1"/>
    <xf numFmtId="0" fontId="97" fillId="113" borderId="0" xfId="0" applyFont="1" applyFill="1" applyAlignment="1">
      <alignment horizontal="center"/>
    </xf>
    <xf numFmtId="0" fontId="20" fillId="113" borderId="0" xfId="0" applyFont="1" applyFill="1"/>
    <xf numFmtId="0" fontId="98" fillId="113" borderId="0" xfId="0" applyFont="1" applyFill="1" applyAlignment="1">
      <alignment horizontal="center"/>
    </xf>
    <xf numFmtId="5" fontId="20" fillId="113" borderId="0" xfId="0" applyNumberFormat="1" applyFont="1" applyFill="1" applyAlignment="1">
      <alignment horizontal="left"/>
    </xf>
    <xf numFmtId="10" fontId="20" fillId="113" borderId="32" xfId="1" applyNumberFormat="1" applyFont="1" applyFill="1" applyBorder="1"/>
    <xf numFmtId="10" fontId="20" fillId="113" borderId="32" xfId="0" applyNumberFormat="1" applyFont="1" applyFill="1" applyBorder="1"/>
    <xf numFmtId="0" fontId="20" fillId="113" borderId="0" xfId="0" applyFont="1" applyFill="1" applyAlignment="1">
      <alignment horizontal="left"/>
    </xf>
    <xf numFmtId="10" fontId="20" fillId="113" borderId="0" xfId="1" applyNumberFormat="1" applyFont="1" applyFill="1" applyBorder="1"/>
    <xf numFmtId="10" fontId="20" fillId="113" borderId="0" xfId="0" applyNumberFormat="1" applyFont="1" applyFill="1" applyBorder="1"/>
    <xf numFmtId="7" fontId="20" fillId="113" borderId="0" xfId="0" applyNumberFormat="1" applyFont="1" applyFill="1"/>
    <xf numFmtId="5" fontId="97" fillId="113" borderId="0" xfId="4" applyNumberFormat="1" applyFont="1" applyFill="1" applyBorder="1"/>
    <xf numFmtId="5" fontId="97" fillId="0" borderId="34" xfId="7" applyNumberFormat="1" applyFont="1" applyFill="1" applyBorder="1" applyAlignment="1">
      <alignment vertical="center"/>
    </xf>
    <xf numFmtId="164" fontId="97" fillId="0" borderId="34" xfId="7" applyNumberFormat="1" applyFont="1" applyFill="1" applyBorder="1" applyAlignment="1">
      <alignment vertical="center"/>
    </xf>
    <xf numFmtId="0" fontId="5" fillId="0" borderId="0" xfId="24911" applyFont="1"/>
    <xf numFmtId="0" fontId="97" fillId="0" borderId="0" xfId="0" applyFont="1" applyFill="1" applyAlignment="1">
      <alignment horizontal="right"/>
    </xf>
    <xf numFmtId="0" fontId="5" fillId="0" borderId="0" xfId="24911" applyFont="1" applyAlignment="1">
      <alignment horizontal="center"/>
    </xf>
    <xf numFmtId="0" fontId="5" fillId="0" borderId="32" xfId="24911" applyFont="1" applyBorder="1" applyAlignment="1">
      <alignment horizontal="center"/>
    </xf>
    <xf numFmtId="0" fontId="5" fillId="0" borderId="32" xfId="24911" applyFont="1" applyBorder="1"/>
    <xf numFmtId="0" fontId="6" fillId="0" borderId="0" xfId="31688" applyFont="1" applyFill="1" applyAlignment="1">
      <alignment horizontal="center"/>
    </xf>
    <xf numFmtId="0" fontId="20" fillId="0" borderId="0" xfId="31683" applyFont="1"/>
    <xf numFmtId="0" fontId="6" fillId="0" borderId="0" xfId="31688" applyFont="1" applyAlignment="1">
      <alignment horizontal="center"/>
    </xf>
    <xf numFmtId="0" fontId="20" fillId="0" borderId="0" xfId="31683" quotePrefix="1" applyFont="1" applyAlignment="1">
      <alignment horizontal="center"/>
    </xf>
    <xf numFmtId="0" fontId="6" fillId="0" borderId="0" xfId="31688" applyFont="1" applyAlignment="1">
      <alignment horizontal="center" wrapText="1"/>
    </xf>
    <xf numFmtId="0" fontId="20" fillId="0" borderId="26" xfId="31683" applyFont="1" applyBorder="1"/>
    <xf numFmtId="14" fontId="20" fillId="0" borderId="26" xfId="31683" applyNumberFormat="1" applyFont="1" applyBorder="1" applyAlignment="1">
      <alignment horizontal="center"/>
    </xf>
    <xf numFmtId="198" fontId="20" fillId="0" borderId="26" xfId="31683" applyNumberFormat="1" applyFont="1" applyBorder="1" applyAlignment="1">
      <alignment horizontal="center"/>
    </xf>
    <xf numFmtId="0" fontId="98" fillId="0" borderId="0" xfId="24911" applyFont="1" applyAlignment="1">
      <alignment horizontal="center"/>
    </xf>
    <xf numFmtId="0" fontId="5" fillId="0" borderId="0" xfId="31688" applyFont="1"/>
    <xf numFmtId="37" fontId="20" fillId="0" borderId="0" xfId="31683" applyNumberFormat="1" applyFont="1"/>
    <xf numFmtId="0" fontId="20" fillId="0" borderId="0" xfId="24911" applyFont="1"/>
    <xf numFmtId="0" fontId="20" fillId="0" borderId="32" xfId="31683" applyFont="1" applyBorder="1"/>
    <xf numFmtId="37" fontId="20" fillId="0" borderId="32" xfId="31683" applyNumberFormat="1" applyFont="1" applyBorder="1"/>
    <xf numFmtId="0" fontId="20" fillId="113" borderId="0" xfId="31683" applyFont="1" applyFill="1" applyAlignment="1">
      <alignment horizontal="left"/>
    </xf>
    <xf numFmtId="37" fontId="20" fillId="113" borderId="0" xfId="31683" applyNumberFormat="1" applyFont="1" applyFill="1"/>
    <xf numFmtId="0" fontId="20" fillId="113" borderId="0" xfId="31683" applyFont="1" applyFill="1" applyAlignment="1">
      <alignment horizontal="center"/>
    </xf>
    <xf numFmtId="0" fontId="20" fillId="0" borderId="0" xfId="31683" applyFont="1" applyAlignment="1">
      <alignment horizontal="right"/>
    </xf>
    <xf numFmtId="0" fontId="20" fillId="0" borderId="0" xfId="31688" applyFont="1" applyAlignment="1">
      <alignment horizontal="center"/>
    </xf>
    <xf numFmtId="0" fontId="20" fillId="0" borderId="0" xfId="24911" applyFont="1" applyAlignment="1">
      <alignment horizontal="center"/>
    </xf>
    <xf numFmtId="37" fontId="20" fillId="0" borderId="0" xfId="24911" applyNumberFormat="1" applyFont="1" applyAlignment="1">
      <alignment horizontal="center"/>
    </xf>
    <xf numFmtId="37" fontId="20" fillId="0" borderId="32" xfId="31683" applyNumberFormat="1" applyFont="1" applyFill="1" applyBorder="1"/>
    <xf numFmtId="166" fontId="20" fillId="0" borderId="0" xfId="4" applyNumberFormat="1" applyFont="1" applyAlignment="1">
      <alignment horizontal="center"/>
    </xf>
    <xf numFmtId="0" fontId="5" fillId="0" borderId="0" xfId="24911" applyFont="1" applyFill="1"/>
    <xf numFmtId="37" fontId="20" fillId="0" borderId="0" xfId="31683" applyNumberFormat="1" applyFont="1" applyFill="1"/>
    <xf numFmtId="0" fontId="97" fillId="0" borderId="0" xfId="31683" applyFont="1" applyFill="1" applyAlignment="1">
      <alignment horizontal="center"/>
    </xf>
    <xf numFmtId="0" fontId="20" fillId="0" borderId="0" xfId="31683" applyFont="1" applyFill="1" applyAlignment="1">
      <alignment horizontal="center"/>
    </xf>
    <xf numFmtId="37" fontId="20" fillId="0" borderId="0" xfId="31683" applyNumberFormat="1" applyFont="1" applyFill="1" applyAlignment="1">
      <alignment horizontal="center"/>
    </xf>
    <xf numFmtId="0" fontId="5" fillId="0" borderId="0" xfId="31688" applyFont="1" applyFill="1" applyAlignment="1">
      <alignment horizontal="center" vertical="top"/>
    </xf>
    <xf numFmtId="0" fontId="98" fillId="0" borderId="0" xfId="0" applyFont="1" applyFill="1" applyAlignment="1">
      <alignment horizontal="center" wrapText="1"/>
    </xf>
    <xf numFmtId="10" fontId="20" fillId="0" borderId="0" xfId="47" applyNumberFormat="1" applyFont="1" applyFill="1"/>
    <xf numFmtId="5" fontId="20" fillId="0" borderId="0" xfId="1" applyNumberFormat="1" applyFont="1" applyFill="1"/>
    <xf numFmtId="10" fontId="97" fillId="0" borderId="0" xfId="1" applyNumberFormat="1" applyFont="1" applyFill="1"/>
    <xf numFmtId="6" fontId="20" fillId="113" borderId="0" xfId="0" applyNumberFormat="1" applyFont="1" applyFill="1"/>
    <xf numFmtId="167" fontId="96" fillId="0" borderId="39" xfId="47" applyNumberFormat="1" applyFont="1" applyFill="1" applyBorder="1"/>
    <xf numFmtId="0" fontId="2" fillId="0" borderId="0" xfId="0" applyFont="1" applyAlignment="1">
      <alignment horizontal="center"/>
    </xf>
    <xf numFmtId="0" fontId="2" fillId="113" borderId="50" xfId="0" applyFont="1" applyFill="1" applyBorder="1" applyAlignment="1">
      <alignment horizontal="center" wrapText="1"/>
    </xf>
    <xf numFmtId="0" fontId="2" fillId="113" borderId="53" xfId="0" applyFont="1" applyFill="1" applyBorder="1" applyAlignment="1">
      <alignment horizontal="center" wrapText="1"/>
    </xf>
    <xf numFmtId="0" fontId="97" fillId="113" borderId="53" xfId="0" applyFont="1" applyFill="1" applyBorder="1" applyAlignment="1">
      <alignment horizontal="center" vertical="top" wrapText="1"/>
    </xf>
    <xf numFmtId="6" fontId="100" fillId="114" borderId="0" xfId="0" applyNumberFormat="1" applyFont="1" applyFill="1"/>
    <xf numFmtId="6" fontId="100" fillId="115" borderId="0" xfId="0" applyNumberFormat="1" applyFont="1" applyFill="1"/>
    <xf numFmtId="6" fontId="100" fillId="115" borderId="32" xfId="0" applyNumberFormat="1" applyFont="1" applyFill="1" applyBorder="1"/>
    <xf numFmtId="0" fontId="100" fillId="0" borderId="0" xfId="0" applyFont="1"/>
    <xf numFmtId="5" fontId="98" fillId="0" borderId="0" xfId="0" applyNumberFormat="1" applyFont="1" applyAlignment="1">
      <alignment horizontal="center"/>
    </xf>
    <xf numFmtId="49" fontId="0" fillId="0" borderId="0" xfId="0" applyNumberFormat="1" applyAlignment="1">
      <alignment horizontal="center" vertical="center"/>
    </xf>
    <xf numFmtId="0" fontId="0" fillId="0" borderId="0" xfId="0" applyNumberFormat="1" applyAlignment="1">
      <alignment horizontal="right"/>
    </xf>
    <xf numFmtId="0" fontId="0" fillId="111" borderId="0" xfId="0" applyFill="1" applyAlignment="1">
      <alignment horizontal="center"/>
    </xf>
    <xf numFmtId="0" fontId="99" fillId="0" borderId="0" xfId="47" applyFont="1" applyFill="1" applyAlignment="1">
      <alignment horizontal="center"/>
    </xf>
    <xf numFmtId="5" fontId="0" fillId="113" borderId="0" xfId="0" applyNumberFormat="1" applyFont="1" applyFill="1"/>
    <xf numFmtId="5" fontId="20" fillId="113" borderId="34" xfId="0" applyNumberFormat="1" applyFont="1" applyFill="1" applyBorder="1"/>
    <xf numFmtId="37" fontId="99" fillId="0" borderId="0" xfId="0" applyNumberFormat="1" applyFont="1" applyFill="1"/>
    <xf numFmtId="166" fontId="23" fillId="0" borderId="0" xfId="4" applyNumberFormat="1" applyFont="1"/>
    <xf numFmtId="0" fontId="97" fillId="113" borderId="0" xfId="0" applyFont="1" applyFill="1" applyAlignment="1">
      <alignment horizontal="left" vertical="center"/>
    </xf>
    <xf numFmtId="9" fontId="20" fillId="111" borderId="0" xfId="1" applyNumberFormat="1" applyFont="1" applyFill="1"/>
    <xf numFmtId="0" fontId="0" fillId="0" borderId="0" xfId="0" applyFont="1" applyFill="1" applyAlignment="1">
      <alignment horizontal="left"/>
    </xf>
    <xf numFmtId="43" fontId="23" fillId="0" borderId="0" xfId="4" applyFont="1"/>
    <xf numFmtId="204" fontId="20" fillId="0" borderId="0" xfId="47" applyNumberFormat="1" applyFont="1"/>
    <xf numFmtId="0" fontId="94" fillId="0" borderId="0" xfId="0" applyFont="1" applyAlignment="1">
      <alignment horizontal="center"/>
    </xf>
    <xf numFmtId="0" fontId="95" fillId="0" borderId="0" xfId="0" applyFont="1" applyAlignment="1">
      <alignment horizontal="center"/>
    </xf>
    <xf numFmtId="0" fontId="2" fillId="0" borderId="0" xfId="0" applyFont="1" applyAlignment="1">
      <alignment horizontal="center"/>
    </xf>
    <xf numFmtId="0" fontId="0" fillId="0" borderId="37" xfId="0" applyBorder="1" applyAlignment="1">
      <alignment horizontal="left" wrapText="1"/>
    </xf>
    <xf numFmtId="0" fontId="0" fillId="0" borderId="35" xfId="0" applyBorder="1" applyAlignment="1">
      <alignment horizontal="left" wrapText="1"/>
    </xf>
    <xf numFmtId="0" fontId="0" fillId="0" borderId="0" xfId="0" applyAlignment="1">
      <alignment horizontal="left" wrapText="1"/>
    </xf>
    <xf numFmtId="37" fontId="44" fillId="0" borderId="0" xfId="0" applyNumberFormat="1" applyFont="1" applyFill="1" applyBorder="1" applyAlignment="1" applyProtection="1">
      <alignment horizontal="left" wrapText="1"/>
      <protection locked="0"/>
    </xf>
    <xf numFmtId="0" fontId="2" fillId="0" borderId="0" xfId="0" applyFont="1" applyFill="1" applyAlignment="1">
      <alignment horizontal="left" wrapText="1"/>
    </xf>
    <xf numFmtId="0" fontId="2" fillId="0" borderId="32" xfId="0" applyFont="1" applyBorder="1" applyAlignment="1">
      <alignment horizontal="center"/>
    </xf>
    <xf numFmtId="0" fontId="20" fillId="0" borderId="0" xfId="0" applyFont="1" applyFill="1" applyAlignment="1">
      <alignment horizontal="left" wrapText="1"/>
    </xf>
    <xf numFmtId="37" fontId="6" fillId="0" borderId="0" xfId="0" applyNumberFormat="1" applyFont="1" applyFill="1" applyBorder="1" applyAlignment="1" applyProtection="1">
      <alignment horizontal="left"/>
      <protection locked="0"/>
    </xf>
    <xf numFmtId="17" fontId="20" fillId="0" borderId="0" xfId="6" quotePrefix="1" applyNumberFormat="1" applyFont="1" applyAlignment="1">
      <alignment horizontal="left" wrapText="1"/>
    </xf>
    <xf numFmtId="0" fontId="97" fillId="0" borderId="0" xfId="0" applyFont="1" applyFill="1" applyAlignment="1">
      <alignment horizontal="left" wrapText="1"/>
    </xf>
    <xf numFmtId="37" fontId="109" fillId="0" borderId="0" xfId="0" applyNumberFormat="1" applyFont="1" applyFill="1" applyAlignment="1" applyProtection="1">
      <alignment horizontal="left" wrapText="1"/>
      <protection locked="0"/>
    </xf>
    <xf numFmtId="0" fontId="2" fillId="113" borderId="51" xfId="0" applyFont="1" applyFill="1" applyBorder="1" applyAlignment="1">
      <alignment horizontal="center" wrapText="1"/>
    </xf>
    <xf numFmtId="0" fontId="2" fillId="113" borderId="49" xfId="0" applyFont="1" applyFill="1" applyBorder="1" applyAlignment="1">
      <alignment horizontal="center" wrapText="1"/>
    </xf>
    <xf numFmtId="37" fontId="5" fillId="0" borderId="0" xfId="0" applyNumberFormat="1" applyFont="1" applyFill="1" applyBorder="1" applyAlignment="1" applyProtection="1">
      <alignment horizontal="left" wrapText="1"/>
      <protection locked="0"/>
    </xf>
    <xf numFmtId="0" fontId="20" fillId="0" borderId="0" xfId="0" applyFont="1" applyFill="1" applyAlignment="1">
      <alignment horizontal="left"/>
    </xf>
    <xf numFmtId="0" fontId="0" fillId="0" borderId="0" xfId="0" applyFont="1" applyFill="1" applyAlignment="1">
      <alignment horizontal="left" vertical="center" wrapText="1"/>
    </xf>
    <xf numFmtId="0" fontId="2" fillId="0" borderId="0" xfId="0" applyFont="1" applyAlignment="1">
      <alignment horizontal="center" vertical="center" wrapText="1"/>
    </xf>
    <xf numFmtId="0" fontId="2" fillId="0" borderId="32" xfId="0" applyFont="1" applyBorder="1" applyAlignment="1">
      <alignment horizontal="center" vertical="center" wrapText="1"/>
    </xf>
    <xf numFmtId="198" fontId="103" fillId="0" borderId="0" xfId="10" applyNumberFormat="1" applyFont="1" applyFill="1" applyAlignment="1">
      <alignment horizontal="left" wrapText="1"/>
    </xf>
    <xf numFmtId="0" fontId="97" fillId="0" borderId="0" xfId="24673" applyFont="1" applyAlignment="1">
      <alignment horizontal="center"/>
    </xf>
    <xf numFmtId="0" fontId="97" fillId="0" borderId="32" xfId="24673" applyFont="1" applyBorder="1" applyAlignment="1">
      <alignment horizontal="center"/>
    </xf>
    <xf numFmtId="0" fontId="20" fillId="0" borderId="0" xfId="0" applyFont="1" applyFill="1" applyAlignment="1">
      <alignment wrapText="1"/>
    </xf>
    <xf numFmtId="0" fontId="20" fillId="0" borderId="0" xfId="0" applyFont="1" applyFill="1" applyAlignment="1">
      <alignment horizontal="left" vertical="center" wrapText="1"/>
    </xf>
    <xf numFmtId="0" fontId="100" fillId="0" borderId="0" xfId="0" applyFont="1" applyAlignment="1">
      <alignment wrapText="1"/>
    </xf>
    <xf numFmtId="0" fontId="0" fillId="0" borderId="0" xfId="0" applyFont="1" applyAlignment="1">
      <alignment wrapText="1"/>
    </xf>
    <xf numFmtId="0" fontId="0" fillId="0" borderId="0" xfId="0" applyFont="1" applyFill="1" applyAlignment="1">
      <alignment horizontal="left"/>
    </xf>
    <xf numFmtId="0" fontId="5" fillId="0" borderId="32" xfId="24911" applyFont="1" applyBorder="1" applyAlignment="1">
      <alignment horizontal="center"/>
    </xf>
    <xf numFmtId="0" fontId="110" fillId="0" borderId="48" xfId="0" applyFont="1" applyBorder="1" applyAlignment="1">
      <alignment horizontal="center" vertical="center" wrapText="1"/>
    </xf>
    <xf numFmtId="37" fontId="97" fillId="0" borderId="48" xfId="31683" applyNumberFormat="1" applyFont="1" applyBorder="1" applyAlignment="1">
      <alignment horizontal="center"/>
    </xf>
    <xf numFmtId="0" fontId="5" fillId="0" borderId="0" xfId="31688" applyFont="1" applyFill="1" applyAlignment="1">
      <alignment horizontal="left" wrapText="1"/>
    </xf>
    <xf numFmtId="0" fontId="0" fillId="0" borderId="0" xfId="0" applyFont="1" applyAlignment="1">
      <alignment horizontal="left" wrapText="1"/>
    </xf>
    <xf numFmtId="0" fontId="2" fillId="0" borderId="51" xfId="0" applyFont="1" applyBorder="1" applyAlignment="1">
      <alignment horizontal="center"/>
    </xf>
    <xf numFmtId="0" fontId="2" fillId="0" borderId="15" xfId="0" applyFont="1" applyBorder="1" applyAlignment="1">
      <alignment horizontal="center"/>
    </xf>
    <xf numFmtId="0" fontId="2" fillId="0" borderId="49" xfId="0" applyFont="1" applyBorder="1" applyAlignment="1">
      <alignment horizontal="center"/>
    </xf>
    <xf numFmtId="0" fontId="2" fillId="0" borderId="50" xfId="0" applyFont="1" applyBorder="1" applyAlignment="1">
      <alignment horizontal="center"/>
    </xf>
    <xf numFmtId="0" fontId="2" fillId="0" borderId="52" xfId="0" applyFont="1" applyBorder="1" applyAlignment="1">
      <alignment horizontal="center"/>
    </xf>
    <xf numFmtId="0" fontId="2" fillId="0" borderId="44" xfId="0" applyFont="1" applyBorder="1" applyAlignment="1">
      <alignment horizontal="right"/>
    </xf>
    <xf numFmtId="0" fontId="2" fillId="0" borderId="40" xfId="0" applyFont="1" applyBorder="1" applyAlignment="1">
      <alignment horizontal="center" wrapText="1"/>
    </xf>
    <xf numFmtId="0" fontId="2" fillId="0" borderId="42" xfId="0" applyFont="1" applyBorder="1" applyAlignment="1">
      <alignment horizontal="center" wrapText="1"/>
    </xf>
    <xf numFmtId="0" fontId="2" fillId="0" borderId="51" xfId="0" applyFont="1" applyBorder="1" applyAlignment="1">
      <alignment horizontal="center" wrapText="1"/>
    </xf>
    <xf numFmtId="0" fontId="2" fillId="0" borderId="15" xfId="0" applyFont="1" applyBorder="1" applyAlignment="1">
      <alignment horizontal="center" wrapText="1"/>
    </xf>
    <xf numFmtId="0" fontId="2" fillId="0" borderId="49" xfId="0" applyFont="1" applyBorder="1" applyAlignment="1">
      <alignment horizontal="center" wrapText="1"/>
    </xf>
    <xf numFmtId="0" fontId="0" fillId="0" borderId="0" xfId="0" applyFont="1" applyFill="1" applyBorder="1" applyAlignment="1">
      <alignment horizontal="left" vertical="top" wrapText="1"/>
    </xf>
    <xf numFmtId="0" fontId="2" fillId="0" borderId="0" xfId="0" applyFont="1" applyFill="1" applyBorder="1" applyAlignment="1">
      <alignment horizontal="center" vertical="top"/>
    </xf>
    <xf numFmtId="0" fontId="0" fillId="113" borderId="0" xfId="0" applyFill="1" applyAlignment="1">
      <alignment horizontal="left" vertical="top" wrapText="1"/>
    </xf>
  </cellXfs>
  <cellStyles count="31689">
    <cellStyle name="_x000a__x000a_JournalTemplate=C:\COMFO\CTALK\JOURSTD.TPL_x000a__x000a_LbStateAddress=3 3 0 251 1 89 2 311_x000a__x000a_LbStateJou" xfId="79" xr:uid="{00000000-0005-0000-0000-00004F000000}"/>
    <cellStyle name="_x000a__x000a_JournalTemplate=C:\COMFO\CTALK\JOURSTD.TPL_x000a__x000a_LbStateAddress=3 3 0 251 1 89 2 311_x000a__x000a_LbStateJou 2" xfId="80" xr:uid="{00000000-0005-0000-0000-000050000000}"/>
    <cellStyle name="_x000a__x000a_JournalTemplate=C:\COMFO\CTALK\JOURSTD.TPL_x000a__x000a_LbStateAddress=3 3 0 251 1 89 2 311_x000a__x000a_LbStateJou 2 2" xfId="81" xr:uid="{00000000-0005-0000-0000-000051000000}"/>
    <cellStyle name="_x000a__x000a_JournalTemplate=C:\COMFO\CTALK\JOURSTD.TPL_x000a__x000a_LbStateAddress=3 3 0 251 1 89 2 311_x000a__x000a_LbStateJou 3" xfId="82" xr:uid="{00000000-0005-0000-0000-000052000000}"/>
    <cellStyle name="_x000a__x000a_JournalTemplate=C:\COMFO\CTALK\JOURSTD.TPL_x000a__x000a_LbStateAddress=3 3 0 251 1 89 2 311_x000a__x000a_LbStateJou 3 2" xfId="83" xr:uid="{00000000-0005-0000-0000-000053000000}"/>
    <cellStyle name="_x000a__x000a_JournalTemplate=C:\COMFO\CTALK\JOURSTD.TPL_x000a__x000a_LbStateAddress=3 3 0 251 1 89 2 311_x000a__x000a_LbStateJou 3 2 2" xfId="84" xr:uid="{00000000-0005-0000-0000-000054000000}"/>
    <cellStyle name="_x000a__x000a_JournalTemplate=C:\COMFO\CTALK\JOURSTD.TPL_x000a__x000a_LbStateAddress=3 3 0 251 1 89 2 311_x000a__x000a_LbStateJou 3 3" xfId="85" xr:uid="{00000000-0005-0000-0000-000055000000}"/>
    <cellStyle name="_x000a__x000a_JournalTemplate=C:\COMFO\CTALK\JOURSTD.TPL_x000a__x000a_LbStateAddress=3 3 0 251 1 89 2 311_x000a__x000a_LbStateJou 4" xfId="86" xr:uid="{00000000-0005-0000-0000-000056000000}"/>
    <cellStyle name="_x000d__x000a_JournalTemplate=C:\COMFO\CTALK\JOURSTD.TPL_x000d__x000a_LbStateAddress=3 3 0 251 1 89 2 311_x000d__x000a_LbStateJou" xfId="87" xr:uid="{00000000-0005-0000-0000-000057000000}"/>
    <cellStyle name="_x000d__x000a_JournalTemplate=C:\COMFO\CTALK\JOURSTD.TPL_x000d__x000a_LbStateAddress=3 3 0 251 1 89 2 311_x000d__x000a_LbStateJou 2" xfId="88" xr:uid="{00000000-0005-0000-0000-000058000000}"/>
    <cellStyle name="_x000d__x000a_JournalTemplate=C:\COMFO\CTALK\JOURSTD.TPL_x000d__x000a_LbStateAddress=3 3 0 251 1 89 2 311_x000d__x000a_LbStateJou 2 2" xfId="89" xr:uid="{00000000-0005-0000-0000-000059000000}"/>
    <cellStyle name="_x000d__x000a_JournalTemplate=C:\COMFO\CTALK\JOURSTD.TPL_x000d__x000a_LbStateAddress=3 3 0 251 1 89 2 311_x000d__x000a_LbStateJou 3" xfId="90" xr:uid="{00000000-0005-0000-0000-00005A000000}"/>
    <cellStyle name="_x000d__x000a_JournalTemplate=C:\COMFO\CTALK\JOURSTD.TPL_x000d__x000a_LbStateAddress=3 3 0 251 1 89 2 311_x000d__x000a_LbStateJou 3 2" xfId="91" xr:uid="{00000000-0005-0000-0000-00005B000000}"/>
    <cellStyle name="_x000d__x000a_JournalTemplate=C:\COMFO\CTALK\JOURSTD.TPL_x000d__x000a_LbStateAddress=3 3 0 251 1 89 2 311_x000d__x000a_LbStateJou 3 2 2" xfId="92" xr:uid="{00000000-0005-0000-0000-00005C000000}"/>
    <cellStyle name="_x000d__x000a_JournalTemplate=C:\COMFO\CTALK\JOURSTD.TPL_x000d__x000a_LbStateAddress=3 3 0 251 1 89 2 311_x000d__x000a_LbStateJou 3 3" xfId="93" xr:uid="{00000000-0005-0000-0000-00005D000000}"/>
    <cellStyle name="_x000d__x000a_JournalTemplate=C:\COMFO\CTALK\JOURSTD.TPL_x000d__x000a_LbStateAddress=3 3 0 251 1 89 2 311_x000d__x000a_LbStateJou 4" xfId="94" xr:uid="{00000000-0005-0000-0000-00005E000000}"/>
    <cellStyle name="*MB Hardwired" xfId="95" xr:uid="{00000000-0005-0000-0000-00005F000000}"/>
    <cellStyle name="*MB Hardwired 2" xfId="96" xr:uid="{00000000-0005-0000-0000-000060000000}"/>
    <cellStyle name="*MB Input Table Calc" xfId="97" xr:uid="{00000000-0005-0000-0000-000061000000}"/>
    <cellStyle name="*MB Input Table Calc 2" xfId="98" xr:uid="{00000000-0005-0000-0000-000062000000}"/>
    <cellStyle name="*MB Normal" xfId="99" xr:uid="{00000000-0005-0000-0000-000063000000}"/>
    <cellStyle name="*MB Normal 2" xfId="100" xr:uid="{00000000-0005-0000-0000-000064000000}"/>
    <cellStyle name="*MB Normal 2 2" xfId="101" xr:uid="{00000000-0005-0000-0000-000065000000}"/>
    <cellStyle name="*MB Normal 3" xfId="102" xr:uid="{00000000-0005-0000-0000-000066000000}"/>
    <cellStyle name="*MB Placeholder" xfId="103" xr:uid="{00000000-0005-0000-0000-000067000000}"/>
    <cellStyle name="*MB Placeholder 2" xfId="104" xr:uid="{00000000-0005-0000-0000-000068000000}"/>
    <cellStyle name=":¨áy¡’?(" xfId="105" xr:uid="{00000000-0005-0000-0000-000069000000}"/>
    <cellStyle name=":¨áy¡’?( 2" xfId="106" xr:uid="{00000000-0005-0000-0000-00006A000000}"/>
    <cellStyle name=":¨áy¡’?( 3" xfId="107" xr:uid="{00000000-0005-0000-0000-00006B000000}"/>
    <cellStyle name=":¨áy¡’?( 3 2" xfId="108" xr:uid="{00000000-0005-0000-0000-00006C000000}"/>
    <cellStyle name=":¨áy¡’?( 4" xfId="109" xr:uid="{00000000-0005-0000-0000-00006D000000}"/>
    <cellStyle name=":¨áy¡’?( 5" xfId="110" xr:uid="{00000000-0005-0000-0000-00006E000000}"/>
    <cellStyle name="?? [0]_??" xfId="111" xr:uid="{00000000-0005-0000-0000-00006F000000}"/>
    <cellStyle name="???" xfId="112" xr:uid="{00000000-0005-0000-0000-000070000000}"/>
    <cellStyle name="??? 2" xfId="113" xr:uid="{00000000-0005-0000-0000-000071000000}"/>
    <cellStyle name="??_?.????" xfId="114" xr:uid="{00000000-0005-0000-0000-000072000000}"/>
    <cellStyle name="_Base Case (Rev 3)" xfId="115" xr:uid="{00000000-0005-0000-0000-000073000000}"/>
    <cellStyle name="_Base Case (Rev 3) 2" xfId="116" xr:uid="{00000000-0005-0000-0000-000074000000}"/>
    <cellStyle name="_Base Case (Rev 3) 2 2" xfId="117" xr:uid="{00000000-0005-0000-0000-000075000000}"/>
    <cellStyle name="_Base Case (Rev 3) 2 2 2" xfId="118" xr:uid="{00000000-0005-0000-0000-000076000000}"/>
    <cellStyle name="_Base Case (Rev 3) 2 3" xfId="119" xr:uid="{00000000-0005-0000-0000-000077000000}"/>
    <cellStyle name="_Base Case (Rev 3) 3" xfId="120" xr:uid="{00000000-0005-0000-0000-000078000000}"/>
    <cellStyle name="_Base Case (Rev 3) 3 2" xfId="121" xr:uid="{00000000-0005-0000-0000-000079000000}"/>
    <cellStyle name="_Base Case (Rev 3) 4" xfId="122" xr:uid="{00000000-0005-0000-0000-00007A000000}"/>
    <cellStyle name="20% - Accent1 2" xfId="123" xr:uid="{00000000-0005-0000-0000-00007B000000}"/>
    <cellStyle name="20% - Accent1 2 10" xfId="124" xr:uid="{00000000-0005-0000-0000-00007C000000}"/>
    <cellStyle name="20% - Accent1 2 10 2" xfId="125" xr:uid="{00000000-0005-0000-0000-00007D000000}"/>
    <cellStyle name="20% - Accent1 2 11" xfId="126" xr:uid="{00000000-0005-0000-0000-00007E000000}"/>
    <cellStyle name="20% - Accent1 2 2" xfId="127" xr:uid="{00000000-0005-0000-0000-00007F000000}"/>
    <cellStyle name="20% - Accent1 2 2 2" xfId="128" xr:uid="{00000000-0005-0000-0000-000080000000}"/>
    <cellStyle name="20% - Accent1 2 2 2 2" xfId="129" xr:uid="{00000000-0005-0000-0000-000081000000}"/>
    <cellStyle name="20% - Accent1 2 2 2 2 2" xfId="130" xr:uid="{00000000-0005-0000-0000-000082000000}"/>
    <cellStyle name="20% - Accent1 2 2 2 3" xfId="131" xr:uid="{00000000-0005-0000-0000-000083000000}"/>
    <cellStyle name="20% - Accent1 2 2 2 3 2" xfId="132" xr:uid="{00000000-0005-0000-0000-000084000000}"/>
    <cellStyle name="20% - Accent1 2 2 2 3 2 2" xfId="133" xr:uid="{00000000-0005-0000-0000-000085000000}"/>
    <cellStyle name="20% - Accent1 2 2 2 3 3" xfId="134" xr:uid="{00000000-0005-0000-0000-000086000000}"/>
    <cellStyle name="20% - Accent1 2 2 2 4" xfId="135" xr:uid="{00000000-0005-0000-0000-000087000000}"/>
    <cellStyle name="20% - Accent1 2 2 3" xfId="136" xr:uid="{00000000-0005-0000-0000-000088000000}"/>
    <cellStyle name="20% - Accent1 2 2 3 2" xfId="137" xr:uid="{00000000-0005-0000-0000-000089000000}"/>
    <cellStyle name="20% - Accent1 2 2 3 2 2" xfId="138" xr:uid="{00000000-0005-0000-0000-00008A000000}"/>
    <cellStyle name="20% - Accent1 2 2 3 3" xfId="139" xr:uid="{00000000-0005-0000-0000-00008B000000}"/>
    <cellStyle name="20% - Accent1 2 2 4" xfId="140" xr:uid="{00000000-0005-0000-0000-00008C000000}"/>
    <cellStyle name="20% - Accent1 2 2 4 2" xfId="141" xr:uid="{00000000-0005-0000-0000-00008D000000}"/>
    <cellStyle name="20% - Accent1 2 2 4 2 2" xfId="142" xr:uid="{00000000-0005-0000-0000-00008E000000}"/>
    <cellStyle name="20% - Accent1 2 2 4 2 2 2" xfId="143" xr:uid="{00000000-0005-0000-0000-00008F000000}"/>
    <cellStyle name="20% - Accent1 2 2 4 2 3" xfId="144" xr:uid="{00000000-0005-0000-0000-000090000000}"/>
    <cellStyle name="20% - Accent1 2 2 4 3" xfId="145" xr:uid="{00000000-0005-0000-0000-000091000000}"/>
    <cellStyle name="20% - Accent1 2 2 4 3 2" xfId="146" xr:uid="{00000000-0005-0000-0000-000092000000}"/>
    <cellStyle name="20% - Accent1 2 2 4 4" xfId="147" xr:uid="{00000000-0005-0000-0000-000093000000}"/>
    <cellStyle name="20% - Accent1 2 2 5" xfId="148" xr:uid="{00000000-0005-0000-0000-000094000000}"/>
    <cellStyle name="20% - Accent1 2 2 5 2" xfId="149" xr:uid="{00000000-0005-0000-0000-000095000000}"/>
    <cellStyle name="20% - Accent1 2 2 6" xfId="150" xr:uid="{00000000-0005-0000-0000-000096000000}"/>
    <cellStyle name="20% - Accent1 2 3" xfId="151" xr:uid="{00000000-0005-0000-0000-000097000000}"/>
    <cellStyle name="20% - Accent1 2 3 2" xfId="152" xr:uid="{00000000-0005-0000-0000-000098000000}"/>
    <cellStyle name="20% - Accent1 2 3 2 2" xfId="153" xr:uid="{00000000-0005-0000-0000-000099000000}"/>
    <cellStyle name="20% - Accent1 2 3 2 2 2" xfId="154" xr:uid="{00000000-0005-0000-0000-00009A000000}"/>
    <cellStyle name="20% - Accent1 2 3 2 3" xfId="155" xr:uid="{00000000-0005-0000-0000-00009B000000}"/>
    <cellStyle name="20% - Accent1 2 3 3" xfId="156" xr:uid="{00000000-0005-0000-0000-00009C000000}"/>
    <cellStyle name="20% - Accent1 2 3 3 2" xfId="157" xr:uid="{00000000-0005-0000-0000-00009D000000}"/>
    <cellStyle name="20% - Accent1 2 3 3 2 2" xfId="158" xr:uid="{00000000-0005-0000-0000-00009E000000}"/>
    <cellStyle name="20% - Accent1 2 3 3 2 2 2" xfId="159" xr:uid="{00000000-0005-0000-0000-00009F000000}"/>
    <cellStyle name="20% - Accent1 2 3 3 2 3" xfId="160" xr:uid="{00000000-0005-0000-0000-0000A0000000}"/>
    <cellStyle name="20% - Accent1 2 3 3 3" xfId="161" xr:uid="{00000000-0005-0000-0000-0000A1000000}"/>
    <cellStyle name="20% - Accent1 2 3 3 3 2" xfId="162" xr:uid="{00000000-0005-0000-0000-0000A2000000}"/>
    <cellStyle name="20% - Accent1 2 3 3 4" xfId="163" xr:uid="{00000000-0005-0000-0000-0000A3000000}"/>
    <cellStyle name="20% - Accent1 2 3 4" xfId="164" xr:uid="{00000000-0005-0000-0000-0000A4000000}"/>
    <cellStyle name="20% - Accent1 2 3 4 2" xfId="165" xr:uid="{00000000-0005-0000-0000-0000A5000000}"/>
    <cellStyle name="20% - Accent1 2 3 5" xfId="166" xr:uid="{00000000-0005-0000-0000-0000A6000000}"/>
    <cellStyle name="20% - Accent1 2 4" xfId="167" xr:uid="{00000000-0005-0000-0000-0000A7000000}"/>
    <cellStyle name="20% - Accent1 2 4 2" xfId="168" xr:uid="{00000000-0005-0000-0000-0000A8000000}"/>
    <cellStyle name="20% - Accent1 2 4 2 2" xfId="169" xr:uid="{00000000-0005-0000-0000-0000A9000000}"/>
    <cellStyle name="20% - Accent1 2 4 2 2 2" xfId="170" xr:uid="{00000000-0005-0000-0000-0000AA000000}"/>
    <cellStyle name="20% - Accent1 2 4 2 3" xfId="171" xr:uid="{00000000-0005-0000-0000-0000AB000000}"/>
    <cellStyle name="20% - Accent1 2 4 3" xfId="172" xr:uid="{00000000-0005-0000-0000-0000AC000000}"/>
    <cellStyle name="20% - Accent1 2 4 3 2" xfId="173" xr:uid="{00000000-0005-0000-0000-0000AD000000}"/>
    <cellStyle name="20% - Accent1 2 4 4" xfId="174" xr:uid="{00000000-0005-0000-0000-0000AE000000}"/>
    <cellStyle name="20% - Accent1 2 5" xfId="175" xr:uid="{00000000-0005-0000-0000-0000AF000000}"/>
    <cellStyle name="20% - Accent1 2 5 2" xfId="176" xr:uid="{00000000-0005-0000-0000-0000B0000000}"/>
    <cellStyle name="20% - Accent1 2 5 2 2" xfId="177" xr:uid="{00000000-0005-0000-0000-0000B1000000}"/>
    <cellStyle name="20% - Accent1 2 5 2 2 2" xfId="178" xr:uid="{00000000-0005-0000-0000-0000B2000000}"/>
    <cellStyle name="20% - Accent1 2 5 2 3" xfId="179" xr:uid="{00000000-0005-0000-0000-0000B3000000}"/>
    <cellStyle name="20% - Accent1 2 5 3" xfId="180" xr:uid="{00000000-0005-0000-0000-0000B4000000}"/>
    <cellStyle name="20% - Accent1 2 5 3 2" xfId="181" xr:uid="{00000000-0005-0000-0000-0000B5000000}"/>
    <cellStyle name="20% - Accent1 2 5 3 2 2" xfId="182" xr:uid="{00000000-0005-0000-0000-0000B6000000}"/>
    <cellStyle name="20% - Accent1 2 5 3 2 2 2" xfId="183" xr:uid="{00000000-0005-0000-0000-0000B7000000}"/>
    <cellStyle name="20% - Accent1 2 5 3 2 3" xfId="184" xr:uid="{00000000-0005-0000-0000-0000B8000000}"/>
    <cellStyle name="20% - Accent1 2 5 3 3" xfId="185" xr:uid="{00000000-0005-0000-0000-0000B9000000}"/>
    <cellStyle name="20% - Accent1 2 5 3 3 2" xfId="186" xr:uid="{00000000-0005-0000-0000-0000BA000000}"/>
    <cellStyle name="20% - Accent1 2 5 3 4" xfId="187" xr:uid="{00000000-0005-0000-0000-0000BB000000}"/>
    <cellStyle name="20% - Accent1 2 5 4" xfId="188" xr:uid="{00000000-0005-0000-0000-0000BC000000}"/>
    <cellStyle name="20% - Accent1 2 5 4 2" xfId="189" xr:uid="{00000000-0005-0000-0000-0000BD000000}"/>
    <cellStyle name="20% - Accent1 2 5 5" xfId="190" xr:uid="{00000000-0005-0000-0000-0000BE000000}"/>
    <cellStyle name="20% - Accent1 2 6" xfId="191" xr:uid="{00000000-0005-0000-0000-0000BF000000}"/>
    <cellStyle name="20% - Accent1 2 6 2" xfId="192" xr:uid="{00000000-0005-0000-0000-0000C0000000}"/>
    <cellStyle name="20% - Accent1 2 6 2 2" xfId="193" xr:uid="{00000000-0005-0000-0000-0000C1000000}"/>
    <cellStyle name="20% - Accent1 2 6 3" xfId="194" xr:uid="{00000000-0005-0000-0000-0000C2000000}"/>
    <cellStyle name="20% - Accent1 2 7" xfId="195" xr:uid="{00000000-0005-0000-0000-0000C3000000}"/>
    <cellStyle name="20% - Accent1 2 7 2" xfId="196" xr:uid="{00000000-0005-0000-0000-0000C4000000}"/>
    <cellStyle name="20% - Accent1 2 7 2 2" xfId="197" xr:uid="{00000000-0005-0000-0000-0000C5000000}"/>
    <cellStyle name="20% - Accent1 2 7 3" xfId="198" xr:uid="{00000000-0005-0000-0000-0000C6000000}"/>
    <cellStyle name="20% - Accent1 2 8" xfId="199" xr:uid="{00000000-0005-0000-0000-0000C7000000}"/>
    <cellStyle name="20% - Accent1 2 8 2" xfId="200" xr:uid="{00000000-0005-0000-0000-0000C8000000}"/>
    <cellStyle name="20% - Accent1 2 8 2 2" xfId="201" xr:uid="{00000000-0005-0000-0000-0000C9000000}"/>
    <cellStyle name="20% - Accent1 2 8 2 2 2" xfId="202" xr:uid="{00000000-0005-0000-0000-0000CA000000}"/>
    <cellStyle name="20% - Accent1 2 8 2 3" xfId="203" xr:uid="{00000000-0005-0000-0000-0000CB000000}"/>
    <cellStyle name="20% - Accent1 2 8 3" xfId="204" xr:uid="{00000000-0005-0000-0000-0000CC000000}"/>
    <cellStyle name="20% - Accent1 2 8 3 2" xfId="205" xr:uid="{00000000-0005-0000-0000-0000CD000000}"/>
    <cellStyle name="20% - Accent1 2 8 4" xfId="206" xr:uid="{00000000-0005-0000-0000-0000CE000000}"/>
    <cellStyle name="20% - Accent1 2 9" xfId="207" xr:uid="{00000000-0005-0000-0000-0000CF000000}"/>
    <cellStyle name="20% - Accent1 2 9 2" xfId="208" xr:uid="{00000000-0005-0000-0000-0000D0000000}"/>
    <cellStyle name="20% - Accent1 3" xfId="209" xr:uid="{00000000-0005-0000-0000-0000D1000000}"/>
    <cellStyle name="20% - Accent1 3 2" xfId="210" xr:uid="{00000000-0005-0000-0000-0000D2000000}"/>
    <cellStyle name="20% - Accent1 3 2 2" xfId="211" xr:uid="{00000000-0005-0000-0000-0000D3000000}"/>
    <cellStyle name="20% - Accent1 3 2 2 2" xfId="212" xr:uid="{00000000-0005-0000-0000-0000D4000000}"/>
    <cellStyle name="20% - Accent1 3 2 3" xfId="213" xr:uid="{00000000-0005-0000-0000-0000D5000000}"/>
    <cellStyle name="20% - Accent1 3 3" xfId="214" xr:uid="{00000000-0005-0000-0000-0000D6000000}"/>
    <cellStyle name="20% - Accent1 3 3 2" xfId="215" xr:uid="{00000000-0005-0000-0000-0000D7000000}"/>
    <cellStyle name="20% - Accent1 3 4" xfId="216" xr:uid="{00000000-0005-0000-0000-0000D8000000}"/>
    <cellStyle name="20% - Accent1 3 4 2" xfId="217" xr:uid="{00000000-0005-0000-0000-0000D9000000}"/>
    <cellStyle name="20% - Accent1 3 4 2 2" xfId="218" xr:uid="{00000000-0005-0000-0000-0000DA000000}"/>
    <cellStyle name="20% - Accent1 3 4 3" xfId="219" xr:uid="{00000000-0005-0000-0000-0000DB000000}"/>
    <cellStyle name="20% - Accent1 3 5" xfId="220" xr:uid="{00000000-0005-0000-0000-0000DC000000}"/>
    <cellStyle name="20% - Accent1 4" xfId="221" xr:uid="{00000000-0005-0000-0000-0000DD000000}"/>
    <cellStyle name="20% - Accent1 4 2" xfId="222" xr:uid="{00000000-0005-0000-0000-0000DE000000}"/>
    <cellStyle name="20% - Accent1 4 2 2" xfId="223" xr:uid="{00000000-0005-0000-0000-0000DF000000}"/>
    <cellStyle name="20% - Accent1 4 3" xfId="224" xr:uid="{00000000-0005-0000-0000-0000E0000000}"/>
    <cellStyle name="20% - Accent1 4 3 2" xfId="225" xr:uid="{00000000-0005-0000-0000-0000E1000000}"/>
    <cellStyle name="20% - Accent1 4 3 2 2" xfId="226" xr:uid="{00000000-0005-0000-0000-0000E2000000}"/>
    <cellStyle name="20% - Accent1 4 3 3" xfId="227" xr:uid="{00000000-0005-0000-0000-0000E3000000}"/>
    <cellStyle name="20% - Accent1 4 4" xfId="228" xr:uid="{00000000-0005-0000-0000-0000E4000000}"/>
    <cellStyle name="20% - Accent1 5" xfId="229" xr:uid="{00000000-0005-0000-0000-0000E5000000}"/>
    <cellStyle name="20% - Accent1 5 2" xfId="230" xr:uid="{00000000-0005-0000-0000-0000E6000000}"/>
    <cellStyle name="20% - Accent1 5 2 2" xfId="231" xr:uid="{00000000-0005-0000-0000-0000E7000000}"/>
    <cellStyle name="20% - Accent1 5 2 2 2" xfId="232" xr:uid="{00000000-0005-0000-0000-0000E8000000}"/>
    <cellStyle name="20% - Accent1 5 2 3" xfId="233" xr:uid="{00000000-0005-0000-0000-0000E9000000}"/>
    <cellStyle name="20% - Accent1 5 3" xfId="234" xr:uid="{00000000-0005-0000-0000-0000EA000000}"/>
    <cellStyle name="20% - Accent1 5 3 2" xfId="235" xr:uid="{00000000-0005-0000-0000-0000EB000000}"/>
    <cellStyle name="20% - Accent1 5 3 2 2" xfId="236" xr:uid="{00000000-0005-0000-0000-0000EC000000}"/>
    <cellStyle name="20% - Accent1 5 3 2 2 2" xfId="237" xr:uid="{00000000-0005-0000-0000-0000ED000000}"/>
    <cellStyle name="20% - Accent1 5 3 2 3" xfId="238" xr:uid="{00000000-0005-0000-0000-0000EE000000}"/>
    <cellStyle name="20% - Accent1 5 3 3" xfId="239" xr:uid="{00000000-0005-0000-0000-0000EF000000}"/>
    <cellStyle name="20% - Accent1 5 3 3 2" xfId="240" xr:uid="{00000000-0005-0000-0000-0000F0000000}"/>
    <cellStyle name="20% - Accent1 5 3 4" xfId="241" xr:uid="{00000000-0005-0000-0000-0000F1000000}"/>
    <cellStyle name="20% - Accent1 5 4" xfId="242" xr:uid="{00000000-0005-0000-0000-0000F2000000}"/>
    <cellStyle name="20% - Accent1 5 4 2" xfId="243" xr:uid="{00000000-0005-0000-0000-0000F3000000}"/>
    <cellStyle name="20% - Accent1 5 5" xfId="244" xr:uid="{00000000-0005-0000-0000-0000F4000000}"/>
    <cellStyle name="20% - Accent1 6" xfId="245" xr:uid="{00000000-0005-0000-0000-0000F5000000}"/>
    <cellStyle name="20% - Accent1 6 2" xfId="246" xr:uid="{00000000-0005-0000-0000-0000F6000000}"/>
    <cellStyle name="20% - Accent1 6 2 2" xfId="247" xr:uid="{00000000-0005-0000-0000-0000F7000000}"/>
    <cellStyle name="20% - Accent1 6 2 2 2" xfId="248" xr:uid="{00000000-0005-0000-0000-0000F8000000}"/>
    <cellStyle name="20% - Accent1 6 2 3" xfId="249" xr:uid="{00000000-0005-0000-0000-0000F9000000}"/>
    <cellStyle name="20% - Accent1 6 3" xfId="250" xr:uid="{00000000-0005-0000-0000-0000FA000000}"/>
    <cellStyle name="20% - Accent1 6 3 2" xfId="251" xr:uid="{00000000-0005-0000-0000-0000FB000000}"/>
    <cellStyle name="20% - Accent1 6 4" xfId="252" xr:uid="{00000000-0005-0000-0000-0000FC000000}"/>
    <cellStyle name="20% - Accent1 7" xfId="253" xr:uid="{00000000-0005-0000-0000-0000FD000000}"/>
    <cellStyle name="20% - Accent1 8" xfId="254" xr:uid="{00000000-0005-0000-0000-0000FE000000}"/>
    <cellStyle name="20% - Accent2 2" xfId="255" xr:uid="{00000000-0005-0000-0000-0000FF000000}"/>
    <cellStyle name="20% - Accent2 2 10" xfId="256" xr:uid="{00000000-0005-0000-0000-000000010000}"/>
    <cellStyle name="20% - Accent2 2 10 2" xfId="257" xr:uid="{00000000-0005-0000-0000-000001010000}"/>
    <cellStyle name="20% - Accent2 2 11" xfId="258" xr:uid="{00000000-0005-0000-0000-000002010000}"/>
    <cellStyle name="20% - Accent2 2 2" xfId="259" xr:uid="{00000000-0005-0000-0000-000003010000}"/>
    <cellStyle name="20% - Accent2 2 2 2" xfId="260" xr:uid="{00000000-0005-0000-0000-000004010000}"/>
    <cellStyle name="20% - Accent2 2 2 2 2" xfId="261" xr:uid="{00000000-0005-0000-0000-000005010000}"/>
    <cellStyle name="20% - Accent2 2 2 2 2 2" xfId="262" xr:uid="{00000000-0005-0000-0000-000006010000}"/>
    <cellStyle name="20% - Accent2 2 2 2 3" xfId="263" xr:uid="{00000000-0005-0000-0000-000007010000}"/>
    <cellStyle name="20% - Accent2 2 2 2 3 2" xfId="264" xr:uid="{00000000-0005-0000-0000-000008010000}"/>
    <cellStyle name="20% - Accent2 2 2 2 3 2 2" xfId="265" xr:uid="{00000000-0005-0000-0000-000009010000}"/>
    <cellStyle name="20% - Accent2 2 2 2 3 3" xfId="266" xr:uid="{00000000-0005-0000-0000-00000A010000}"/>
    <cellStyle name="20% - Accent2 2 2 2 4" xfId="267" xr:uid="{00000000-0005-0000-0000-00000B010000}"/>
    <cellStyle name="20% - Accent2 2 2 3" xfId="268" xr:uid="{00000000-0005-0000-0000-00000C010000}"/>
    <cellStyle name="20% - Accent2 2 2 3 2" xfId="269" xr:uid="{00000000-0005-0000-0000-00000D010000}"/>
    <cellStyle name="20% - Accent2 2 2 3 2 2" xfId="270" xr:uid="{00000000-0005-0000-0000-00000E010000}"/>
    <cellStyle name="20% - Accent2 2 2 3 3" xfId="271" xr:uid="{00000000-0005-0000-0000-00000F010000}"/>
    <cellStyle name="20% - Accent2 2 2 4" xfId="272" xr:uid="{00000000-0005-0000-0000-000010010000}"/>
    <cellStyle name="20% - Accent2 2 2 4 2" xfId="273" xr:uid="{00000000-0005-0000-0000-000011010000}"/>
    <cellStyle name="20% - Accent2 2 2 4 2 2" xfId="274" xr:uid="{00000000-0005-0000-0000-000012010000}"/>
    <cellStyle name="20% - Accent2 2 2 4 2 2 2" xfId="275" xr:uid="{00000000-0005-0000-0000-000013010000}"/>
    <cellStyle name="20% - Accent2 2 2 4 2 3" xfId="276" xr:uid="{00000000-0005-0000-0000-000014010000}"/>
    <cellStyle name="20% - Accent2 2 2 4 3" xfId="277" xr:uid="{00000000-0005-0000-0000-000015010000}"/>
    <cellStyle name="20% - Accent2 2 2 4 3 2" xfId="278" xr:uid="{00000000-0005-0000-0000-000016010000}"/>
    <cellStyle name="20% - Accent2 2 2 4 4" xfId="279" xr:uid="{00000000-0005-0000-0000-000017010000}"/>
    <cellStyle name="20% - Accent2 2 2 5" xfId="280" xr:uid="{00000000-0005-0000-0000-000018010000}"/>
    <cellStyle name="20% - Accent2 2 2 5 2" xfId="281" xr:uid="{00000000-0005-0000-0000-000019010000}"/>
    <cellStyle name="20% - Accent2 2 2 6" xfId="282" xr:uid="{00000000-0005-0000-0000-00001A010000}"/>
    <cellStyle name="20% - Accent2 2 3" xfId="283" xr:uid="{00000000-0005-0000-0000-00001B010000}"/>
    <cellStyle name="20% - Accent2 2 3 2" xfId="284" xr:uid="{00000000-0005-0000-0000-00001C010000}"/>
    <cellStyle name="20% - Accent2 2 3 2 2" xfId="285" xr:uid="{00000000-0005-0000-0000-00001D010000}"/>
    <cellStyle name="20% - Accent2 2 3 2 2 2" xfId="286" xr:uid="{00000000-0005-0000-0000-00001E010000}"/>
    <cellStyle name="20% - Accent2 2 3 2 3" xfId="287" xr:uid="{00000000-0005-0000-0000-00001F010000}"/>
    <cellStyle name="20% - Accent2 2 3 3" xfId="288" xr:uid="{00000000-0005-0000-0000-000020010000}"/>
    <cellStyle name="20% - Accent2 2 3 3 2" xfId="289" xr:uid="{00000000-0005-0000-0000-000021010000}"/>
    <cellStyle name="20% - Accent2 2 3 3 2 2" xfId="290" xr:uid="{00000000-0005-0000-0000-000022010000}"/>
    <cellStyle name="20% - Accent2 2 3 3 2 2 2" xfId="291" xr:uid="{00000000-0005-0000-0000-000023010000}"/>
    <cellStyle name="20% - Accent2 2 3 3 2 3" xfId="292" xr:uid="{00000000-0005-0000-0000-000024010000}"/>
    <cellStyle name="20% - Accent2 2 3 3 3" xfId="293" xr:uid="{00000000-0005-0000-0000-000025010000}"/>
    <cellStyle name="20% - Accent2 2 3 3 3 2" xfId="294" xr:uid="{00000000-0005-0000-0000-000026010000}"/>
    <cellStyle name="20% - Accent2 2 3 3 4" xfId="295" xr:uid="{00000000-0005-0000-0000-000027010000}"/>
    <cellStyle name="20% - Accent2 2 3 4" xfId="296" xr:uid="{00000000-0005-0000-0000-000028010000}"/>
    <cellStyle name="20% - Accent2 2 3 4 2" xfId="297" xr:uid="{00000000-0005-0000-0000-000029010000}"/>
    <cellStyle name="20% - Accent2 2 3 5" xfId="298" xr:uid="{00000000-0005-0000-0000-00002A010000}"/>
    <cellStyle name="20% - Accent2 2 4" xfId="299" xr:uid="{00000000-0005-0000-0000-00002B010000}"/>
    <cellStyle name="20% - Accent2 2 4 2" xfId="300" xr:uid="{00000000-0005-0000-0000-00002C010000}"/>
    <cellStyle name="20% - Accent2 2 4 2 2" xfId="301" xr:uid="{00000000-0005-0000-0000-00002D010000}"/>
    <cellStyle name="20% - Accent2 2 4 2 2 2" xfId="302" xr:uid="{00000000-0005-0000-0000-00002E010000}"/>
    <cellStyle name="20% - Accent2 2 4 2 3" xfId="303" xr:uid="{00000000-0005-0000-0000-00002F010000}"/>
    <cellStyle name="20% - Accent2 2 4 3" xfId="304" xr:uid="{00000000-0005-0000-0000-000030010000}"/>
    <cellStyle name="20% - Accent2 2 4 3 2" xfId="305" xr:uid="{00000000-0005-0000-0000-000031010000}"/>
    <cellStyle name="20% - Accent2 2 4 4" xfId="306" xr:uid="{00000000-0005-0000-0000-000032010000}"/>
    <cellStyle name="20% - Accent2 2 5" xfId="307" xr:uid="{00000000-0005-0000-0000-000033010000}"/>
    <cellStyle name="20% - Accent2 2 5 2" xfId="308" xr:uid="{00000000-0005-0000-0000-000034010000}"/>
    <cellStyle name="20% - Accent2 2 5 2 2" xfId="309" xr:uid="{00000000-0005-0000-0000-000035010000}"/>
    <cellStyle name="20% - Accent2 2 5 2 2 2" xfId="310" xr:uid="{00000000-0005-0000-0000-000036010000}"/>
    <cellStyle name="20% - Accent2 2 5 2 3" xfId="311" xr:uid="{00000000-0005-0000-0000-000037010000}"/>
    <cellStyle name="20% - Accent2 2 5 3" xfId="312" xr:uid="{00000000-0005-0000-0000-000038010000}"/>
    <cellStyle name="20% - Accent2 2 5 3 2" xfId="313" xr:uid="{00000000-0005-0000-0000-000039010000}"/>
    <cellStyle name="20% - Accent2 2 5 3 2 2" xfId="314" xr:uid="{00000000-0005-0000-0000-00003A010000}"/>
    <cellStyle name="20% - Accent2 2 5 3 2 2 2" xfId="315" xr:uid="{00000000-0005-0000-0000-00003B010000}"/>
    <cellStyle name="20% - Accent2 2 5 3 2 3" xfId="316" xr:uid="{00000000-0005-0000-0000-00003C010000}"/>
    <cellStyle name="20% - Accent2 2 5 3 3" xfId="317" xr:uid="{00000000-0005-0000-0000-00003D010000}"/>
    <cellStyle name="20% - Accent2 2 5 3 3 2" xfId="318" xr:uid="{00000000-0005-0000-0000-00003E010000}"/>
    <cellStyle name="20% - Accent2 2 5 3 4" xfId="319" xr:uid="{00000000-0005-0000-0000-00003F010000}"/>
    <cellStyle name="20% - Accent2 2 5 4" xfId="320" xr:uid="{00000000-0005-0000-0000-000040010000}"/>
    <cellStyle name="20% - Accent2 2 5 4 2" xfId="321" xr:uid="{00000000-0005-0000-0000-000041010000}"/>
    <cellStyle name="20% - Accent2 2 5 5" xfId="322" xr:uid="{00000000-0005-0000-0000-000042010000}"/>
    <cellStyle name="20% - Accent2 2 6" xfId="323" xr:uid="{00000000-0005-0000-0000-000043010000}"/>
    <cellStyle name="20% - Accent2 2 6 2" xfId="324" xr:uid="{00000000-0005-0000-0000-000044010000}"/>
    <cellStyle name="20% - Accent2 2 6 2 2" xfId="325" xr:uid="{00000000-0005-0000-0000-000045010000}"/>
    <cellStyle name="20% - Accent2 2 6 3" xfId="326" xr:uid="{00000000-0005-0000-0000-000046010000}"/>
    <cellStyle name="20% - Accent2 2 7" xfId="327" xr:uid="{00000000-0005-0000-0000-000047010000}"/>
    <cellStyle name="20% - Accent2 2 7 2" xfId="328" xr:uid="{00000000-0005-0000-0000-000048010000}"/>
    <cellStyle name="20% - Accent2 2 7 2 2" xfId="329" xr:uid="{00000000-0005-0000-0000-000049010000}"/>
    <cellStyle name="20% - Accent2 2 7 3" xfId="330" xr:uid="{00000000-0005-0000-0000-00004A010000}"/>
    <cellStyle name="20% - Accent2 2 8" xfId="331" xr:uid="{00000000-0005-0000-0000-00004B010000}"/>
    <cellStyle name="20% - Accent2 2 8 2" xfId="332" xr:uid="{00000000-0005-0000-0000-00004C010000}"/>
    <cellStyle name="20% - Accent2 2 8 2 2" xfId="333" xr:uid="{00000000-0005-0000-0000-00004D010000}"/>
    <cellStyle name="20% - Accent2 2 8 2 2 2" xfId="334" xr:uid="{00000000-0005-0000-0000-00004E010000}"/>
    <cellStyle name="20% - Accent2 2 8 2 3" xfId="335" xr:uid="{00000000-0005-0000-0000-00004F010000}"/>
    <cellStyle name="20% - Accent2 2 8 3" xfId="336" xr:uid="{00000000-0005-0000-0000-000050010000}"/>
    <cellStyle name="20% - Accent2 2 8 3 2" xfId="337" xr:uid="{00000000-0005-0000-0000-000051010000}"/>
    <cellStyle name="20% - Accent2 2 8 4" xfId="338" xr:uid="{00000000-0005-0000-0000-000052010000}"/>
    <cellStyle name="20% - Accent2 2 9" xfId="339" xr:uid="{00000000-0005-0000-0000-000053010000}"/>
    <cellStyle name="20% - Accent2 2 9 2" xfId="340" xr:uid="{00000000-0005-0000-0000-000054010000}"/>
    <cellStyle name="20% - Accent2 3" xfId="341" xr:uid="{00000000-0005-0000-0000-000055010000}"/>
    <cellStyle name="20% - Accent2 3 2" xfId="342" xr:uid="{00000000-0005-0000-0000-000056010000}"/>
    <cellStyle name="20% - Accent2 3 2 2" xfId="343" xr:uid="{00000000-0005-0000-0000-000057010000}"/>
    <cellStyle name="20% - Accent2 3 2 2 2" xfId="344" xr:uid="{00000000-0005-0000-0000-000058010000}"/>
    <cellStyle name="20% - Accent2 3 2 3" xfId="345" xr:uid="{00000000-0005-0000-0000-000059010000}"/>
    <cellStyle name="20% - Accent2 3 3" xfId="346" xr:uid="{00000000-0005-0000-0000-00005A010000}"/>
    <cellStyle name="20% - Accent2 3 3 2" xfId="347" xr:uid="{00000000-0005-0000-0000-00005B010000}"/>
    <cellStyle name="20% - Accent2 3 4" xfId="348" xr:uid="{00000000-0005-0000-0000-00005C010000}"/>
    <cellStyle name="20% - Accent2 3 4 2" xfId="349" xr:uid="{00000000-0005-0000-0000-00005D010000}"/>
    <cellStyle name="20% - Accent2 3 4 2 2" xfId="350" xr:uid="{00000000-0005-0000-0000-00005E010000}"/>
    <cellStyle name="20% - Accent2 3 4 3" xfId="351" xr:uid="{00000000-0005-0000-0000-00005F010000}"/>
    <cellStyle name="20% - Accent2 3 5" xfId="352" xr:uid="{00000000-0005-0000-0000-000060010000}"/>
    <cellStyle name="20% - Accent2 4" xfId="353" xr:uid="{00000000-0005-0000-0000-000061010000}"/>
    <cellStyle name="20% - Accent2 4 2" xfId="354" xr:uid="{00000000-0005-0000-0000-000062010000}"/>
    <cellStyle name="20% - Accent2 4 2 2" xfId="355" xr:uid="{00000000-0005-0000-0000-000063010000}"/>
    <cellStyle name="20% - Accent2 4 3" xfId="356" xr:uid="{00000000-0005-0000-0000-000064010000}"/>
    <cellStyle name="20% - Accent2 4 3 2" xfId="357" xr:uid="{00000000-0005-0000-0000-000065010000}"/>
    <cellStyle name="20% - Accent2 4 3 2 2" xfId="358" xr:uid="{00000000-0005-0000-0000-000066010000}"/>
    <cellStyle name="20% - Accent2 4 3 3" xfId="359" xr:uid="{00000000-0005-0000-0000-000067010000}"/>
    <cellStyle name="20% - Accent2 4 4" xfId="360" xr:uid="{00000000-0005-0000-0000-000068010000}"/>
    <cellStyle name="20% - Accent2 5" xfId="361" xr:uid="{00000000-0005-0000-0000-000069010000}"/>
    <cellStyle name="20% - Accent2 5 2" xfId="362" xr:uid="{00000000-0005-0000-0000-00006A010000}"/>
    <cellStyle name="20% - Accent2 5 2 2" xfId="363" xr:uid="{00000000-0005-0000-0000-00006B010000}"/>
    <cellStyle name="20% - Accent2 5 2 2 2" xfId="364" xr:uid="{00000000-0005-0000-0000-00006C010000}"/>
    <cellStyle name="20% - Accent2 5 2 3" xfId="365" xr:uid="{00000000-0005-0000-0000-00006D010000}"/>
    <cellStyle name="20% - Accent2 5 3" xfId="366" xr:uid="{00000000-0005-0000-0000-00006E010000}"/>
    <cellStyle name="20% - Accent2 5 3 2" xfId="367" xr:uid="{00000000-0005-0000-0000-00006F010000}"/>
    <cellStyle name="20% - Accent2 5 3 2 2" xfId="368" xr:uid="{00000000-0005-0000-0000-000070010000}"/>
    <cellStyle name="20% - Accent2 5 3 2 2 2" xfId="369" xr:uid="{00000000-0005-0000-0000-000071010000}"/>
    <cellStyle name="20% - Accent2 5 3 2 3" xfId="370" xr:uid="{00000000-0005-0000-0000-000072010000}"/>
    <cellStyle name="20% - Accent2 5 3 3" xfId="371" xr:uid="{00000000-0005-0000-0000-000073010000}"/>
    <cellStyle name="20% - Accent2 5 3 3 2" xfId="372" xr:uid="{00000000-0005-0000-0000-000074010000}"/>
    <cellStyle name="20% - Accent2 5 3 4" xfId="373" xr:uid="{00000000-0005-0000-0000-000075010000}"/>
    <cellStyle name="20% - Accent2 5 4" xfId="374" xr:uid="{00000000-0005-0000-0000-000076010000}"/>
    <cellStyle name="20% - Accent2 5 4 2" xfId="375" xr:uid="{00000000-0005-0000-0000-000077010000}"/>
    <cellStyle name="20% - Accent2 5 5" xfId="376" xr:uid="{00000000-0005-0000-0000-000078010000}"/>
    <cellStyle name="20% - Accent2 6" xfId="377" xr:uid="{00000000-0005-0000-0000-000079010000}"/>
    <cellStyle name="20% - Accent2 6 2" xfId="378" xr:uid="{00000000-0005-0000-0000-00007A010000}"/>
    <cellStyle name="20% - Accent2 6 2 2" xfId="379" xr:uid="{00000000-0005-0000-0000-00007B010000}"/>
    <cellStyle name="20% - Accent2 6 2 2 2" xfId="380" xr:uid="{00000000-0005-0000-0000-00007C010000}"/>
    <cellStyle name="20% - Accent2 6 2 3" xfId="381" xr:uid="{00000000-0005-0000-0000-00007D010000}"/>
    <cellStyle name="20% - Accent2 6 3" xfId="382" xr:uid="{00000000-0005-0000-0000-00007E010000}"/>
    <cellStyle name="20% - Accent2 6 3 2" xfId="383" xr:uid="{00000000-0005-0000-0000-00007F010000}"/>
    <cellStyle name="20% - Accent2 6 4" xfId="384" xr:uid="{00000000-0005-0000-0000-000080010000}"/>
    <cellStyle name="20% - Accent2 7" xfId="385" xr:uid="{00000000-0005-0000-0000-000081010000}"/>
    <cellStyle name="20% - Accent2 8" xfId="386" xr:uid="{00000000-0005-0000-0000-000082010000}"/>
    <cellStyle name="20% - Accent3 2" xfId="387" xr:uid="{00000000-0005-0000-0000-000083010000}"/>
    <cellStyle name="20% - Accent3 2 10" xfId="388" xr:uid="{00000000-0005-0000-0000-000084010000}"/>
    <cellStyle name="20% - Accent3 2 10 2" xfId="389" xr:uid="{00000000-0005-0000-0000-000085010000}"/>
    <cellStyle name="20% - Accent3 2 11" xfId="390" xr:uid="{00000000-0005-0000-0000-000086010000}"/>
    <cellStyle name="20% - Accent3 2 2" xfId="391" xr:uid="{00000000-0005-0000-0000-000087010000}"/>
    <cellStyle name="20% - Accent3 2 2 2" xfId="392" xr:uid="{00000000-0005-0000-0000-000088010000}"/>
    <cellStyle name="20% - Accent3 2 2 2 2" xfId="393" xr:uid="{00000000-0005-0000-0000-000089010000}"/>
    <cellStyle name="20% - Accent3 2 2 2 2 2" xfId="394" xr:uid="{00000000-0005-0000-0000-00008A010000}"/>
    <cellStyle name="20% - Accent3 2 2 2 3" xfId="395" xr:uid="{00000000-0005-0000-0000-00008B010000}"/>
    <cellStyle name="20% - Accent3 2 2 2 3 2" xfId="396" xr:uid="{00000000-0005-0000-0000-00008C010000}"/>
    <cellStyle name="20% - Accent3 2 2 2 3 2 2" xfId="397" xr:uid="{00000000-0005-0000-0000-00008D010000}"/>
    <cellStyle name="20% - Accent3 2 2 2 3 3" xfId="398" xr:uid="{00000000-0005-0000-0000-00008E010000}"/>
    <cellStyle name="20% - Accent3 2 2 2 4" xfId="399" xr:uid="{00000000-0005-0000-0000-00008F010000}"/>
    <cellStyle name="20% - Accent3 2 2 3" xfId="400" xr:uid="{00000000-0005-0000-0000-000090010000}"/>
    <cellStyle name="20% - Accent3 2 2 3 2" xfId="401" xr:uid="{00000000-0005-0000-0000-000091010000}"/>
    <cellStyle name="20% - Accent3 2 2 3 2 2" xfId="402" xr:uid="{00000000-0005-0000-0000-000092010000}"/>
    <cellStyle name="20% - Accent3 2 2 3 3" xfId="403" xr:uid="{00000000-0005-0000-0000-000093010000}"/>
    <cellStyle name="20% - Accent3 2 2 4" xfId="404" xr:uid="{00000000-0005-0000-0000-000094010000}"/>
    <cellStyle name="20% - Accent3 2 2 4 2" xfId="405" xr:uid="{00000000-0005-0000-0000-000095010000}"/>
    <cellStyle name="20% - Accent3 2 2 4 2 2" xfId="406" xr:uid="{00000000-0005-0000-0000-000096010000}"/>
    <cellStyle name="20% - Accent3 2 2 4 2 2 2" xfId="407" xr:uid="{00000000-0005-0000-0000-000097010000}"/>
    <cellStyle name="20% - Accent3 2 2 4 2 3" xfId="408" xr:uid="{00000000-0005-0000-0000-000098010000}"/>
    <cellStyle name="20% - Accent3 2 2 4 3" xfId="409" xr:uid="{00000000-0005-0000-0000-000099010000}"/>
    <cellStyle name="20% - Accent3 2 2 4 3 2" xfId="410" xr:uid="{00000000-0005-0000-0000-00009A010000}"/>
    <cellStyle name="20% - Accent3 2 2 4 4" xfId="411" xr:uid="{00000000-0005-0000-0000-00009B010000}"/>
    <cellStyle name="20% - Accent3 2 2 5" xfId="412" xr:uid="{00000000-0005-0000-0000-00009C010000}"/>
    <cellStyle name="20% - Accent3 2 2 5 2" xfId="413" xr:uid="{00000000-0005-0000-0000-00009D010000}"/>
    <cellStyle name="20% - Accent3 2 2 6" xfId="414" xr:uid="{00000000-0005-0000-0000-00009E010000}"/>
    <cellStyle name="20% - Accent3 2 3" xfId="415" xr:uid="{00000000-0005-0000-0000-00009F010000}"/>
    <cellStyle name="20% - Accent3 2 3 2" xfId="416" xr:uid="{00000000-0005-0000-0000-0000A0010000}"/>
    <cellStyle name="20% - Accent3 2 3 2 2" xfId="417" xr:uid="{00000000-0005-0000-0000-0000A1010000}"/>
    <cellStyle name="20% - Accent3 2 3 2 2 2" xfId="418" xr:uid="{00000000-0005-0000-0000-0000A2010000}"/>
    <cellStyle name="20% - Accent3 2 3 2 3" xfId="419" xr:uid="{00000000-0005-0000-0000-0000A3010000}"/>
    <cellStyle name="20% - Accent3 2 3 3" xfId="420" xr:uid="{00000000-0005-0000-0000-0000A4010000}"/>
    <cellStyle name="20% - Accent3 2 3 3 2" xfId="421" xr:uid="{00000000-0005-0000-0000-0000A5010000}"/>
    <cellStyle name="20% - Accent3 2 3 3 2 2" xfId="422" xr:uid="{00000000-0005-0000-0000-0000A6010000}"/>
    <cellStyle name="20% - Accent3 2 3 3 2 2 2" xfId="423" xr:uid="{00000000-0005-0000-0000-0000A7010000}"/>
    <cellStyle name="20% - Accent3 2 3 3 2 3" xfId="424" xr:uid="{00000000-0005-0000-0000-0000A8010000}"/>
    <cellStyle name="20% - Accent3 2 3 3 3" xfId="425" xr:uid="{00000000-0005-0000-0000-0000A9010000}"/>
    <cellStyle name="20% - Accent3 2 3 3 3 2" xfId="426" xr:uid="{00000000-0005-0000-0000-0000AA010000}"/>
    <cellStyle name="20% - Accent3 2 3 3 4" xfId="427" xr:uid="{00000000-0005-0000-0000-0000AB010000}"/>
    <cellStyle name="20% - Accent3 2 3 4" xfId="428" xr:uid="{00000000-0005-0000-0000-0000AC010000}"/>
    <cellStyle name="20% - Accent3 2 3 4 2" xfId="429" xr:uid="{00000000-0005-0000-0000-0000AD010000}"/>
    <cellStyle name="20% - Accent3 2 3 5" xfId="430" xr:uid="{00000000-0005-0000-0000-0000AE010000}"/>
    <cellStyle name="20% - Accent3 2 4" xfId="431" xr:uid="{00000000-0005-0000-0000-0000AF010000}"/>
    <cellStyle name="20% - Accent3 2 4 2" xfId="432" xr:uid="{00000000-0005-0000-0000-0000B0010000}"/>
    <cellStyle name="20% - Accent3 2 4 2 2" xfId="433" xr:uid="{00000000-0005-0000-0000-0000B1010000}"/>
    <cellStyle name="20% - Accent3 2 4 2 2 2" xfId="434" xr:uid="{00000000-0005-0000-0000-0000B2010000}"/>
    <cellStyle name="20% - Accent3 2 4 2 3" xfId="435" xr:uid="{00000000-0005-0000-0000-0000B3010000}"/>
    <cellStyle name="20% - Accent3 2 4 3" xfId="436" xr:uid="{00000000-0005-0000-0000-0000B4010000}"/>
    <cellStyle name="20% - Accent3 2 4 3 2" xfId="437" xr:uid="{00000000-0005-0000-0000-0000B5010000}"/>
    <cellStyle name="20% - Accent3 2 4 4" xfId="438" xr:uid="{00000000-0005-0000-0000-0000B6010000}"/>
    <cellStyle name="20% - Accent3 2 5" xfId="439" xr:uid="{00000000-0005-0000-0000-0000B7010000}"/>
    <cellStyle name="20% - Accent3 2 5 2" xfId="440" xr:uid="{00000000-0005-0000-0000-0000B8010000}"/>
    <cellStyle name="20% - Accent3 2 5 2 2" xfId="441" xr:uid="{00000000-0005-0000-0000-0000B9010000}"/>
    <cellStyle name="20% - Accent3 2 5 2 2 2" xfId="442" xr:uid="{00000000-0005-0000-0000-0000BA010000}"/>
    <cellStyle name="20% - Accent3 2 5 2 3" xfId="443" xr:uid="{00000000-0005-0000-0000-0000BB010000}"/>
    <cellStyle name="20% - Accent3 2 5 3" xfId="444" xr:uid="{00000000-0005-0000-0000-0000BC010000}"/>
    <cellStyle name="20% - Accent3 2 5 3 2" xfId="445" xr:uid="{00000000-0005-0000-0000-0000BD010000}"/>
    <cellStyle name="20% - Accent3 2 5 3 2 2" xfId="446" xr:uid="{00000000-0005-0000-0000-0000BE010000}"/>
    <cellStyle name="20% - Accent3 2 5 3 2 2 2" xfId="447" xr:uid="{00000000-0005-0000-0000-0000BF010000}"/>
    <cellStyle name="20% - Accent3 2 5 3 2 3" xfId="448" xr:uid="{00000000-0005-0000-0000-0000C0010000}"/>
    <cellStyle name="20% - Accent3 2 5 3 3" xfId="449" xr:uid="{00000000-0005-0000-0000-0000C1010000}"/>
    <cellStyle name="20% - Accent3 2 5 3 3 2" xfId="450" xr:uid="{00000000-0005-0000-0000-0000C2010000}"/>
    <cellStyle name="20% - Accent3 2 5 3 4" xfId="451" xr:uid="{00000000-0005-0000-0000-0000C3010000}"/>
    <cellStyle name="20% - Accent3 2 5 4" xfId="452" xr:uid="{00000000-0005-0000-0000-0000C4010000}"/>
    <cellStyle name="20% - Accent3 2 5 4 2" xfId="453" xr:uid="{00000000-0005-0000-0000-0000C5010000}"/>
    <cellStyle name="20% - Accent3 2 5 5" xfId="454" xr:uid="{00000000-0005-0000-0000-0000C6010000}"/>
    <cellStyle name="20% - Accent3 2 6" xfId="455" xr:uid="{00000000-0005-0000-0000-0000C7010000}"/>
    <cellStyle name="20% - Accent3 2 6 2" xfId="456" xr:uid="{00000000-0005-0000-0000-0000C8010000}"/>
    <cellStyle name="20% - Accent3 2 6 2 2" xfId="457" xr:uid="{00000000-0005-0000-0000-0000C9010000}"/>
    <cellStyle name="20% - Accent3 2 6 3" xfId="458" xr:uid="{00000000-0005-0000-0000-0000CA010000}"/>
    <cellStyle name="20% - Accent3 2 7" xfId="459" xr:uid="{00000000-0005-0000-0000-0000CB010000}"/>
    <cellStyle name="20% - Accent3 2 7 2" xfId="460" xr:uid="{00000000-0005-0000-0000-0000CC010000}"/>
    <cellStyle name="20% - Accent3 2 7 2 2" xfId="461" xr:uid="{00000000-0005-0000-0000-0000CD010000}"/>
    <cellStyle name="20% - Accent3 2 7 3" xfId="462" xr:uid="{00000000-0005-0000-0000-0000CE010000}"/>
    <cellStyle name="20% - Accent3 2 8" xfId="463" xr:uid="{00000000-0005-0000-0000-0000CF010000}"/>
    <cellStyle name="20% - Accent3 2 8 2" xfId="464" xr:uid="{00000000-0005-0000-0000-0000D0010000}"/>
    <cellStyle name="20% - Accent3 2 8 2 2" xfId="465" xr:uid="{00000000-0005-0000-0000-0000D1010000}"/>
    <cellStyle name="20% - Accent3 2 8 2 2 2" xfId="466" xr:uid="{00000000-0005-0000-0000-0000D2010000}"/>
    <cellStyle name="20% - Accent3 2 8 2 3" xfId="467" xr:uid="{00000000-0005-0000-0000-0000D3010000}"/>
    <cellStyle name="20% - Accent3 2 8 3" xfId="468" xr:uid="{00000000-0005-0000-0000-0000D4010000}"/>
    <cellStyle name="20% - Accent3 2 8 3 2" xfId="469" xr:uid="{00000000-0005-0000-0000-0000D5010000}"/>
    <cellStyle name="20% - Accent3 2 8 4" xfId="470" xr:uid="{00000000-0005-0000-0000-0000D6010000}"/>
    <cellStyle name="20% - Accent3 2 9" xfId="471" xr:uid="{00000000-0005-0000-0000-0000D7010000}"/>
    <cellStyle name="20% - Accent3 2 9 2" xfId="472" xr:uid="{00000000-0005-0000-0000-0000D8010000}"/>
    <cellStyle name="20% - Accent3 3" xfId="473" xr:uid="{00000000-0005-0000-0000-0000D9010000}"/>
    <cellStyle name="20% - Accent3 3 2" xfId="474" xr:uid="{00000000-0005-0000-0000-0000DA010000}"/>
    <cellStyle name="20% - Accent3 3 2 2" xfId="475" xr:uid="{00000000-0005-0000-0000-0000DB010000}"/>
    <cellStyle name="20% - Accent3 3 2 2 2" xfId="476" xr:uid="{00000000-0005-0000-0000-0000DC010000}"/>
    <cellStyle name="20% - Accent3 3 2 3" xfId="477" xr:uid="{00000000-0005-0000-0000-0000DD010000}"/>
    <cellStyle name="20% - Accent3 3 3" xfId="478" xr:uid="{00000000-0005-0000-0000-0000DE010000}"/>
    <cellStyle name="20% - Accent3 3 3 2" xfId="479" xr:uid="{00000000-0005-0000-0000-0000DF010000}"/>
    <cellStyle name="20% - Accent3 3 4" xfId="480" xr:uid="{00000000-0005-0000-0000-0000E0010000}"/>
    <cellStyle name="20% - Accent3 3 4 2" xfId="481" xr:uid="{00000000-0005-0000-0000-0000E1010000}"/>
    <cellStyle name="20% - Accent3 3 4 2 2" xfId="482" xr:uid="{00000000-0005-0000-0000-0000E2010000}"/>
    <cellStyle name="20% - Accent3 3 4 3" xfId="483" xr:uid="{00000000-0005-0000-0000-0000E3010000}"/>
    <cellStyle name="20% - Accent3 3 5" xfId="484" xr:uid="{00000000-0005-0000-0000-0000E4010000}"/>
    <cellStyle name="20% - Accent3 4" xfId="485" xr:uid="{00000000-0005-0000-0000-0000E5010000}"/>
    <cellStyle name="20% - Accent3 4 2" xfId="486" xr:uid="{00000000-0005-0000-0000-0000E6010000}"/>
    <cellStyle name="20% - Accent3 4 2 2" xfId="487" xr:uid="{00000000-0005-0000-0000-0000E7010000}"/>
    <cellStyle name="20% - Accent3 4 3" xfId="488" xr:uid="{00000000-0005-0000-0000-0000E8010000}"/>
    <cellStyle name="20% - Accent3 4 3 2" xfId="489" xr:uid="{00000000-0005-0000-0000-0000E9010000}"/>
    <cellStyle name="20% - Accent3 4 3 2 2" xfId="490" xr:uid="{00000000-0005-0000-0000-0000EA010000}"/>
    <cellStyle name="20% - Accent3 4 3 3" xfId="491" xr:uid="{00000000-0005-0000-0000-0000EB010000}"/>
    <cellStyle name="20% - Accent3 4 4" xfId="492" xr:uid="{00000000-0005-0000-0000-0000EC010000}"/>
    <cellStyle name="20% - Accent3 5" xfId="493" xr:uid="{00000000-0005-0000-0000-0000ED010000}"/>
    <cellStyle name="20% - Accent3 5 2" xfId="494" xr:uid="{00000000-0005-0000-0000-0000EE010000}"/>
    <cellStyle name="20% - Accent3 5 2 2" xfId="495" xr:uid="{00000000-0005-0000-0000-0000EF010000}"/>
    <cellStyle name="20% - Accent3 5 2 2 2" xfId="496" xr:uid="{00000000-0005-0000-0000-0000F0010000}"/>
    <cellStyle name="20% - Accent3 5 2 3" xfId="497" xr:uid="{00000000-0005-0000-0000-0000F1010000}"/>
    <cellStyle name="20% - Accent3 5 3" xfId="498" xr:uid="{00000000-0005-0000-0000-0000F2010000}"/>
    <cellStyle name="20% - Accent3 5 3 2" xfId="499" xr:uid="{00000000-0005-0000-0000-0000F3010000}"/>
    <cellStyle name="20% - Accent3 5 3 2 2" xfId="500" xr:uid="{00000000-0005-0000-0000-0000F4010000}"/>
    <cellStyle name="20% - Accent3 5 3 2 2 2" xfId="501" xr:uid="{00000000-0005-0000-0000-0000F5010000}"/>
    <cellStyle name="20% - Accent3 5 3 2 3" xfId="502" xr:uid="{00000000-0005-0000-0000-0000F6010000}"/>
    <cellStyle name="20% - Accent3 5 3 3" xfId="503" xr:uid="{00000000-0005-0000-0000-0000F7010000}"/>
    <cellStyle name="20% - Accent3 5 3 3 2" xfId="504" xr:uid="{00000000-0005-0000-0000-0000F8010000}"/>
    <cellStyle name="20% - Accent3 5 3 4" xfId="505" xr:uid="{00000000-0005-0000-0000-0000F9010000}"/>
    <cellStyle name="20% - Accent3 5 4" xfId="506" xr:uid="{00000000-0005-0000-0000-0000FA010000}"/>
    <cellStyle name="20% - Accent3 5 4 2" xfId="507" xr:uid="{00000000-0005-0000-0000-0000FB010000}"/>
    <cellStyle name="20% - Accent3 5 5" xfId="508" xr:uid="{00000000-0005-0000-0000-0000FC010000}"/>
    <cellStyle name="20% - Accent3 6" xfId="509" xr:uid="{00000000-0005-0000-0000-0000FD010000}"/>
    <cellStyle name="20% - Accent3 6 2" xfId="510" xr:uid="{00000000-0005-0000-0000-0000FE010000}"/>
    <cellStyle name="20% - Accent3 6 2 2" xfId="511" xr:uid="{00000000-0005-0000-0000-0000FF010000}"/>
    <cellStyle name="20% - Accent3 6 2 2 2" xfId="512" xr:uid="{00000000-0005-0000-0000-000000020000}"/>
    <cellStyle name="20% - Accent3 6 2 3" xfId="513" xr:uid="{00000000-0005-0000-0000-000001020000}"/>
    <cellStyle name="20% - Accent3 6 3" xfId="514" xr:uid="{00000000-0005-0000-0000-000002020000}"/>
    <cellStyle name="20% - Accent3 6 3 2" xfId="515" xr:uid="{00000000-0005-0000-0000-000003020000}"/>
    <cellStyle name="20% - Accent3 6 4" xfId="516" xr:uid="{00000000-0005-0000-0000-000004020000}"/>
    <cellStyle name="20% - Accent3 7" xfId="517" xr:uid="{00000000-0005-0000-0000-000005020000}"/>
    <cellStyle name="20% - Accent3 8" xfId="518" xr:uid="{00000000-0005-0000-0000-000006020000}"/>
    <cellStyle name="20% - Accent4 2" xfId="519" xr:uid="{00000000-0005-0000-0000-000007020000}"/>
    <cellStyle name="20% - Accent4 2 10" xfId="520" xr:uid="{00000000-0005-0000-0000-000008020000}"/>
    <cellStyle name="20% - Accent4 2 10 2" xfId="521" xr:uid="{00000000-0005-0000-0000-000009020000}"/>
    <cellStyle name="20% - Accent4 2 11" xfId="522" xr:uid="{00000000-0005-0000-0000-00000A020000}"/>
    <cellStyle name="20% - Accent4 2 2" xfId="523" xr:uid="{00000000-0005-0000-0000-00000B020000}"/>
    <cellStyle name="20% - Accent4 2 2 2" xfId="524" xr:uid="{00000000-0005-0000-0000-00000C020000}"/>
    <cellStyle name="20% - Accent4 2 2 2 2" xfId="525" xr:uid="{00000000-0005-0000-0000-00000D020000}"/>
    <cellStyle name="20% - Accent4 2 2 2 2 2" xfId="526" xr:uid="{00000000-0005-0000-0000-00000E020000}"/>
    <cellStyle name="20% - Accent4 2 2 2 3" xfId="527" xr:uid="{00000000-0005-0000-0000-00000F020000}"/>
    <cellStyle name="20% - Accent4 2 2 2 3 2" xfId="528" xr:uid="{00000000-0005-0000-0000-000010020000}"/>
    <cellStyle name="20% - Accent4 2 2 2 3 2 2" xfId="529" xr:uid="{00000000-0005-0000-0000-000011020000}"/>
    <cellStyle name="20% - Accent4 2 2 2 3 3" xfId="530" xr:uid="{00000000-0005-0000-0000-000012020000}"/>
    <cellStyle name="20% - Accent4 2 2 2 4" xfId="531" xr:uid="{00000000-0005-0000-0000-000013020000}"/>
    <cellStyle name="20% - Accent4 2 2 3" xfId="532" xr:uid="{00000000-0005-0000-0000-000014020000}"/>
    <cellStyle name="20% - Accent4 2 2 3 2" xfId="533" xr:uid="{00000000-0005-0000-0000-000015020000}"/>
    <cellStyle name="20% - Accent4 2 2 3 2 2" xfId="534" xr:uid="{00000000-0005-0000-0000-000016020000}"/>
    <cellStyle name="20% - Accent4 2 2 3 3" xfId="535" xr:uid="{00000000-0005-0000-0000-000017020000}"/>
    <cellStyle name="20% - Accent4 2 2 4" xfId="536" xr:uid="{00000000-0005-0000-0000-000018020000}"/>
    <cellStyle name="20% - Accent4 2 2 4 2" xfId="537" xr:uid="{00000000-0005-0000-0000-000019020000}"/>
    <cellStyle name="20% - Accent4 2 2 4 2 2" xfId="538" xr:uid="{00000000-0005-0000-0000-00001A020000}"/>
    <cellStyle name="20% - Accent4 2 2 4 2 2 2" xfId="539" xr:uid="{00000000-0005-0000-0000-00001B020000}"/>
    <cellStyle name="20% - Accent4 2 2 4 2 3" xfId="540" xr:uid="{00000000-0005-0000-0000-00001C020000}"/>
    <cellStyle name="20% - Accent4 2 2 4 3" xfId="541" xr:uid="{00000000-0005-0000-0000-00001D020000}"/>
    <cellStyle name="20% - Accent4 2 2 4 3 2" xfId="542" xr:uid="{00000000-0005-0000-0000-00001E020000}"/>
    <cellStyle name="20% - Accent4 2 2 4 4" xfId="543" xr:uid="{00000000-0005-0000-0000-00001F020000}"/>
    <cellStyle name="20% - Accent4 2 2 5" xfId="544" xr:uid="{00000000-0005-0000-0000-000020020000}"/>
    <cellStyle name="20% - Accent4 2 2 5 2" xfId="545" xr:uid="{00000000-0005-0000-0000-000021020000}"/>
    <cellStyle name="20% - Accent4 2 2 6" xfId="546" xr:uid="{00000000-0005-0000-0000-000022020000}"/>
    <cellStyle name="20% - Accent4 2 3" xfId="547" xr:uid="{00000000-0005-0000-0000-000023020000}"/>
    <cellStyle name="20% - Accent4 2 3 2" xfId="548" xr:uid="{00000000-0005-0000-0000-000024020000}"/>
    <cellStyle name="20% - Accent4 2 3 2 2" xfId="549" xr:uid="{00000000-0005-0000-0000-000025020000}"/>
    <cellStyle name="20% - Accent4 2 3 2 2 2" xfId="550" xr:uid="{00000000-0005-0000-0000-000026020000}"/>
    <cellStyle name="20% - Accent4 2 3 2 3" xfId="551" xr:uid="{00000000-0005-0000-0000-000027020000}"/>
    <cellStyle name="20% - Accent4 2 3 3" xfId="552" xr:uid="{00000000-0005-0000-0000-000028020000}"/>
    <cellStyle name="20% - Accent4 2 3 3 2" xfId="553" xr:uid="{00000000-0005-0000-0000-000029020000}"/>
    <cellStyle name="20% - Accent4 2 3 3 2 2" xfId="554" xr:uid="{00000000-0005-0000-0000-00002A020000}"/>
    <cellStyle name="20% - Accent4 2 3 3 2 2 2" xfId="555" xr:uid="{00000000-0005-0000-0000-00002B020000}"/>
    <cellStyle name="20% - Accent4 2 3 3 2 3" xfId="556" xr:uid="{00000000-0005-0000-0000-00002C020000}"/>
    <cellStyle name="20% - Accent4 2 3 3 3" xfId="557" xr:uid="{00000000-0005-0000-0000-00002D020000}"/>
    <cellStyle name="20% - Accent4 2 3 3 3 2" xfId="558" xr:uid="{00000000-0005-0000-0000-00002E020000}"/>
    <cellStyle name="20% - Accent4 2 3 3 4" xfId="559" xr:uid="{00000000-0005-0000-0000-00002F020000}"/>
    <cellStyle name="20% - Accent4 2 3 4" xfId="560" xr:uid="{00000000-0005-0000-0000-000030020000}"/>
    <cellStyle name="20% - Accent4 2 3 4 2" xfId="561" xr:uid="{00000000-0005-0000-0000-000031020000}"/>
    <cellStyle name="20% - Accent4 2 3 5" xfId="562" xr:uid="{00000000-0005-0000-0000-000032020000}"/>
    <cellStyle name="20% - Accent4 2 4" xfId="563" xr:uid="{00000000-0005-0000-0000-000033020000}"/>
    <cellStyle name="20% - Accent4 2 4 2" xfId="564" xr:uid="{00000000-0005-0000-0000-000034020000}"/>
    <cellStyle name="20% - Accent4 2 4 2 2" xfId="565" xr:uid="{00000000-0005-0000-0000-000035020000}"/>
    <cellStyle name="20% - Accent4 2 4 2 2 2" xfId="566" xr:uid="{00000000-0005-0000-0000-000036020000}"/>
    <cellStyle name="20% - Accent4 2 4 2 3" xfId="567" xr:uid="{00000000-0005-0000-0000-000037020000}"/>
    <cellStyle name="20% - Accent4 2 4 3" xfId="568" xr:uid="{00000000-0005-0000-0000-000038020000}"/>
    <cellStyle name="20% - Accent4 2 4 3 2" xfId="569" xr:uid="{00000000-0005-0000-0000-000039020000}"/>
    <cellStyle name="20% - Accent4 2 4 4" xfId="570" xr:uid="{00000000-0005-0000-0000-00003A020000}"/>
    <cellStyle name="20% - Accent4 2 5" xfId="571" xr:uid="{00000000-0005-0000-0000-00003B020000}"/>
    <cellStyle name="20% - Accent4 2 5 2" xfId="572" xr:uid="{00000000-0005-0000-0000-00003C020000}"/>
    <cellStyle name="20% - Accent4 2 5 2 2" xfId="573" xr:uid="{00000000-0005-0000-0000-00003D020000}"/>
    <cellStyle name="20% - Accent4 2 5 2 2 2" xfId="574" xr:uid="{00000000-0005-0000-0000-00003E020000}"/>
    <cellStyle name="20% - Accent4 2 5 2 3" xfId="575" xr:uid="{00000000-0005-0000-0000-00003F020000}"/>
    <cellStyle name="20% - Accent4 2 5 3" xfId="576" xr:uid="{00000000-0005-0000-0000-000040020000}"/>
    <cellStyle name="20% - Accent4 2 5 3 2" xfId="577" xr:uid="{00000000-0005-0000-0000-000041020000}"/>
    <cellStyle name="20% - Accent4 2 5 3 2 2" xfId="578" xr:uid="{00000000-0005-0000-0000-000042020000}"/>
    <cellStyle name="20% - Accent4 2 5 3 2 2 2" xfId="579" xr:uid="{00000000-0005-0000-0000-000043020000}"/>
    <cellStyle name="20% - Accent4 2 5 3 2 3" xfId="580" xr:uid="{00000000-0005-0000-0000-000044020000}"/>
    <cellStyle name="20% - Accent4 2 5 3 3" xfId="581" xr:uid="{00000000-0005-0000-0000-000045020000}"/>
    <cellStyle name="20% - Accent4 2 5 3 3 2" xfId="582" xr:uid="{00000000-0005-0000-0000-000046020000}"/>
    <cellStyle name="20% - Accent4 2 5 3 4" xfId="583" xr:uid="{00000000-0005-0000-0000-000047020000}"/>
    <cellStyle name="20% - Accent4 2 5 4" xfId="584" xr:uid="{00000000-0005-0000-0000-000048020000}"/>
    <cellStyle name="20% - Accent4 2 5 4 2" xfId="585" xr:uid="{00000000-0005-0000-0000-000049020000}"/>
    <cellStyle name="20% - Accent4 2 5 5" xfId="586" xr:uid="{00000000-0005-0000-0000-00004A020000}"/>
    <cellStyle name="20% - Accent4 2 6" xfId="587" xr:uid="{00000000-0005-0000-0000-00004B020000}"/>
    <cellStyle name="20% - Accent4 2 6 2" xfId="588" xr:uid="{00000000-0005-0000-0000-00004C020000}"/>
    <cellStyle name="20% - Accent4 2 6 2 2" xfId="589" xr:uid="{00000000-0005-0000-0000-00004D020000}"/>
    <cellStyle name="20% - Accent4 2 6 3" xfId="590" xr:uid="{00000000-0005-0000-0000-00004E020000}"/>
    <cellStyle name="20% - Accent4 2 7" xfId="591" xr:uid="{00000000-0005-0000-0000-00004F020000}"/>
    <cellStyle name="20% - Accent4 2 7 2" xfId="592" xr:uid="{00000000-0005-0000-0000-000050020000}"/>
    <cellStyle name="20% - Accent4 2 7 2 2" xfId="593" xr:uid="{00000000-0005-0000-0000-000051020000}"/>
    <cellStyle name="20% - Accent4 2 7 3" xfId="594" xr:uid="{00000000-0005-0000-0000-000052020000}"/>
    <cellStyle name="20% - Accent4 2 8" xfId="595" xr:uid="{00000000-0005-0000-0000-000053020000}"/>
    <cellStyle name="20% - Accent4 2 8 2" xfId="596" xr:uid="{00000000-0005-0000-0000-000054020000}"/>
    <cellStyle name="20% - Accent4 2 8 2 2" xfId="597" xr:uid="{00000000-0005-0000-0000-000055020000}"/>
    <cellStyle name="20% - Accent4 2 8 2 2 2" xfId="598" xr:uid="{00000000-0005-0000-0000-000056020000}"/>
    <cellStyle name="20% - Accent4 2 8 2 3" xfId="599" xr:uid="{00000000-0005-0000-0000-000057020000}"/>
    <cellStyle name="20% - Accent4 2 8 3" xfId="600" xr:uid="{00000000-0005-0000-0000-000058020000}"/>
    <cellStyle name="20% - Accent4 2 8 3 2" xfId="601" xr:uid="{00000000-0005-0000-0000-000059020000}"/>
    <cellStyle name="20% - Accent4 2 8 4" xfId="602" xr:uid="{00000000-0005-0000-0000-00005A020000}"/>
    <cellStyle name="20% - Accent4 2 9" xfId="603" xr:uid="{00000000-0005-0000-0000-00005B020000}"/>
    <cellStyle name="20% - Accent4 2 9 2" xfId="604" xr:uid="{00000000-0005-0000-0000-00005C020000}"/>
    <cellStyle name="20% - Accent4 3" xfId="605" xr:uid="{00000000-0005-0000-0000-00005D020000}"/>
    <cellStyle name="20% - Accent4 3 2" xfId="606" xr:uid="{00000000-0005-0000-0000-00005E020000}"/>
    <cellStyle name="20% - Accent4 3 2 2" xfId="607" xr:uid="{00000000-0005-0000-0000-00005F020000}"/>
    <cellStyle name="20% - Accent4 3 2 2 2" xfId="608" xr:uid="{00000000-0005-0000-0000-000060020000}"/>
    <cellStyle name="20% - Accent4 3 2 3" xfId="609" xr:uid="{00000000-0005-0000-0000-000061020000}"/>
    <cellStyle name="20% - Accent4 3 3" xfId="610" xr:uid="{00000000-0005-0000-0000-000062020000}"/>
    <cellStyle name="20% - Accent4 3 3 2" xfId="611" xr:uid="{00000000-0005-0000-0000-000063020000}"/>
    <cellStyle name="20% - Accent4 3 4" xfId="612" xr:uid="{00000000-0005-0000-0000-000064020000}"/>
    <cellStyle name="20% - Accent4 3 4 2" xfId="613" xr:uid="{00000000-0005-0000-0000-000065020000}"/>
    <cellStyle name="20% - Accent4 3 4 2 2" xfId="614" xr:uid="{00000000-0005-0000-0000-000066020000}"/>
    <cellStyle name="20% - Accent4 3 4 3" xfId="615" xr:uid="{00000000-0005-0000-0000-000067020000}"/>
    <cellStyle name="20% - Accent4 3 5" xfId="616" xr:uid="{00000000-0005-0000-0000-000068020000}"/>
    <cellStyle name="20% - Accent4 4" xfId="617" xr:uid="{00000000-0005-0000-0000-000069020000}"/>
    <cellStyle name="20% - Accent4 4 2" xfId="618" xr:uid="{00000000-0005-0000-0000-00006A020000}"/>
    <cellStyle name="20% - Accent4 4 2 2" xfId="619" xr:uid="{00000000-0005-0000-0000-00006B020000}"/>
    <cellStyle name="20% - Accent4 4 3" xfId="620" xr:uid="{00000000-0005-0000-0000-00006C020000}"/>
    <cellStyle name="20% - Accent4 4 3 2" xfId="621" xr:uid="{00000000-0005-0000-0000-00006D020000}"/>
    <cellStyle name="20% - Accent4 4 3 2 2" xfId="622" xr:uid="{00000000-0005-0000-0000-00006E020000}"/>
    <cellStyle name="20% - Accent4 4 3 3" xfId="623" xr:uid="{00000000-0005-0000-0000-00006F020000}"/>
    <cellStyle name="20% - Accent4 4 4" xfId="624" xr:uid="{00000000-0005-0000-0000-000070020000}"/>
    <cellStyle name="20% - Accent4 5" xfId="625" xr:uid="{00000000-0005-0000-0000-000071020000}"/>
    <cellStyle name="20% - Accent4 5 2" xfId="626" xr:uid="{00000000-0005-0000-0000-000072020000}"/>
    <cellStyle name="20% - Accent4 5 2 2" xfId="627" xr:uid="{00000000-0005-0000-0000-000073020000}"/>
    <cellStyle name="20% - Accent4 5 2 2 2" xfId="628" xr:uid="{00000000-0005-0000-0000-000074020000}"/>
    <cellStyle name="20% - Accent4 5 2 3" xfId="629" xr:uid="{00000000-0005-0000-0000-000075020000}"/>
    <cellStyle name="20% - Accent4 5 3" xfId="630" xr:uid="{00000000-0005-0000-0000-000076020000}"/>
    <cellStyle name="20% - Accent4 5 3 2" xfId="631" xr:uid="{00000000-0005-0000-0000-000077020000}"/>
    <cellStyle name="20% - Accent4 5 3 2 2" xfId="632" xr:uid="{00000000-0005-0000-0000-000078020000}"/>
    <cellStyle name="20% - Accent4 5 3 2 2 2" xfId="633" xr:uid="{00000000-0005-0000-0000-000079020000}"/>
    <cellStyle name="20% - Accent4 5 3 2 3" xfId="634" xr:uid="{00000000-0005-0000-0000-00007A020000}"/>
    <cellStyle name="20% - Accent4 5 3 3" xfId="635" xr:uid="{00000000-0005-0000-0000-00007B020000}"/>
    <cellStyle name="20% - Accent4 5 3 3 2" xfId="636" xr:uid="{00000000-0005-0000-0000-00007C020000}"/>
    <cellStyle name="20% - Accent4 5 3 4" xfId="637" xr:uid="{00000000-0005-0000-0000-00007D020000}"/>
    <cellStyle name="20% - Accent4 5 4" xfId="638" xr:uid="{00000000-0005-0000-0000-00007E020000}"/>
    <cellStyle name="20% - Accent4 5 4 2" xfId="639" xr:uid="{00000000-0005-0000-0000-00007F020000}"/>
    <cellStyle name="20% - Accent4 5 5" xfId="640" xr:uid="{00000000-0005-0000-0000-000080020000}"/>
    <cellStyle name="20% - Accent4 6" xfId="641" xr:uid="{00000000-0005-0000-0000-000081020000}"/>
    <cellStyle name="20% - Accent4 6 2" xfId="642" xr:uid="{00000000-0005-0000-0000-000082020000}"/>
    <cellStyle name="20% - Accent4 6 2 2" xfId="643" xr:uid="{00000000-0005-0000-0000-000083020000}"/>
    <cellStyle name="20% - Accent4 6 2 2 2" xfId="644" xr:uid="{00000000-0005-0000-0000-000084020000}"/>
    <cellStyle name="20% - Accent4 6 2 3" xfId="645" xr:uid="{00000000-0005-0000-0000-000085020000}"/>
    <cellStyle name="20% - Accent4 6 3" xfId="646" xr:uid="{00000000-0005-0000-0000-000086020000}"/>
    <cellStyle name="20% - Accent4 6 3 2" xfId="647" xr:uid="{00000000-0005-0000-0000-000087020000}"/>
    <cellStyle name="20% - Accent4 6 4" xfId="648" xr:uid="{00000000-0005-0000-0000-000088020000}"/>
    <cellStyle name="20% - Accent4 7" xfId="649" xr:uid="{00000000-0005-0000-0000-000089020000}"/>
    <cellStyle name="20% - Accent4 8" xfId="650" xr:uid="{00000000-0005-0000-0000-00008A020000}"/>
    <cellStyle name="20% - Accent5 2" xfId="651" xr:uid="{00000000-0005-0000-0000-00008B020000}"/>
    <cellStyle name="20% - Accent5 2 10" xfId="652" xr:uid="{00000000-0005-0000-0000-00008C020000}"/>
    <cellStyle name="20% - Accent5 2 10 2" xfId="653" xr:uid="{00000000-0005-0000-0000-00008D020000}"/>
    <cellStyle name="20% - Accent5 2 11" xfId="654" xr:uid="{00000000-0005-0000-0000-00008E020000}"/>
    <cellStyle name="20% - Accent5 2 2" xfId="655" xr:uid="{00000000-0005-0000-0000-00008F020000}"/>
    <cellStyle name="20% - Accent5 2 2 2" xfId="656" xr:uid="{00000000-0005-0000-0000-000090020000}"/>
    <cellStyle name="20% - Accent5 2 2 2 2" xfId="657" xr:uid="{00000000-0005-0000-0000-000091020000}"/>
    <cellStyle name="20% - Accent5 2 2 2 2 2" xfId="658" xr:uid="{00000000-0005-0000-0000-000092020000}"/>
    <cellStyle name="20% - Accent5 2 2 2 3" xfId="659" xr:uid="{00000000-0005-0000-0000-000093020000}"/>
    <cellStyle name="20% - Accent5 2 2 2 3 2" xfId="660" xr:uid="{00000000-0005-0000-0000-000094020000}"/>
    <cellStyle name="20% - Accent5 2 2 2 3 2 2" xfId="661" xr:uid="{00000000-0005-0000-0000-000095020000}"/>
    <cellStyle name="20% - Accent5 2 2 2 3 3" xfId="662" xr:uid="{00000000-0005-0000-0000-000096020000}"/>
    <cellStyle name="20% - Accent5 2 2 2 4" xfId="663" xr:uid="{00000000-0005-0000-0000-000097020000}"/>
    <cellStyle name="20% - Accent5 2 2 3" xfId="664" xr:uid="{00000000-0005-0000-0000-000098020000}"/>
    <cellStyle name="20% - Accent5 2 2 3 2" xfId="665" xr:uid="{00000000-0005-0000-0000-000099020000}"/>
    <cellStyle name="20% - Accent5 2 2 3 2 2" xfId="666" xr:uid="{00000000-0005-0000-0000-00009A020000}"/>
    <cellStyle name="20% - Accent5 2 2 3 3" xfId="667" xr:uid="{00000000-0005-0000-0000-00009B020000}"/>
    <cellStyle name="20% - Accent5 2 2 4" xfId="668" xr:uid="{00000000-0005-0000-0000-00009C020000}"/>
    <cellStyle name="20% - Accent5 2 2 4 2" xfId="669" xr:uid="{00000000-0005-0000-0000-00009D020000}"/>
    <cellStyle name="20% - Accent5 2 2 4 2 2" xfId="670" xr:uid="{00000000-0005-0000-0000-00009E020000}"/>
    <cellStyle name="20% - Accent5 2 2 4 2 2 2" xfId="671" xr:uid="{00000000-0005-0000-0000-00009F020000}"/>
    <cellStyle name="20% - Accent5 2 2 4 2 3" xfId="672" xr:uid="{00000000-0005-0000-0000-0000A0020000}"/>
    <cellStyle name="20% - Accent5 2 2 4 3" xfId="673" xr:uid="{00000000-0005-0000-0000-0000A1020000}"/>
    <cellStyle name="20% - Accent5 2 2 4 3 2" xfId="674" xr:uid="{00000000-0005-0000-0000-0000A2020000}"/>
    <cellStyle name="20% - Accent5 2 2 4 4" xfId="675" xr:uid="{00000000-0005-0000-0000-0000A3020000}"/>
    <cellStyle name="20% - Accent5 2 2 5" xfId="676" xr:uid="{00000000-0005-0000-0000-0000A4020000}"/>
    <cellStyle name="20% - Accent5 2 2 5 2" xfId="677" xr:uid="{00000000-0005-0000-0000-0000A5020000}"/>
    <cellStyle name="20% - Accent5 2 2 6" xfId="678" xr:uid="{00000000-0005-0000-0000-0000A6020000}"/>
    <cellStyle name="20% - Accent5 2 3" xfId="679" xr:uid="{00000000-0005-0000-0000-0000A7020000}"/>
    <cellStyle name="20% - Accent5 2 3 2" xfId="680" xr:uid="{00000000-0005-0000-0000-0000A8020000}"/>
    <cellStyle name="20% - Accent5 2 3 2 2" xfId="681" xr:uid="{00000000-0005-0000-0000-0000A9020000}"/>
    <cellStyle name="20% - Accent5 2 3 2 2 2" xfId="682" xr:uid="{00000000-0005-0000-0000-0000AA020000}"/>
    <cellStyle name="20% - Accent5 2 3 2 3" xfId="683" xr:uid="{00000000-0005-0000-0000-0000AB020000}"/>
    <cellStyle name="20% - Accent5 2 3 3" xfId="684" xr:uid="{00000000-0005-0000-0000-0000AC020000}"/>
    <cellStyle name="20% - Accent5 2 3 3 2" xfId="685" xr:uid="{00000000-0005-0000-0000-0000AD020000}"/>
    <cellStyle name="20% - Accent5 2 3 3 2 2" xfId="686" xr:uid="{00000000-0005-0000-0000-0000AE020000}"/>
    <cellStyle name="20% - Accent5 2 3 3 2 2 2" xfId="687" xr:uid="{00000000-0005-0000-0000-0000AF020000}"/>
    <cellStyle name="20% - Accent5 2 3 3 2 3" xfId="688" xr:uid="{00000000-0005-0000-0000-0000B0020000}"/>
    <cellStyle name="20% - Accent5 2 3 3 3" xfId="689" xr:uid="{00000000-0005-0000-0000-0000B1020000}"/>
    <cellStyle name="20% - Accent5 2 3 3 3 2" xfId="690" xr:uid="{00000000-0005-0000-0000-0000B2020000}"/>
    <cellStyle name="20% - Accent5 2 3 3 4" xfId="691" xr:uid="{00000000-0005-0000-0000-0000B3020000}"/>
    <cellStyle name="20% - Accent5 2 3 4" xfId="692" xr:uid="{00000000-0005-0000-0000-0000B4020000}"/>
    <cellStyle name="20% - Accent5 2 3 4 2" xfId="693" xr:uid="{00000000-0005-0000-0000-0000B5020000}"/>
    <cellStyle name="20% - Accent5 2 3 5" xfId="694" xr:uid="{00000000-0005-0000-0000-0000B6020000}"/>
    <cellStyle name="20% - Accent5 2 4" xfId="695" xr:uid="{00000000-0005-0000-0000-0000B7020000}"/>
    <cellStyle name="20% - Accent5 2 4 2" xfId="696" xr:uid="{00000000-0005-0000-0000-0000B8020000}"/>
    <cellStyle name="20% - Accent5 2 4 2 2" xfId="697" xr:uid="{00000000-0005-0000-0000-0000B9020000}"/>
    <cellStyle name="20% - Accent5 2 4 2 2 2" xfId="698" xr:uid="{00000000-0005-0000-0000-0000BA020000}"/>
    <cellStyle name="20% - Accent5 2 4 2 3" xfId="699" xr:uid="{00000000-0005-0000-0000-0000BB020000}"/>
    <cellStyle name="20% - Accent5 2 4 3" xfId="700" xr:uid="{00000000-0005-0000-0000-0000BC020000}"/>
    <cellStyle name="20% - Accent5 2 4 3 2" xfId="701" xr:uid="{00000000-0005-0000-0000-0000BD020000}"/>
    <cellStyle name="20% - Accent5 2 4 4" xfId="702" xr:uid="{00000000-0005-0000-0000-0000BE020000}"/>
    <cellStyle name="20% - Accent5 2 5" xfId="703" xr:uid="{00000000-0005-0000-0000-0000BF020000}"/>
    <cellStyle name="20% - Accent5 2 5 2" xfId="704" xr:uid="{00000000-0005-0000-0000-0000C0020000}"/>
    <cellStyle name="20% - Accent5 2 5 2 2" xfId="705" xr:uid="{00000000-0005-0000-0000-0000C1020000}"/>
    <cellStyle name="20% - Accent5 2 5 2 2 2" xfId="706" xr:uid="{00000000-0005-0000-0000-0000C2020000}"/>
    <cellStyle name="20% - Accent5 2 5 2 3" xfId="707" xr:uid="{00000000-0005-0000-0000-0000C3020000}"/>
    <cellStyle name="20% - Accent5 2 5 3" xfId="708" xr:uid="{00000000-0005-0000-0000-0000C4020000}"/>
    <cellStyle name="20% - Accent5 2 5 3 2" xfId="709" xr:uid="{00000000-0005-0000-0000-0000C5020000}"/>
    <cellStyle name="20% - Accent5 2 5 3 2 2" xfId="710" xr:uid="{00000000-0005-0000-0000-0000C6020000}"/>
    <cellStyle name="20% - Accent5 2 5 3 2 2 2" xfId="711" xr:uid="{00000000-0005-0000-0000-0000C7020000}"/>
    <cellStyle name="20% - Accent5 2 5 3 2 3" xfId="712" xr:uid="{00000000-0005-0000-0000-0000C8020000}"/>
    <cellStyle name="20% - Accent5 2 5 3 3" xfId="713" xr:uid="{00000000-0005-0000-0000-0000C9020000}"/>
    <cellStyle name="20% - Accent5 2 5 3 3 2" xfId="714" xr:uid="{00000000-0005-0000-0000-0000CA020000}"/>
    <cellStyle name="20% - Accent5 2 5 3 4" xfId="715" xr:uid="{00000000-0005-0000-0000-0000CB020000}"/>
    <cellStyle name="20% - Accent5 2 5 4" xfId="716" xr:uid="{00000000-0005-0000-0000-0000CC020000}"/>
    <cellStyle name="20% - Accent5 2 5 4 2" xfId="717" xr:uid="{00000000-0005-0000-0000-0000CD020000}"/>
    <cellStyle name="20% - Accent5 2 5 5" xfId="718" xr:uid="{00000000-0005-0000-0000-0000CE020000}"/>
    <cellStyle name="20% - Accent5 2 6" xfId="719" xr:uid="{00000000-0005-0000-0000-0000CF020000}"/>
    <cellStyle name="20% - Accent5 2 6 2" xfId="720" xr:uid="{00000000-0005-0000-0000-0000D0020000}"/>
    <cellStyle name="20% - Accent5 2 6 2 2" xfId="721" xr:uid="{00000000-0005-0000-0000-0000D1020000}"/>
    <cellStyle name="20% - Accent5 2 6 3" xfId="722" xr:uid="{00000000-0005-0000-0000-0000D2020000}"/>
    <cellStyle name="20% - Accent5 2 7" xfId="723" xr:uid="{00000000-0005-0000-0000-0000D3020000}"/>
    <cellStyle name="20% - Accent5 2 7 2" xfId="724" xr:uid="{00000000-0005-0000-0000-0000D4020000}"/>
    <cellStyle name="20% - Accent5 2 7 2 2" xfId="725" xr:uid="{00000000-0005-0000-0000-0000D5020000}"/>
    <cellStyle name="20% - Accent5 2 7 3" xfId="726" xr:uid="{00000000-0005-0000-0000-0000D6020000}"/>
    <cellStyle name="20% - Accent5 2 8" xfId="727" xr:uid="{00000000-0005-0000-0000-0000D7020000}"/>
    <cellStyle name="20% - Accent5 2 8 2" xfId="728" xr:uid="{00000000-0005-0000-0000-0000D8020000}"/>
    <cellStyle name="20% - Accent5 2 8 2 2" xfId="729" xr:uid="{00000000-0005-0000-0000-0000D9020000}"/>
    <cellStyle name="20% - Accent5 2 8 2 2 2" xfId="730" xr:uid="{00000000-0005-0000-0000-0000DA020000}"/>
    <cellStyle name="20% - Accent5 2 8 2 3" xfId="731" xr:uid="{00000000-0005-0000-0000-0000DB020000}"/>
    <cellStyle name="20% - Accent5 2 8 3" xfId="732" xr:uid="{00000000-0005-0000-0000-0000DC020000}"/>
    <cellStyle name="20% - Accent5 2 8 3 2" xfId="733" xr:uid="{00000000-0005-0000-0000-0000DD020000}"/>
    <cellStyle name="20% - Accent5 2 8 4" xfId="734" xr:uid="{00000000-0005-0000-0000-0000DE020000}"/>
    <cellStyle name="20% - Accent5 2 9" xfId="735" xr:uid="{00000000-0005-0000-0000-0000DF020000}"/>
    <cellStyle name="20% - Accent5 2 9 2" xfId="736" xr:uid="{00000000-0005-0000-0000-0000E0020000}"/>
    <cellStyle name="20% - Accent5 3" xfId="737" xr:uid="{00000000-0005-0000-0000-0000E1020000}"/>
    <cellStyle name="20% - Accent5 3 2" xfId="738" xr:uid="{00000000-0005-0000-0000-0000E2020000}"/>
    <cellStyle name="20% - Accent5 3 2 2" xfId="739" xr:uid="{00000000-0005-0000-0000-0000E3020000}"/>
    <cellStyle name="20% - Accent5 3 2 2 2" xfId="740" xr:uid="{00000000-0005-0000-0000-0000E4020000}"/>
    <cellStyle name="20% - Accent5 3 2 3" xfId="741" xr:uid="{00000000-0005-0000-0000-0000E5020000}"/>
    <cellStyle name="20% - Accent5 3 3" xfId="742" xr:uid="{00000000-0005-0000-0000-0000E6020000}"/>
    <cellStyle name="20% - Accent5 3 3 2" xfId="743" xr:uid="{00000000-0005-0000-0000-0000E7020000}"/>
    <cellStyle name="20% - Accent5 3 4" xfId="744" xr:uid="{00000000-0005-0000-0000-0000E8020000}"/>
    <cellStyle name="20% - Accent5 3 4 2" xfId="745" xr:uid="{00000000-0005-0000-0000-0000E9020000}"/>
    <cellStyle name="20% - Accent5 3 4 2 2" xfId="746" xr:uid="{00000000-0005-0000-0000-0000EA020000}"/>
    <cellStyle name="20% - Accent5 3 4 3" xfId="747" xr:uid="{00000000-0005-0000-0000-0000EB020000}"/>
    <cellStyle name="20% - Accent5 3 5" xfId="748" xr:uid="{00000000-0005-0000-0000-0000EC020000}"/>
    <cellStyle name="20% - Accent5 4" xfId="749" xr:uid="{00000000-0005-0000-0000-0000ED020000}"/>
    <cellStyle name="20% - Accent5 4 2" xfId="750" xr:uid="{00000000-0005-0000-0000-0000EE020000}"/>
    <cellStyle name="20% - Accent5 4 2 2" xfId="751" xr:uid="{00000000-0005-0000-0000-0000EF020000}"/>
    <cellStyle name="20% - Accent5 4 3" xfId="752" xr:uid="{00000000-0005-0000-0000-0000F0020000}"/>
    <cellStyle name="20% - Accent5 4 3 2" xfId="753" xr:uid="{00000000-0005-0000-0000-0000F1020000}"/>
    <cellStyle name="20% - Accent5 4 3 2 2" xfId="754" xr:uid="{00000000-0005-0000-0000-0000F2020000}"/>
    <cellStyle name="20% - Accent5 4 3 3" xfId="755" xr:uid="{00000000-0005-0000-0000-0000F3020000}"/>
    <cellStyle name="20% - Accent5 4 4" xfId="756" xr:uid="{00000000-0005-0000-0000-0000F4020000}"/>
    <cellStyle name="20% - Accent5 5" xfId="757" xr:uid="{00000000-0005-0000-0000-0000F5020000}"/>
    <cellStyle name="20% - Accent5 5 2" xfId="758" xr:uid="{00000000-0005-0000-0000-0000F6020000}"/>
    <cellStyle name="20% - Accent5 5 2 2" xfId="759" xr:uid="{00000000-0005-0000-0000-0000F7020000}"/>
    <cellStyle name="20% - Accent5 5 2 2 2" xfId="760" xr:uid="{00000000-0005-0000-0000-0000F8020000}"/>
    <cellStyle name="20% - Accent5 5 2 3" xfId="761" xr:uid="{00000000-0005-0000-0000-0000F9020000}"/>
    <cellStyle name="20% - Accent5 5 3" xfId="762" xr:uid="{00000000-0005-0000-0000-0000FA020000}"/>
    <cellStyle name="20% - Accent5 5 3 2" xfId="763" xr:uid="{00000000-0005-0000-0000-0000FB020000}"/>
    <cellStyle name="20% - Accent5 5 3 2 2" xfId="764" xr:uid="{00000000-0005-0000-0000-0000FC020000}"/>
    <cellStyle name="20% - Accent5 5 3 2 2 2" xfId="765" xr:uid="{00000000-0005-0000-0000-0000FD020000}"/>
    <cellStyle name="20% - Accent5 5 3 2 3" xfId="766" xr:uid="{00000000-0005-0000-0000-0000FE020000}"/>
    <cellStyle name="20% - Accent5 5 3 3" xfId="767" xr:uid="{00000000-0005-0000-0000-0000FF020000}"/>
    <cellStyle name="20% - Accent5 5 3 3 2" xfId="768" xr:uid="{00000000-0005-0000-0000-000000030000}"/>
    <cellStyle name="20% - Accent5 5 3 4" xfId="769" xr:uid="{00000000-0005-0000-0000-000001030000}"/>
    <cellStyle name="20% - Accent5 5 4" xfId="770" xr:uid="{00000000-0005-0000-0000-000002030000}"/>
    <cellStyle name="20% - Accent5 5 4 2" xfId="771" xr:uid="{00000000-0005-0000-0000-000003030000}"/>
    <cellStyle name="20% - Accent5 5 5" xfId="772" xr:uid="{00000000-0005-0000-0000-000004030000}"/>
    <cellStyle name="20% - Accent5 6" xfId="773" xr:uid="{00000000-0005-0000-0000-000005030000}"/>
    <cellStyle name="20% - Accent5 6 2" xfId="774" xr:uid="{00000000-0005-0000-0000-000006030000}"/>
    <cellStyle name="20% - Accent5 6 2 2" xfId="775" xr:uid="{00000000-0005-0000-0000-000007030000}"/>
    <cellStyle name="20% - Accent5 6 2 2 2" xfId="776" xr:uid="{00000000-0005-0000-0000-000008030000}"/>
    <cellStyle name="20% - Accent5 6 2 3" xfId="777" xr:uid="{00000000-0005-0000-0000-000009030000}"/>
    <cellStyle name="20% - Accent5 6 3" xfId="778" xr:uid="{00000000-0005-0000-0000-00000A030000}"/>
    <cellStyle name="20% - Accent5 6 3 2" xfId="779" xr:uid="{00000000-0005-0000-0000-00000B030000}"/>
    <cellStyle name="20% - Accent5 6 4" xfId="780" xr:uid="{00000000-0005-0000-0000-00000C030000}"/>
    <cellStyle name="20% - Accent5 7" xfId="781" xr:uid="{00000000-0005-0000-0000-00000D030000}"/>
    <cellStyle name="20% - Accent5 8" xfId="782" xr:uid="{00000000-0005-0000-0000-00000E030000}"/>
    <cellStyle name="20% - Accent6 2" xfId="783" xr:uid="{00000000-0005-0000-0000-00000F030000}"/>
    <cellStyle name="20% - Accent6 2 10" xfId="784" xr:uid="{00000000-0005-0000-0000-000010030000}"/>
    <cellStyle name="20% - Accent6 2 10 2" xfId="785" xr:uid="{00000000-0005-0000-0000-000011030000}"/>
    <cellStyle name="20% - Accent6 2 11" xfId="786" xr:uid="{00000000-0005-0000-0000-000012030000}"/>
    <cellStyle name="20% - Accent6 2 2" xfId="787" xr:uid="{00000000-0005-0000-0000-000013030000}"/>
    <cellStyle name="20% - Accent6 2 2 2" xfId="788" xr:uid="{00000000-0005-0000-0000-000014030000}"/>
    <cellStyle name="20% - Accent6 2 2 2 2" xfId="789" xr:uid="{00000000-0005-0000-0000-000015030000}"/>
    <cellStyle name="20% - Accent6 2 2 2 2 2" xfId="790" xr:uid="{00000000-0005-0000-0000-000016030000}"/>
    <cellStyle name="20% - Accent6 2 2 2 3" xfId="791" xr:uid="{00000000-0005-0000-0000-000017030000}"/>
    <cellStyle name="20% - Accent6 2 2 2 3 2" xfId="792" xr:uid="{00000000-0005-0000-0000-000018030000}"/>
    <cellStyle name="20% - Accent6 2 2 2 3 2 2" xfId="793" xr:uid="{00000000-0005-0000-0000-000019030000}"/>
    <cellStyle name="20% - Accent6 2 2 2 3 3" xfId="794" xr:uid="{00000000-0005-0000-0000-00001A030000}"/>
    <cellStyle name="20% - Accent6 2 2 2 4" xfId="795" xr:uid="{00000000-0005-0000-0000-00001B030000}"/>
    <cellStyle name="20% - Accent6 2 2 3" xfId="796" xr:uid="{00000000-0005-0000-0000-00001C030000}"/>
    <cellStyle name="20% - Accent6 2 2 3 2" xfId="797" xr:uid="{00000000-0005-0000-0000-00001D030000}"/>
    <cellStyle name="20% - Accent6 2 2 3 2 2" xfId="798" xr:uid="{00000000-0005-0000-0000-00001E030000}"/>
    <cellStyle name="20% - Accent6 2 2 3 3" xfId="799" xr:uid="{00000000-0005-0000-0000-00001F030000}"/>
    <cellStyle name="20% - Accent6 2 2 4" xfId="800" xr:uid="{00000000-0005-0000-0000-000020030000}"/>
    <cellStyle name="20% - Accent6 2 2 4 2" xfId="801" xr:uid="{00000000-0005-0000-0000-000021030000}"/>
    <cellStyle name="20% - Accent6 2 2 4 2 2" xfId="802" xr:uid="{00000000-0005-0000-0000-000022030000}"/>
    <cellStyle name="20% - Accent6 2 2 4 2 2 2" xfId="803" xr:uid="{00000000-0005-0000-0000-000023030000}"/>
    <cellStyle name="20% - Accent6 2 2 4 2 3" xfId="804" xr:uid="{00000000-0005-0000-0000-000024030000}"/>
    <cellStyle name="20% - Accent6 2 2 4 3" xfId="805" xr:uid="{00000000-0005-0000-0000-000025030000}"/>
    <cellStyle name="20% - Accent6 2 2 4 3 2" xfId="806" xr:uid="{00000000-0005-0000-0000-000026030000}"/>
    <cellStyle name="20% - Accent6 2 2 4 4" xfId="807" xr:uid="{00000000-0005-0000-0000-000027030000}"/>
    <cellStyle name="20% - Accent6 2 2 5" xfId="808" xr:uid="{00000000-0005-0000-0000-000028030000}"/>
    <cellStyle name="20% - Accent6 2 2 5 2" xfId="809" xr:uid="{00000000-0005-0000-0000-000029030000}"/>
    <cellStyle name="20% - Accent6 2 2 6" xfId="810" xr:uid="{00000000-0005-0000-0000-00002A030000}"/>
    <cellStyle name="20% - Accent6 2 3" xfId="811" xr:uid="{00000000-0005-0000-0000-00002B030000}"/>
    <cellStyle name="20% - Accent6 2 3 2" xfId="812" xr:uid="{00000000-0005-0000-0000-00002C030000}"/>
    <cellStyle name="20% - Accent6 2 3 2 2" xfId="813" xr:uid="{00000000-0005-0000-0000-00002D030000}"/>
    <cellStyle name="20% - Accent6 2 3 2 2 2" xfId="814" xr:uid="{00000000-0005-0000-0000-00002E030000}"/>
    <cellStyle name="20% - Accent6 2 3 2 3" xfId="815" xr:uid="{00000000-0005-0000-0000-00002F030000}"/>
    <cellStyle name="20% - Accent6 2 3 3" xfId="816" xr:uid="{00000000-0005-0000-0000-000030030000}"/>
    <cellStyle name="20% - Accent6 2 3 3 2" xfId="817" xr:uid="{00000000-0005-0000-0000-000031030000}"/>
    <cellStyle name="20% - Accent6 2 3 3 2 2" xfId="818" xr:uid="{00000000-0005-0000-0000-000032030000}"/>
    <cellStyle name="20% - Accent6 2 3 3 2 2 2" xfId="819" xr:uid="{00000000-0005-0000-0000-000033030000}"/>
    <cellStyle name="20% - Accent6 2 3 3 2 3" xfId="820" xr:uid="{00000000-0005-0000-0000-000034030000}"/>
    <cellStyle name="20% - Accent6 2 3 3 3" xfId="821" xr:uid="{00000000-0005-0000-0000-000035030000}"/>
    <cellStyle name="20% - Accent6 2 3 3 3 2" xfId="822" xr:uid="{00000000-0005-0000-0000-000036030000}"/>
    <cellStyle name="20% - Accent6 2 3 3 4" xfId="823" xr:uid="{00000000-0005-0000-0000-000037030000}"/>
    <cellStyle name="20% - Accent6 2 3 4" xfId="824" xr:uid="{00000000-0005-0000-0000-000038030000}"/>
    <cellStyle name="20% - Accent6 2 3 4 2" xfId="825" xr:uid="{00000000-0005-0000-0000-000039030000}"/>
    <cellStyle name="20% - Accent6 2 3 5" xfId="826" xr:uid="{00000000-0005-0000-0000-00003A030000}"/>
    <cellStyle name="20% - Accent6 2 4" xfId="827" xr:uid="{00000000-0005-0000-0000-00003B030000}"/>
    <cellStyle name="20% - Accent6 2 4 2" xfId="828" xr:uid="{00000000-0005-0000-0000-00003C030000}"/>
    <cellStyle name="20% - Accent6 2 4 2 2" xfId="829" xr:uid="{00000000-0005-0000-0000-00003D030000}"/>
    <cellStyle name="20% - Accent6 2 4 2 2 2" xfId="830" xr:uid="{00000000-0005-0000-0000-00003E030000}"/>
    <cellStyle name="20% - Accent6 2 4 2 3" xfId="831" xr:uid="{00000000-0005-0000-0000-00003F030000}"/>
    <cellStyle name="20% - Accent6 2 4 3" xfId="832" xr:uid="{00000000-0005-0000-0000-000040030000}"/>
    <cellStyle name="20% - Accent6 2 4 3 2" xfId="833" xr:uid="{00000000-0005-0000-0000-000041030000}"/>
    <cellStyle name="20% - Accent6 2 4 4" xfId="834" xr:uid="{00000000-0005-0000-0000-000042030000}"/>
    <cellStyle name="20% - Accent6 2 5" xfId="835" xr:uid="{00000000-0005-0000-0000-000043030000}"/>
    <cellStyle name="20% - Accent6 2 5 2" xfId="836" xr:uid="{00000000-0005-0000-0000-000044030000}"/>
    <cellStyle name="20% - Accent6 2 5 2 2" xfId="837" xr:uid="{00000000-0005-0000-0000-000045030000}"/>
    <cellStyle name="20% - Accent6 2 5 2 2 2" xfId="838" xr:uid="{00000000-0005-0000-0000-000046030000}"/>
    <cellStyle name="20% - Accent6 2 5 2 3" xfId="839" xr:uid="{00000000-0005-0000-0000-000047030000}"/>
    <cellStyle name="20% - Accent6 2 5 3" xfId="840" xr:uid="{00000000-0005-0000-0000-000048030000}"/>
    <cellStyle name="20% - Accent6 2 5 3 2" xfId="841" xr:uid="{00000000-0005-0000-0000-000049030000}"/>
    <cellStyle name="20% - Accent6 2 5 3 2 2" xfId="842" xr:uid="{00000000-0005-0000-0000-00004A030000}"/>
    <cellStyle name="20% - Accent6 2 5 3 2 2 2" xfId="843" xr:uid="{00000000-0005-0000-0000-00004B030000}"/>
    <cellStyle name="20% - Accent6 2 5 3 2 3" xfId="844" xr:uid="{00000000-0005-0000-0000-00004C030000}"/>
    <cellStyle name="20% - Accent6 2 5 3 3" xfId="845" xr:uid="{00000000-0005-0000-0000-00004D030000}"/>
    <cellStyle name="20% - Accent6 2 5 3 3 2" xfId="846" xr:uid="{00000000-0005-0000-0000-00004E030000}"/>
    <cellStyle name="20% - Accent6 2 5 3 4" xfId="847" xr:uid="{00000000-0005-0000-0000-00004F030000}"/>
    <cellStyle name="20% - Accent6 2 5 4" xfId="848" xr:uid="{00000000-0005-0000-0000-000050030000}"/>
    <cellStyle name="20% - Accent6 2 5 4 2" xfId="849" xr:uid="{00000000-0005-0000-0000-000051030000}"/>
    <cellStyle name="20% - Accent6 2 5 5" xfId="850" xr:uid="{00000000-0005-0000-0000-000052030000}"/>
    <cellStyle name="20% - Accent6 2 6" xfId="851" xr:uid="{00000000-0005-0000-0000-000053030000}"/>
    <cellStyle name="20% - Accent6 2 6 2" xfId="852" xr:uid="{00000000-0005-0000-0000-000054030000}"/>
    <cellStyle name="20% - Accent6 2 6 2 2" xfId="853" xr:uid="{00000000-0005-0000-0000-000055030000}"/>
    <cellStyle name="20% - Accent6 2 6 3" xfId="854" xr:uid="{00000000-0005-0000-0000-000056030000}"/>
    <cellStyle name="20% - Accent6 2 7" xfId="855" xr:uid="{00000000-0005-0000-0000-000057030000}"/>
    <cellStyle name="20% - Accent6 2 7 2" xfId="856" xr:uid="{00000000-0005-0000-0000-000058030000}"/>
    <cellStyle name="20% - Accent6 2 7 2 2" xfId="857" xr:uid="{00000000-0005-0000-0000-000059030000}"/>
    <cellStyle name="20% - Accent6 2 7 3" xfId="858" xr:uid="{00000000-0005-0000-0000-00005A030000}"/>
    <cellStyle name="20% - Accent6 2 8" xfId="859" xr:uid="{00000000-0005-0000-0000-00005B030000}"/>
    <cellStyle name="20% - Accent6 2 8 2" xfId="860" xr:uid="{00000000-0005-0000-0000-00005C030000}"/>
    <cellStyle name="20% - Accent6 2 8 2 2" xfId="861" xr:uid="{00000000-0005-0000-0000-00005D030000}"/>
    <cellStyle name="20% - Accent6 2 8 2 2 2" xfId="862" xr:uid="{00000000-0005-0000-0000-00005E030000}"/>
    <cellStyle name="20% - Accent6 2 8 2 3" xfId="863" xr:uid="{00000000-0005-0000-0000-00005F030000}"/>
    <cellStyle name="20% - Accent6 2 8 3" xfId="864" xr:uid="{00000000-0005-0000-0000-000060030000}"/>
    <cellStyle name="20% - Accent6 2 8 3 2" xfId="865" xr:uid="{00000000-0005-0000-0000-000061030000}"/>
    <cellStyle name="20% - Accent6 2 8 4" xfId="866" xr:uid="{00000000-0005-0000-0000-000062030000}"/>
    <cellStyle name="20% - Accent6 2 9" xfId="867" xr:uid="{00000000-0005-0000-0000-000063030000}"/>
    <cellStyle name="20% - Accent6 2 9 2" xfId="868" xr:uid="{00000000-0005-0000-0000-000064030000}"/>
    <cellStyle name="20% - Accent6 3" xfId="869" xr:uid="{00000000-0005-0000-0000-000065030000}"/>
    <cellStyle name="20% - Accent6 3 2" xfId="870" xr:uid="{00000000-0005-0000-0000-000066030000}"/>
    <cellStyle name="20% - Accent6 3 2 2" xfId="871" xr:uid="{00000000-0005-0000-0000-000067030000}"/>
    <cellStyle name="20% - Accent6 3 2 2 2" xfId="872" xr:uid="{00000000-0005-0000-0000-000068030000}"/>
    <cellStyle name="20% - Accent6 3 2 3" xfId="873" xr:uid="{00000000-0005-0000-0000-000069030000}"/>
    <cellStyle name="20% - Accent6 3 3" xfId="874" xr:uid="{00000000-0005-0000-0000-00006A030000}"/>
    <cellStyle name="20% - Accent6 3 3 2" xfId="875" xr:uid="{00000000-0005-0000-0000-00006B030000}"/>
    <cellStyle name="20% - Accent6 3 4" xfId="876" xr:uid="{00000000-0005-0000-0000-00006C030000}"/>
    <cellStyle name="20% - Accent6 3 4 2" xfId="877" xr:uid="{00000000-0005-0000-0000-00006D030000}"/>
    <cellStyle name="20% - Accent6 3 4 2 2" xfId="878" xr:uid="{00000000-0005-0000-0000-00006E030000}"/>
    <cellStyle name="20% - Accent6 3 4 3" xfId="879" xr:uid="{00000000-0005-0000-0000-00006F030000}"/>
    <cellStyle name="20% - Accent6 3 5" xfId="880" xr:uid="{00000000-0005-0000-0000-000070030000}"/>
    <cellStyle name="20% - Accent6 4" xfId="881" xr:uid="{00000000-0005-0000-0000-000071030000}"/>
    <cellStyle name="20% - Accent6 4 2" xfId="882" xr:uid="{00000000-0005-0000-0000-000072030000}"/>
    <cellStyle name="20% - Accent6 4 2 2" xfId="883" xr:uid="{00000000-0005-0000-0000-000073030000}"/>
    <cellStyle name="20% - Accent6 4 3" xfId="884" xr:uid="{00000000-0005-0000-0000-000074030000}"/>
    <cellStyle name="20% - Accent6 4 3 2" xfId="885" xr:uid="{00000000-0005-0000-0000-000075030000}"/>
    <cellStyle name="20% - Accent6 4 3 2 2" xfId="886" xr:uid="{00000000-0005-0000-0000-000076030000}"/>
    <cellStyle name="20% - Accent6 4 3 3" xfId="887" xr:uid="{00000000-0005-0000-0000-000077030000}"/>
    <cellStyle name="20% - Accent6 4 4" xfId="888" xr:uid="{00000000-0005-0000-0000-000078030000}"/>
    <cellStyle name="20% - Accent6 5" xfId="889" xr:uid="{00000000-0005-0000-0000-000079030000}"/>
    <cellStyle name="20% - Accent6 5 2" xfId="890" xr:uid="{00000000-0005-0000-0000-00007A030000}"/>
    <cellStyle name="20% - Accent6 5 2 2" xfId="891" xr:uid="{00000000-0005-0000-0000-00007B030000}"/>
    <cellStyle name="20% - Accent6 5 2 2 2" xfId="892" xr:uid="{00000000-0005-0000-0000-00007C030000}"/>
    <cellStyle name="20% - Accent6 5 2 3" xfId="893" xr:uid="{00000000-0005-0000-0000-00007D030000}"/>
    <cellStyle name="20% - Accent6 5 3" xfId="894" xr:uid="{00000000-0005-0000-0000-00007E030000}"/>
    <cellStyle name="20% - Accent6 5 3 2" xfId="895" xr:uid="{00000000-0005-0000-0000-00007F030000}"/>
    <cellStyle name="20% - Accent6 5 3 2 2" xfId="896" xr:uid="{00000000-0005-0000-0000-000080030000}"/>
    <cellStyle name="20% - Accent6 5 3 2 2 2" xfId="897" xr:uid="{00000000-0005-0000-0000-000081030000}"/>
    <cellStyle name="20% - Accent6 5 3 2 3" xfId="898" xr:uid="{00000000-0005-0000-0000-000082030000}"/>
    <cellStyle name="20% - Accent6 5 3 3" xfId="899" xr:uid="{00000000-0005-0000-0000-000083030000}"/>
    <cellStyle name="20% - Accent6 5 3 3 2" xfId="900" xr:uid="{00000000-0005-0000-0000-000084030000}"/>
    <cellStyle name="20% - Accent6 5 3 4" xfId="901" xr:uid="{00000000-0005-0000-0000-000085030000}"/>
    <cellStyle name="20% - Accent6 5 4" xfId="902" xr:uid="{00000000-0005-0000-0000-000086030000}"/>
    <cellStyle name="20% - Accent6 5 4 2" xfId="903" xr:uid="{00000000-0005-0000-0000-000087030000}"/>
    <cellStyle name="20% - Accent6 5 5" xfId="904" xr:uid="{00000000-0005-0000-0000-000088030000}"/>
    <cellStyle name="20% - Accent6 6" xfId="905" xr:uid="{00000000-0005-0000-0000-000089030000}"/>
    <cellStyle name="20% - Accent6 6 2" xfId="906" xr:uid="{00000000-0005-0000-0000-00008A030000}"/>
    <cellStyle name="20% - Accent6 6 2 2" xfId="907" xr:uid="{00000000-0005-0000-0000-00008B030000}"/>
    <cellStyle name="20% - Accent6 6 2 2 2" xfId="908" xr:uid="{00000000-0005-0000-0000-00008C030000}"/>
    <cellStyle name="20% - Accent6 6 2 3" xfId="909" xr:uid="{00000000-0005-0000-0000-00008D030000}"/>
    <cellStyle name="20% - Accent6 6 3" xfId="910" xr:uid="{00000000-0005-0000-0000-00008E030000}"/>
    <cellStyle name="20% - Accent6 6 3 2" xfId="911" xr:uid="{00000000-0005-0000-0000-00008F030000}"/>
    <cellStyle name="20% - Accent6 6 4" xfId="912" xr:uid="{00000000-0005-0000-0000-000090030000}"/>
    <cellStyle name="20% - Accent6 7" xfId="913" xr:uid="{00000000-0005-0000-0000-000091030000}"/>
    <cellStyle name="20% - Accent6 8" xfId="914" xr:uid="{00000000-0005-0000-0000-000092030000}"/>
    <cellStyle name="40% - Accent1 2" xfId="915" xr:uid="{00000000-0005-0000-0000-000093030000}"/>
    <cellStyle name="40% - Accent1 2 10" xfId="916" xr:uid="{00000000-0005-0000-0000-000094030000}"/>
    <cellStyle name="40% - Accent1 2 10 2" xfId="917" xr:uid="{00000000-0005-0000-0000-000095030000}"/>
    <cellStyle name="40% - Accent1 2 11" xfId="918" xr:uid="{00000000-0005-0000-0000-000096030000}"/>
    <cellStyle name="40% - Accent1 2 2" xfId="919" xr:uid="{00000000-0005-0000-0000-000097030000}"/>
    <cellStyle name="40% - Accent1 2 2 2" xfId="920" xr:uid="{00000000-0005-0000-0000-000098030000}"/>
    <cellStyle name="40% - Accent1 2 2 2 2" xfId="921" xr:uid="{00000000-0005-0000-0000-000099030000}"/>
    <cellStyle name="40% - Accent1 2 2 2 2 2" xfId="922" xr:uid="{00000000-0005-0000-0000-00009A030000}"/>
    <cellStyle name="40% - Accent1 2 2 2 3" xfId="923" xr:uid="{00000000-0005-0000-0000-00009B030000}"/>
    <cellStyle name="40% - Accent1 2 2 2 3 2" xfId="924" xr:uid="{00000000-0005-0000-0000-00009C030000}"/>
    <cellStyle name="40% - Accent1 2 2 2 3 2 2" xfId="925" xr:uid="{00000000-0005-0000-0000-00009D030000}"/>
    <cellStyle name="40% - Accent1 2 2 2 3 3" xfId="926" xr:uid="{00000000-0005-0000-0000-00009E030000}"/>
    <cellStyle name="40% - Accent1 2 2 2 4" xfId="927" xr:uid="{00000000-0005-0000-0000-00009F030000}"/>
    <cellStyle name="40% - Accent1 2 2 3" xfId="928" xr:uid="{00000000-0005-0000-0000-0000A0030000}"/>
    <cellStyle name="40% - Accent1 2 2 3 2" xfId="929" xr:uid="{00000000-0005-0000-0000-0000A1030000}"/>
    <cellStyle name="40% - Accent1 2 2 3 2 2" xfId="930" xr:uid="{00000000-0005-0000-0000-0000A2030000}"/>
    <cellStyle name="40% - Accent1 2 2 3 3" xfId="931" xr:uid="{00000000-0005-0000-0000-0000A3030000}"/>
    <cellStyle name="40% - Accent1 2 2 4" xfId="932" xr:uid="{00000000-0005-0000-0000-0000A4030000}"/>
    <cellStyle name="40% - Accent1 2 2 4 2" xfId="933" xr:uid="{00000000-0005-0000-0000-0000A5030000}"/>
    <cellStyle name="40% - Accent1 2 2 4 2 2" xfId="934" xr:uid="{00000000-0005-0000-0000-0000A6030000}"/>
    <cellStyle name="40% - Accent1 2 2 4 2 2 2" xfId="935" xr:uid="{00000000-0005-0000-0000-0000A7030000}"/>
    <cellStyle name="40% - Accent1 2 2 4 2 3" xfId="936" xr:uid="{00000000-0005-0000-0000-0000A8030000}"/>
    <cellStyle name="40% - Accent1 2 2 4 3" xfId="937" xr:uid="{00000000-0005-0000-0000-0000A9030000}"/>
    <cellStyle name="40% - Accent1 2 2 4 3 2" xfId="938" xr:uid="{00000000-0005-0000-0000-0000AA030000}"/>
    <cellStyle name="40% - Accent1 2 2 4 4" xfId="939" xr:uid="{00000000-0005-0000-0000-0000AB030000}"/>
    <cellStyle name="40% - Accent1 2 2 5" xfId="940" xr:uid="{00000000-0005-0000-0000-0000AC030000}"/>
    <cellStyle name="40% - Accent1 2 2 5 2" xfId="941" xr:uid="{00000000-0005-0000-0000-0000AD030000}"/>
    <cellStyle name="40% - Accent1 2 2 6" xfId="942" xr:uid="{00000000-0005-0000-0000-0000AE030000}"/>
    <cellStyle name="40% - Accent1 2 3" xfId="943" xr:uid="{00000000-0005-0000-0000-0000AF030000}"/>
    <cellStyle name="40% - Accent1 2 3 2" xfId="944" xr:uid="{00000000-0005-0000-0000-0000B0030000}"/>
    <cellStyle name="40% - Accent1 2 3 2 2" xfId="945" xr:uid="{00000000-0005-0000-0000-0000B1030000}"/>
    <cellStyle name="40% - Accent1 2 3 2 2 2" xfId="946" xr:uid="{00000000-0005-0000-0000-0000B2030000}"/>
    <cellStyle name="40% - Accent1 2 3 2 3" xfId="947" xr:uid="{00000000-0005-0000-0000-0000B3030000}"/>
    <cellStyle name="40% - Accent1 2 3 3" xfId="948" xr:uid="{00000000-0005-0000-0000-0000B4030000}"/>
    <cellStyle name="40% - Accent1 2 3 3 2" xfId="949" xr:uid="{00000000-0005-0000-0000-0000B5030000}"/>
    <cellStyle name="40% - Accent1 2 3 3 2 2" xfId="950" xr:uid="{00000000-0005-0000-0000-0000B6030000}"/>
    <cellStyle name="40% - Accent1 2 3 3 2 2 2" xfId="951" xr:uid="{00000000-0005-0000-0000-0000B7030000}"/>
    <cellStyle name="40% - Accent1 2 3 3 2 3" xfId="952" xr:uid="{00000000-0005-0000-0000-0000B8030000}"/>
    <cellStyle name="40% - Accent1 2 3 3 3" xfId="953" xr:uid="{00000000-0005-0000-0000-0000B9030000}"/>
    <cellStyle name="40% - Accent1 2 3 3 3 2" xfId="954" xr:uid="{00000000-0005-0000-0000-0000BA030000}"/>
    <cellStyle name="40% - Accent1 2 3 3 4" xfId="955" xr:uid="{00000000-0005-0000-0000-0000BB030000}"/>
    <cellStyle name="40% - Accent1 2 3 4" xfId="956" xr:uid="{00000000-0005-0000-0000-0000BC030000}"/>
    <cellStyle name="40% - Accent1 2 3 4 2" xfId="957" xr:uid="{00000000-0005-0000-0000-0000BD030000}"/>
    <cellStyle name="40% - Accent1 2 3 5" xfId="958" xr:uid="{00000000-0005-0000-0000-0000BE030000}"/>
    <cellStyle name="40% - Accent1 2 4" xfId="959" xr:uid="{00000000-0005-0000-0000-0000BF030000}"/>
    <cellStyle name="40% - Accent1 2 4 2" xfId="960" xr:uid="{00000000-0005-0000-0000-0000C0030000}"/>
    <cellStyle name="40% - Accent1 2 4 2 2" xfId="961" xr:uid="{00000000-0005-0000-0000-0000C1030000}"/>
    <cellStyle name="40% - Accent1 2 4 2 2 2" xfId="962" xr:uid="{00000000-0005-0000-0000-0000C2030000}"/>
    <cellStyle name="40% - Accent1 2 4 2 3" xfId="963" xr:uid="{00000000-0005-0000-0000-0000C3030000}"/>
    <cellStyle name="40% - Accent1 2 4 3" xfId="964" xr:uid="{00000000-0005-0000-0000-0000C4030000}"/>
    <cellStyle name="40% - Accent1 2 4 3 2" xfId="965" xr:uid="{00000000-0005-0000-0000-0000C5030000}"/>
    <cellStyle name="40% - Accent1 2 4 4" xfId="966" xr:uid="{00000000-0005-0000-0000-0000C6030000}"/>
    <cellStyle name="40% - Accent1 2 5" xfId="967" xr:uid="{00000000-0005-0000-0000-0000C7030000}"/>
    <cellStyle name="40% - Accent1 2 5 2" xfId="968" xr:uid="{00000000-0005-0000-0000-0000C8030000}"/>
    <cellStyle name="40% - Accent1 2 5 2 2" xfId="969" xr:uid="{00000000-0005-0000-0000-0000C9030000}"/>
    <cellStyle name="40% - Accent1 2 5 2 2 2" xfId="970" xr:uid="{00000000-0005-0000-0000-0000CA030000}"/>
    <cellStyle name="40% - Accent1 2 5 2 3" xfId="971" xr:uid="{00000000-0005-0000-0000-0000CB030000}"/>
    <cellStyle name="40% - Accent1 2 5 3" xfId="972" xr:uid="{00000000-0005-0000-0000-0000CC030000}"/>
    <cellStyle name="40% - Accent1 2 5 3 2" xfId="973" xr:uid="{00000000-0005-0000-0000-0000CD030000}"/>
    <cellStyle name="40% - Accent1 2 5 3 2 2" xfId="974" xr:uid="{00000000-0005-0000-0000-0000CE030000}"/>
    <cellStyle name="40% - Accent1 2 5 3 2 2 2" xfId="975" xr:uid="{00000000-0005-0000-0000-0000CF030000}"/>
    <cellStyle name="40% - Accent1 2 5 3 2 3" xfId="976" xr:uid="{00000000-0005-0000-0000-0000D0030000}"/>
    <cellStyle name="40% - Accent1 2 5 3 3" xfId="977" xr:uid="{00000000-0005-0000-0000-0000D1030000}"/>
    <cellStyle name="40% - Accent1 2 5 3 3 2" xfId="978" xr:uid="{00000000-0005-0000-0000-0000D2030000}"/>
    <cellStyle name="40% - Accent1 2 5 3 4" xfId="979" xr:uid="{00000000-0005-0000-0000-0000D3030000}"/>
    <cellStyle name="40% - Accent1 2 5 4" xfId="980" xr:uid="{00000000-0005-0000-0000-0000D4030000}"/>
    <cellStyle name="40% - Accent1 2 5 4 2" xfId="981" xr:uid="{00000000-0005-0000-0000-0000D5030000}"/>
    <cellStyle name="40% - Accent1 2 5 5" xfId="982" xr:uid="{00000000-0005-0000-0000-0000D6030000}"/>
    <cellStyle name="40% - Accent1 2 6" xfId="983" xr:uid="{00000000-0005-0000-0000-0000D7030000}"/>
    <cellStyle name="40% - Accent1 2 6 2" xfId="984" xr:uid="{00000000-0005-0000-0000-0000D8030000}"/>
    <cellStyle name="40% - Accent1 2 6 2 2" xfId="985" xr:uid="{00000000-0005-0000-0000-0000D9030000}"/>
    <cellStyle name="40% - Accent1 2 6 3" xfId="986" xr:uid="{00000000-0005-0000-0000-0000DA030000}"/>
    <cellStyle name="40% - Accent1 2 7" xfId="987" xr:uid="{00000000-0005-0000-0000-0000DB030000}"/>
    <cellStyle name="40% - Accent1 2 7 2" xfId="988" xr:uid="{00000000-0005-0000-0000-0000DC030000}"/>
    <cellStyle name="40% - Accent1 2 7 2 2" xfId="989" xr:uid="{00000000-0005-0000-0000-0000DD030000}"/>
    <cellStyle name="40% - Accent1 2 7 3" xfId="990" xr:uid="{00000000-0005-0000-0000-0000DE030000}"/>
    <cellStyle name="40% - Accent1 2 8" xfId="991" xr:uid="{00000000-0005-0000-0000-0000DF030000}"/>
    <cellStyle name="40% - Accent1 2 8 2" xfId="992" xr:uid="{00000000-0005-0000-0000-0000E0030000}"/>
    <cellStyle name="40% - Accent1 2 8 2 2" xfId="993" xr:uid="{00000000-0005-0000-0000-0000E1030000}"/>
    <cellStyle name="40% - Accent1 2 8 2 2 2" xfId="994" xr:uid="{00000000-0005-0000-0000-0000E2030000}"/>
    <cellStyle name="40% - Accent1 2 8 2 3" xfId="995" xr:uid="{00000000-0005-0000-0000-0000E3030000}"/>
    <cellStyle name="40% - Accent1 2 8 3" xfId="996" xr:uid="{00000000-0005-0000-0000-0000E4030000}"/>
    <cellStyle name="40% - Accent1 2 8 3 2" xfId="997" xr:uid="{00000000-0005-0000-0000-0000E5030000}"/>
    <cellStyle name="40% - Accent1 2 8 4" xfId="998" xr:uid="{00000000-0005-0000-0000-0000E6030000}"/>
    <cellStyle name="40% - Accent1 2 9" xfId="999" xr:uid="{00000000-0005-0000-0000-0000E7030000}"/>
    <cellStyle name="40% - Accent1 2 9 2" xfId="1000" xr:uid="{00000000-0005-0000-0000-0000E8030000}"/>
    <cellStyle name="40% - Accent1 3" xfId="1001" xr:uid="{00000000-0005-0000-0000-0000E9030000}"/>
    <cellStyle name="40% - Accent1 3 2" xfId="1002" xr:uid="{00000000-0005-0000-0000-0000EA030000}"/>
    <cellStyle name="40% - Accent1 3 2 2" xfId="1003" xr:uid="{00000000-0005-0000-0000-0000EB030000}"/>
    <cellStyle name="40% - Accent1 3 2 2 2" xfId="1004" xr:uid="{00000000-0005-0000-0000-0000EC030000}"/>
    <cellStyle name="40% - Accent1 3 2 3" xfId="1005" xr:uid="{00000000-0005-0000-0000-0000ED030000}"/>
    <cellStyle name="40% - Accent1 3 3" xfId="1006" xr:uid="{00000000-0005-0000-0000-0000EE030000}"/>
    <cellStyle name="40% - Accent1 3 3 2" xfId="1007" xr:uid="{00000000-0005-0000-0000-0000EF030000}"/>
    <cellStyle name="40% - Accent1 3 4" xfId="1008" xr:uid="{00000000-0005-0000-0000-0000F0030000}"/>
    <cellStyle name="40% - Accent1 3 4 2" xfId="1009" xr:uid="{00000000-0005-0000-0000-0000F1030000}"/>
    <cellStyle name="40% - Accent1 3 4 2 2" xfId="1010" xr:uid="{00000000-0005-0000-0000-0000F2030000}"/>
    <cellStyle name="40% - Accent1 3 4 3" xfId="1011" xr:uid="{00000000-0005-0000-0000-0000F3030000}"/>
    <cellStyle name="40% - Accent1 3 5" xfId="1012" xr:uid="{00000000-0005-0000-0000-0000F4030000}"/>
    <cellStyle name="40% - Accent1 4" xfId="1013" xr:uid="{00000000-0005-0000-0000-0000F5030000}"/>
    <cellStyle name="40% - Accent1 4 2" xfId="1014" xr:uid="{00000000-0005-0000-0000-0000F6030000}"/>
    <cellStyle name="40% - Accent1 4 2 2" xfId="1015" xr:uid="{00000000-0005-0000-0000-0000F7030000}"/>
    <cellStyle name="40% - Accent1 4 3" xfId="1016" xr:uid="{00000000-0005-0000-0000-0000F8030000}"/>
    <cellStyle name="40% - Accent1 4 3 2" xfId="1017" xr:uid="{00000000-0005-0000-0000-0000F9030000}"/>
    <cellStyle name="40% - Accent1 4 3 2 2" xfId="1018" xr:uid="{00000000-0005-0000-0000-0000FA030000}"/>
    <cellStyle name="40% - Accent1 4 3 3" xfId="1019" xr:uid="{00000000-0005-0000-0000-0000FB030000}"/>
    <cellStyle name="40% - Accent1 4 4" xfId="1020" xr:uid="{00000000-0005-0000-0000-0000FC030000}"/>
    <cellStyle name="40% - Accent1 5" xfId="1021" xr:uid="{00000000-0005-0000-0000-0000FD030000}"/>
    <cellStyle name="40% - Accent1 5 2" xfId="1022" xr:uid="{00000000-0005-0000-0000-0000FE030000}"/>
    <cellStyle name="40% - Accent1 5 2 2" xfId="1023" xr:uid="{00000000-0005-0000-0000-0000FF030000}"/>
    <cellStyle name="40% - Accent1 5 2 2 2" xfId="1024" xr:uid="{00000000-0005-0000-0000-000000040000}"/>
    <cellStyle name="40% - Accent1 5 2 3" xfId="1025" xr:uid="{00000000-0005-0000-0000-000001040000}"/>
    <cellStyle name="40% - Accent1 5 3" xfId="1026" xr:uid="{00000000-0005-0000-0000-000002040000}"/>
    <cellStyle name="40% - Accent1 5 3 2" xfId="1027" xr:uid="{00000000-0005-0000-0000-000003040000}"/>
    <cellStyle name="40% - Accent1 5 3 2 2" xfId="1028" xr:uid="{00000000-0005-0000-0000-000004040000}"/>
    <cellStyle name="40% - Accent1 5 3 2 2 2" xfId="1029" xr:uid="{00000000-0005-0000-0000-000005040000}"/>
    <cellStyle name="40% - Accent1 5 3 2 3" xfId="1030" xr:uid="{00000000-0005-0000-0000-000006040000}"/>
    <cellStyle name="40% - Accent1 5 3 3" xfId="1031" xr:uid="{00000000-0005-0000-0000-000007040000}"/>
    <cellStyle name="40% - Accent1 5 3 3 2" xfId="1032" xr:uid="{00000000-0005-0000-0000-000008040000}"/>
    <cellStyle name="40% - Accent1 5 3 4" xfId="1033" xr:uid="{00000000-0005-0000-0000-000009040000}"/>
    <cellStyle name="40% - Accent1 5 4" xfId="1034" xr:uid="{00000000-0005-0000-0000-00000A040000}"/>
    <cellStyle name="40% - Accent1 5 4 2" xfId="1035" xr:uid="{00000000-0005-0000-0000-00000B040000}"/>
    <cellStyle name="40% - Accent1 5 5" xfId="1036" xr:uid="{00000000-0005-0000-0000-00000C040000}"/>
    <cellStyle name="40% - Accent1 6" xfId="1037" xr:uid="{00000000-0005-0000-0000-00000D040000}"/>
    <cellStyle name="40% - Accent1 6 2" xfId="1038" xr:uid="{00000000-0005-0000-0000-00000E040000}"/>
    <cellStyle name="40% - Accent1 6 2 2" xfId="1039" xr:uid="{00000000-0005-0000-0000-00000F040000}"/>
    <cellStyle name="40% - Accent1 6 2 2 2" xfId="1040" xr:uid="{00000000-0005-0000-0000-000010040000}"/>
    <cellStyle name="40% - Accent1 6 2 3" xfId="1041" xr:uid="{00000000-0005-0000-0000-000011040000}"/>
    <cellStyle name="40% - Accent1 6 3" xfId="1042" xr:uid="{00000000-0005-0000-0000-000012040000}"/>
    <cellStyle name="40% - Accent1 6 3 2" xfId="1043" xr:uid="{00000000-0005-0000-0000-000013040000}"/>
    <cellStyle name="40% - Accent1 6 4" xfId="1044" xr:uid="{00000000-0005-0000-0000-000014040000}"/>
    <cellStyle name="40% - Accent1 7" xfId="1045" xr:uid="{00000000-0005-0000-0000-000015040000}"/>
    <cellStyle name="40% - Accent1 8" xfId="1046" xr:uid="{00000000-0005-0000-0000-000016040000}"/>
    <cellStyle name="40% - Accent2 2" xfId="1047" xr:uid="{00000000-0005-0000-0000-000017040000}"/>
    <cellStyle name="40% - Accent2 2 10" xfId="1048" xr:uid="{00000000-0005-0000-0000-000018040000}"/>
    <cellStyle name="40% - Accent2 2 10 2" xfId="1049" xr:uid="{00000000-0005-0000-0000-000019040000}"/>
    <cellStyle name="40% - Accent2 2 11" xfId="1050" xr:uid="{00000000-0005-0000-0000-00001A040000}"/>
    <cellStyle name="40% - Accent2 2 2" xfId="1051" xr:uid="{00000000-0005-0000-0000-00001B040000}"/>
    <cellStyle name="40% - Accent2 2 2 2" xfId="1052" xr:uid="{00000000-0005-0000-0000-00001C040000}"/>
    <cellStyle name="40% - Accent2 2 2 2 2" xfId="1053" xr:uid="{00000000-0005-0000-0000-00001D040000}"/>
    <cellStyle name="40% - Accent2 2 2 2 2 2" xfId="1054" xr:uid="{00000000-0005-0000-0000-00001E040000}"/>
    <cellStyle name="40% - Accent2 2 2 2 3" xfId="1055" xr:uid="{00000000-0005-0000-0000-00001F040000}"/>
    <cellStyle name="40% - Accent2 2 2 2 3 2" xfId="1056" xr:uid="{00000000-0005-0000-0000-000020040000}"/>
    <cellStyle name="40% - Accent2 2 2 2 3 2 2" xfId="1057" xr:uid="{00000000-0005-0000-0000-000021040000}"/>
    <cellStyle name="40% - Accent2 2 2 2 3 3" xfId="1058" xr:uid="{00000000-0005-0000-0000-000022040000}"/>
    <cellStyle name="40% - Accent2 2 2 2 4" xfId="1059" xr:uid="{00000000-0005-0000-0000-000023040000}"/>
    <cellStyle name="40% - Accent2 2 2 3" xfId="1060" xr:uid="{00000000-0005-0000-0000-000024040000}"/>
    <cellStyle name="40% - Accent2 2 2 3 2" xfId="1061" xr:uid="{00000000-0005-0000-0000-000025040000}"/>
    <cellStyle name="40% - Accent2 2 2 3 2 2" xfId="1062" xr:uid="{00000000-0005-0000-0000-000026040000}"/>
    <cellStyle name="40% - Accent2 2 2 3 3" xfId="1063" xr:uid="{00000000-0005-0000-0000-000027040000}"/>
    <cellStyle name="40% - Accent2 2 2 4" xfId="1064" xr:uid="{00000000-0005-0000-0000-000028040000}"/>
    <cellStyle name="40% - Accent2 2 2 4 2" xfId="1065" xr:uid="{00000000-0005-0000-0000-000029040000}"/>
    <cellStyle name="40% - Accent2 2 2 4 2 2" xfId="1066" xr:uid="{00000000-0005-0000-0000-00002A040000}"/>
    <cellStyle name="40% - Accent2 2 2 4 2 2 2" xfId="1067" xr:uid="{00000000-0005-0000-0000-00002B040000}"/>
    <cellStyle name="40% - Accent2 2 2 4 2 3" xfId="1068" xr:uid="{00000000-0005-0000-0000-00002C040000}"/>
    <cellStyle name="40% - Accent2 2 2 4 3" xfId="1069" xr:uid="{00000000-0005-0000-0000-00002D040000}"/>
    <cellStyle name="40% - Accent2 2 2 4 3 2" xfId="1070" xr:uid="{00000000-0005-0000-0000-00002E040000}"/>
    <cellStyle name="40% - Accent2 2 2 4 4" xfId="1071" xr:uid="{00000000-0005-0000-0000-00002F040000}"/>
    <cellStyle name="40% - Accent2 2 2 5" xfId="1072" xr:uid="{00000000-0005-0000-0000-000030040000}"/>
    <cellStyle name="40% - Accent2 2 2 5 2" xfId="1073" xr:uid="{00000000-0005-0000-0000-000031040000}"/>
    <cellStyle name="40% - Accent2 2 2 6" xfId="1074" xr:uid="{00000000-0005-0000-0000-000032040000}"/>
    <cellStyle name="40% - Accent2 2 3" xfId="1075" xr:uid="{00000000-0005-0000-0000-000033040000}"/>
    <cellStyle name="40% - Accent2 2 3 2" xfId="1076" xr:uid="{00000000-0005-0000-0000-000034040000}"/>
    <cellStyle name="40% - Accent2 2 3 2 2" xfId="1077" xr:uid="{00000000-0005-0000-0000-000035040000}"/>
    <cellStyle name="40% - Accent2 2 3 2 2 2" xfId="1078" xr:uid="{00000000-0005-0000-0000-000036040000}"/>
    <cellStyle name="40% - Accent2 2 3 2 3" xfId="1079" xr:uid="{00000000-0005-0000-0000-000037040000}"/>
    <cellStyle name="40% - Accent2 2 3 3" xfId="1080" xr:uid="{00000000-0005-0000-0000-000038040000}"/>
    <cellStyle name="40% - Accent2 2 3 3 2" xfId="1081" xr:uid="{00000000-0005-0000-0000-000039040000}"/>
    <cellStyle name="40% - Accent2 2 3 3 2 2" xfId="1082" xr:uid="{00000000-0005-0000-0000-00003A040000}"/>
    <cellStyle name="40% - Accent2 2 3 3 2 2 2" xfId="1083" xr:uid="{00000000-0005-0000-0000-00003B040000}"/>
    <cellStyle name="40% - Accent2 2 3 3 2 3" xfId="1084" xr:uid="{00000000-0005-0000-0000-00003C040000}"/>
    <cellStyle name="40% - Accent2 2 3 3 3" xfId="1085" xr:uid="{00000000-0005-0000-0000-00003D040000}"/>
    <cellStyle name="40% - Accent2 2 3 3 3 2" xfId="1086" xr:uid="{00000000-0005-0000-0000-00003E040000}"/>
    <cellStyle name="40% - Accent2 2 3 3 4" xfId="1087" xr:uid="{00000000-0005-0000-0000-00003F040000}"/>
    <cellStyle name="40% - Accent2 2 3 4" xfId="1088" xr:uid="{00000000-0005-0000-0000-000040040000}"/>
    <cellStyle name="40% - Accent2 2 3 4 2" xfId="1089" xr:uid="{00000000-0005-0000-0000-000041040000}"/>
    <cellStyle name="40% - Accent2 2 3 5" xfId="1090" xr:uid="{00000000-0005-0000-0000-000042040000}"/>
    <cellStyle name="40% - Accent2 2 4" xfId="1091" xr:uid="{00000000-0005-0000-0000-000043040000}"/>
    <cellStyle name="40% - Accent2 2 4 2" xfId="1092" xr:uid="{00000000-0005-0000-0000-000044040000}"/>
    <cellStyle name="40% - Accent2 2 4 2 2" xfId="1093" xr:uid="{00000000-0005-0000-0000-000045040000}"/>
    <cellStyle name="40% - Accent2 2 4 2 2 2" xfId="1094" xr:uid="{00000000-0005-0000-0000-000046040000}"/>
    <cellStyle name="40% - Accent2 2 4 2 3" xfId="1095" xr:uid="{00000000-0005-0000-0000-000047040000}"/>
    <cellStyle name="40% - Accent2 2 4 3" xfId="1096" xr:uid="{00000000-0005-0000-0000-000048040000}"/>
    <cellStyle name="40% - Accent2 2 4 3 2" xfId="1097" xr:uid="{00000000-0005-0000-0000-000049040000}"/>
    <cellStyle name="40% - Accent2 2 4 4" xfId="1098" xr:uid="{00000000-0005-0000-0000-00004A040000}"/>
    <cellStyle name="40% - Accent2 2 5" xfId="1099" xr:uid="{00000000-0005-0000-0000-00004B040000}"/>
    <cellStyle name="40% - Accent2 2 5 2" xfId="1100" xr:uid="{00000000-0005-0000-0000-00004C040000}"/>
    <cellStyle name="40% - Accent2 2 5 2 2" xfId="1101" xr:uid="{00000000-0005-0000-0000-00004D040000}"/>
    <cellStyle name="40% - Accent2 2 5 2 2 2" xfId="1102" xr:uid="{00000000-0005-0000-0000-00004E040000}"/>
    <cellStyle name="40% - Accent2 2 5 2 3" xfId="1103" xr:uid="{00000000-0005-0000-0000-00004F040000}"/>
    <cellStyle name="40% - Accent2 2 5 3" xfId="1104" xr:uid="{00000000-0005-0000-0000-000050040000}"/>
    <cellStyle name="40% - Accent2 2 5 3 2" xfId="1105" xr:uid="{00000000-0005-0000-0000-000051040000}"/>
    <cellStyle name="40% - Accent2 2 5 3 2 2" xfId="1106" xr:uid="{00000000-0005-0000-0000-000052040000}"/>
    <cellStyle name="40% - Accent2 2 5 3 2 2 2" xfId="1107" xr:uid="{00000000-0005-0000-0000-000053040000}"/>
    <cellStyle name="40% - Accent2 2 5 3 2 3" xfId="1108" xr:uid="{00000000-0005-0000-0000-000054040000}"/>
    <cellStyle name="40% - Accent2 2 5 3 3" xfId="1109" xr:uid="{00000000-0005-0000-0000-000055040000}"/>
    <cellStyle name="40% - Accent2 2 5 3 3 2" xfId="1110" xr:uid="{00000000-0005-0000-0000-000056040000}"/>
    <cellStyle name="40% - Accent2 2 5 3 4" xfId="1111" xr:uid="{00000000-0005-0000-0000-000057040000}"/>
    <cellStyle name="40% - Accent2 2 5 4" xfId="1112" xr:uid="{00000000-0005-0000-0000-000058040000}"/>
    <cellStyle name="40% - Accent2 2 5 4 2" xfId="1113" xr:uid="{00000000-0005-0000-0000-000059040000}"/>
    <cellStyle name="40% - Accent2 2 5 5" xfId="1114" xr:uid="{00000000-0005-0000-0000-00005A040000}"/>
    <cellStyle name="40% - Accent2 2 6" xfId="1115" xr:uid="{00000000-0005-0000-0000-00005B040000}"/>
    <cellStyle name="40% - Accent2 2 6 2" xfId="1116" xr:uid="{00000000-0005-0000-0000-00005C040000}"/>
    <cellStyle name="40% - Accent2 2 6 2 2" xfId="1117" xr:uid="{00000000-0005-0000-0000-00005D040000}"/>
    <cellStyle name="40% - Accent2 2 6 3" xfId="1118" xr:uid="{00000000-0005-0000-0000-00005E040000}"/>
    <cellStyle name="40% - Accent2 2 7" xfId="1119" xr:uid="{00000000-0005-0000-0000-00005F040000}"/>
    <cellStyle name="40% - Accent2 2 7 2" xfId="1120" xr:uid="{00000000-0005-0000-0000-000060040000}"/>
    <cellStyle name="40% - Accent2 2 7 2 2" xfId="1121" xr:uid="{00000000-0005-0000-0000-000061040000}"/>
    <cellStyle name="40% - Accent2 2 7 3" xfId="1122" xr:uid="{00000000-0005-0000-0000-000062040000}"/>
    <cellStyle name="40% - Accent2 2 8" xfId="1123" xr:uid="{00000000-0005-0000-0000-000063040000}"/>
    <cellStyle name="40% - Accent2 2 8 2" xfId="1124" xr:uid="{00000000-0005-0000-0000-000064040000}"/>
    <cellStyle name="40% - Accent2 2 8 2 2" xfId="1125" xr:uid="{00000000-0005-0000-0000-000065040000}"/>
    <cellStyle name="40% - Accent2 2 8 2 2 2" xfId="1126" xr:uid="{00000000-0005-0000-0000-000066040000}"/>
    <cellStyle name="40% - Accent2 2 8 2 3" xfId="1127" xr:uid="{00000000-0005-0000-0000-000067040000}"/>
    <cellStyle name="40% - Accent2 2 8 3" xfId="1128" xr:uid="{00000000-0005-0000-0000-000068040000}"/>
    <cellStyle name="40% - Accent2 2 8 3 2" xfId="1129" xr:uid="{00000000-0005-0000-0000-000069040000}"/>
    <cellStyle name="40% - Accent2 2 8 4" xfId="1130" xr:uid="{00000000-0005-0000-0000-00006A040000}"/>
    <cellStyle name="40% - Accent2 2 9" xfId="1131" xr:uid="{00000000-0005-0000-0000-00006B040000}"/>
    <cellStyle name="40% - Accent2 2 9 2" xfId="1132" xr:uid="{00000000-0005-0000-0000-00006C040000}"/>
    <cellStyle name="40% - Accent2 3" xfId="1133" xr:uid="{00000000-0005-0000-0000-00006D040000}"/>
    <cellStyle name="40% - Accent2 3 2" xfId="1134" xr:uid="{00000000-0005-0000-0000-00006E040000}"/>
    <cellStyle name="40% - Accent2 3 2 2" xfId="1135" xr:uid="{00000000-0005-0000-0000-00006F040000}"/>
    <cellStyle name="40% - Accent2 3 2 2 2" xfId="1136" xr:uid="{00000000-0005-0000-0000-000070040000}"/>
    <cellStyle name="40% - Accent2 3 2 3" xfId="1137" xr:uid="{00000000-0005-0000-0000-000071040000}"/>
    <cellStyle name="40% - Accent2 3 3" xfId="1138" xr:uid="{00000000-0005-0000-0000-000072040000}"/>
    <cellStyle name="40% - Accent2 3 3 2" xfId="1139" xr:uid="{00000000-0005-0000-0000-000073040000}"/>
    <cellStyle name="40% - Accent2 3 4" xfId="1140" xr:uid="{00000000-0005-0000-0000-000074040000}"/>
    <cellStyle name="40% - Accent2 3 4 2" xfId="1141" xr:uid="{00000000-0005-0000-0000-000075040000}"/>
    <cellStyle name="40% - Accent2 3 4 2 2" xfId="1142" xr:uid="{00000000-0005-0000-0000-000076040000}"/>
    <cellStyle name="40% - Accent2 3 4 3" xfId="1143" xr:uid="{00000000-0005-0000-0000-000077040000}"/>
    <cellStyle name="40% - Accent2 3 5" xfId="1144" xr:uid="{00000000-0005-0000-0000-000078040000}"/>
    <cellStyle name="40% - Accent2 4" xfId="1145" xr:uid="{00000000-0005-0000-0000-000079040000}"/>
    <cellStyle name="40% - Accent2 4 2" xfId="1146" xr:uid="{00000000-0005-0000-0000-00007A040000}"/>
    <cellStyle name="40% - Accent2 4 2 2" xfId="1147" xr:uid="{00000000-0005-0000-0000-00007B040000}"/>
    <cellStyle name="40% - Accent2 4 3" xfId="1148" xr:uid="{00000000-0005-0000-0000-00007C040000}"/>
    <cellStyle name="40% - Accent2 4 3 2" xfId="1149" xr:uid="{00000000-0005-0000-0000-00007D040000}"/>
    <cellStyle name="40% - Accent2 4 3 2 2" xfId="1150" xr:uid="{00000000-0005-0000-0000-00007E040000}"/>
    <cellStyle name="40% - Accent2 4 3 3" xfId="1151" xr:uid="{00000000-0005-0000-0000-00007F040000}"/>
    <cellStyle name="40% - Accent2 4 4" xfId="1152" xr:uid="{00000000-0005-0000-0000-000080040000}"/>
    <cellStyle name="40% - Accent2 5" xfId="1153" xr:uid="{00000000-0005-0000-0000-000081040000}"/>
    <cellStyle name="40% - Accent2 5 2" xfId="1154" xr:uid="{00000000-0005-0000-0000-000082040000}"/>
    <cellStyle name="40% - Accent2 5 2 2" xfId="1155" xr:uid="{00000000-0005-0000-0000-000083040000}"/>
    <cellStyle name="40% - Accent2 5 2 2 2" xfId="1156" xr:uid="{00000000-0005-0000-0000-000084040000}"/>
    <cellStyle name="40% - Accent2 5 2 3" xfId="1157" xr:uid="{00000000-0005-0000-0000-000085040000}"/>
    <cellStyle name="40% - Accent2 5 3" xfId="1158" xr:uid="{00000000-0005-0000-0000-000086040000}"/>
    <cellStyle name="40% - Accent2 5 3 2" xfId="1159" xr:uid="{00000000-0005-0000-0000-000087040000}"/>
    <cellStyle name="40% - Accent2 5 3 2 2" xfId="1160" xr:uid="{00000000-0005-0000-0000-000088040000}"/>
    <cellStyle name="40% - Accent2 5 3 2 2 2" xfId="1161" xr:uid="{00000000-0005-0000-0000-000089040000}"/>
    <cellStyle name="40% - Accent2 5 3 2 3" xfId="1162" xr:uid="{00000000-0005-0000-0000-00008A040000}"/>
    <cellStyle name="40% - Accent2 5 3 3" xfId="1163" xr:uid="{00000000-0005-0000-0000-00008B040000}"/>
    <cellStyle name="40% - Accent2 5 3 3 2" xfId="1164" xr:uid="{00000000-0005-0000-0000-00008C040000}"/>
    <cellStyle name="40% - Accent2 5 3 4" xfId="1165" xr:uid="{00000000-0005-0000-0000-00008D040000}"/>
    <cellStyle name="40% - Accent2 5 4" xfId="1166" xr:uid="{00000000-0005-0000-0000-00008E040000}"/>
    <cellStyle name="40% - Accent2 5 4 2" xfId="1167" xr:uid="{00000000-0005-0000-0000-00008F040000}"/>
    <cellStyle name="40% - Accent2 5 5" xfId="1168" xr:uid="{00000000-0005-0000-0000-000090040000}"/>
    <cellStyle name="40% - Accent2 6" xfId="1169" xr:uid="{00000000-0005-0000-0000-000091040000}"/>
    <cellStyle name="40% - Accent2 6 2" xfId="1170" xr:uid="{00000000-0005-0000-0000-000092040000}"/>
    <cellStyle name="40% - Accent2 6 2 2" xfId="1171" xr:uid="{00000000-0005-0000-0000-000093040000}"/>
    <cellStyle name="40% - Accent2 6 2 2 2" xfId="1172" xr:uid="{00000000-0005-0000-0000-000094040000}"/>
    <cellStyle name="40% - Accent2 6 2 3" xfId="1173" xr:uid="{00000000-0005-0000-0000-000095040000}"/>
    <cellStyle name="40% - Accent2 6 3" xfId="1174" xr:uid="{00000000-0005-0000-0000-000096040000}"/>
    <cellStyle name="40% - Accent2 6 3 2" xfId="1175" xr:uid="{00000000-0005-0000-0000-000097040000}"/>
    <cellStyle name="40% - Accent2 6 4" xfId="1176" xr:uid="{00000000-0005-0000-0000-000098040000}"/>
    <cellStyle name="40% - Accent2 7" xfId="1177" xr:uid="{00000000-0005-0000-0000-000099040000}"/>
    <cellStyle name="40% - Accent2 8" xfId="1178" xr:uid="{00000000-0005-0000-0000-00009A040000}"/>
    <cellStyle name="40% - Accent3 2" xfId="1179" xr:uid="{00000000-0005-0000-0000-00009B040000}"/>
    <cellStyle name="40% - Accent3 2 10" xfId="1180" xr:uid="{00000000-0005-0000-0000-00009C040000}"/>
    <cellStyle name="40% - Accent3 2 10 2" xfId="1181" xr:uid="{00000000-0005-0000-0000-00009D040000}"/>
    <cellStyle name="40% - Accent3 2 11" xfId="1182" xr:uid="{00000000-0005-0000-0000-00009E040000}"/>
    <cellStyle name="40% - Accent3 2 2" xfId="1183" xr:uid="{00000000-0005-0000-0000-00009F040000}"/>
    <cellStyle name="40% - Accent3 2 2 2" xfId="1184" xr:uid="{00000000-0005-0000-0000-0000A0040000}"/>
    <cellStyle name="40% - Accent3 2 2 2 2" xfId="1185" xr:uid="{00000000-0005-0000-0000-0000A1040000}"/>
    <cellStyle name="40% - Accent3 2 2 2 2 2" xfId="1186" xr:uid="{00000000-0005-0000-0000-0000A2040000}"/>
    <cellStyle name="40% - Accent3 2 2 2 3" xfId="1187" xr:uid="{00000000-0005-0000-0000-0000A3040000}"/>
    <cellStyle name="40% - Accent3 2 2 2 3 2" xfId="1188" xr:uid="{00000000-0005-0000-0000-0000A4040000}"/>
    <cellStyle name="40% - Accent3 2 2 2 3 2 2" xfId="1189" xr:uid="{00000000-0005-0000-0000-0000A5040000}"/>
    <cellStyle name="40% - Accent3 2 2 2 3 3" xfId="1190" xr:uid="{00000000-0005-0000-0000-0000A6040000}"/>
    <cellStyle name="40% - Accent3 2 2 2 4" xfId="1191" xr:uid="{00000000-0005-0000-0000-0000A7040000}"/>
    <cellStyle name="40% - Accent3 2 2 3" xfId="1192" xr:uid="{00000000-0005-0000-0000-0000A8040000}"/>
    <cellStyle name="40% - Accent3 2 2 3 2" xfId="1193" xr:uid="{00000000-0005-0000-0000-0000A9040000}"/>
    <cellStyle name="40% - Accent3 2 2 3 2 2" xfId="1194" xr:uid="{00000000-0005-0000-0000-0000AA040000}"/>
    <cellStyle name="40% - Accent3 2 2 3 3" xfId="1195" xr:uid="{00000000-0005-0000-0000-0000AB040000}"/>
    <cellStyle name="40% - Accent3 2 2 4" xfId="1196" xr:uid="{00000000-0005-0000-0000-0000AC040000}"/>
    <cellStyle name="40% - Accent3 2 2 4 2" xfId="1197" xr:uid="{00000000-0005-0000-0000-0000AD040000}"/>
    <cellStyle name="40% - Accent3 2 2 4 2 2" xfId="1198" xr:uid="{00000000-0005-0000-0000-0000AE040000}"/>
    <cellStyle name="40% - Accent3 2 2 4 2 2 2" xfId="1199" xr:uid="{00000000-0005-0000-0000-0000AF040000}"/>
    <cellStyle name="40% - Accent3 2 2 4 2 3" xfId="1200" xr:uid="{00000000-0005-0000-0000-0000B0040000}"/>
    <cellStyle name="40% - Accent3 2 2 4 3" xfId="1201" xr:uid="{00000000-0005-0000-0000-0000B1040000}"/>
    <cellStyle name="40% - Accent3 2 2 4 3 2" xfId="1202" xr:uid="{00000000-0005-0000-0000-0000B2040000}"/>
    <cellStyle name="40% - Accent3 2 2 4 4" xfId="1203" xr:uid="{00000000-0005-0000-0000-0000B3040000}"/>
    <cellStyle name="40% - Accent3 2 2 5" xfId="1204" xr:uid="{00000000-0005-0000-0000-0000B4040000}"/>
    <cellStyle name="40% - Accent3 2 2 5 2" xfId="1205" xr:uid="{00000000-0005-0000-0000-0000B5040000}"/>
    <cellStyle name="40% - Accent3 2 2 6" xfId="1206" xr:uid="{00000000-0005-0000-0000-0000B6040000}"/>
    <cellStyle name="40% - Accent3 2 3" xfId="1207" xr:uid="{00000000-0005-0000-0000-0000B7040000}"/>
    <cellStyle name="40% - Accent3 2 3 2" xfId="1208" xr:uid="{00000000-0005-0000-0000-0000B8040000}"/>
    <cellStyle name="40% - Accent3 2 3 2 2" xfId="1209" xr:uid="{00000000-0005-0000-0000-0000B9040000}"/>
    <cellStyle name="40% - Accent3 2 3 2 2 2" xfId="1210" xr:uid="{00000000-0005-0000-0000-0000BA040000}"/>
    <cellStyle name="40% - Accent3 2 3 2 3" xfId="1211" xr:uid="{00000000-0005-0000-0000-0000BB040000}"/>
    <cellStyle name="40% - Accent3 2 3 3" xfId="1212" xr:uid="{00000000-0005-0000-0000-0000BC040000}"/>
    <cellStyle name="40% - Accent3 2 3 3 2" xfId="1213" xr:uid="{00000000-0005-0000-0000-0000BD040000}"/>
    <cellStyle name="40% - Accent3 2 3 3 2 2" xfId="1214" xr:uid="{00000000-0005-0000-0000-0000BE040000}"/>
    <cellStyle name="40% - Accent3 2 3 3 2 2 2" xfId="1215" xr:uid="{00000000-0005-0000-0000-0000BF040000}"/>
    <cellStyle name="40% - Accent3 2 3 3 2 3" xfId="1216" xr:uid="{00000000-0005-0000-0000-0000C0040000}"/>
    <cellStyle name="40% - Accent3 2 3 3 3" xfId="1217" xr:uid="{00000000-0005-0000-0000-0000C1040000}"/>
    <cellStyle name="40% - Accent3 2 3 3 3 2" xfId="1218" xr:uid="{00000000-0005-0000-0000-0000C2040000}"/>
    <cellStyle name="40% - Accent3 2 3 3 4" xfId="1219" xr:uid="{00000000-0005-0000-0000-0000C3040000}"/>
    <cellStyle name="40% - Accent3 2 3 4" xfId="1220" xr:uid="{00000000-0005-0000-0000-0000C4040000}"/>
    <cellStyle name="40% - Accent3 2 3 4 2" xfId="1221" xr:uid="{00000000-0005-0000-0000-0000C5040000}"/>
    <cellStyle name="40% - Accent3 2 3 5" xfId="1222" xr:uid="{00000000-0005-0000-0000-0000C6040000}"/>
    <cellStyle name="40% - Accent3 2 4" xfId="1223" xr:uid="{00000000-0005-0000-0000-0000C7040000}"/>
    <cellStyle name="40% - Accent3 2 4 2" xfId="1224" xr:uid="{00000000-0005-0000-0000-0000C8040000}"/>
    <cellStyle name="40% - Accent3 2 4 2 2" xfId="1225" xr:uid="{00000000-0005-0000-0000-0000C9040000}"/>
    <cellStyle name="40% - Accent3 2 4 2 2 2" xfId="1226" xr:uid="{00000000-0005-0000-0000-0000CA040000}"/>
    <cellStyle name="40% - Accent3 2 4 2 3" xfId="1227" xr:uid="{00000000-0005-0000-0000-0000CB040000}"/>
    <cellStyle name="40% - Accent3 2 4 3" xfId="1228" xr:uid="{00000000-0005-0000-0000-0000CC040000}"/>
    <cellStyle name="40% - Accent3 2 4 3 2" xfId="1229" xr:uid="{00000000-0005-0000-0000-0000CD040000}"/>
    <cellStyle name="40% - Accent3 2 4 4" xfId="1230" xr:uid="{00000000-0005-0000-0000-0000CE040000}"/>
    <cellStyle name="40% - Accent3 2 5" xfId="1231" xr:uid="{00000000-0005-0000-0000-0000CF040000}"/>
    <cellStyle name="40% - Accent3 2 5 2" xfId="1232" xr:uid="{00000000-0005-0000-0000-0000D0040000}"/>
    <cellStyle name="40% - Accent3 2 5 2 2" xfId="1233" xr:uid="{00000000-0005-0000-0000-0000D1040000}"/>
    <cellStyle name="40% - Accent3 2 5 2 2 2" xfId="1234" xr:uid="{00000000-0005-0000-0000-0000D2040000}"/>
    <cellStyle name="40% - Accent3 2 5 2 3" xfId="1235" xr:uid="{00000000-0005-0000-0000-0000D3040000}"/>
    <cellStyle name="40% - Accent3 2 5 3" xfId="1236" xr:uid="{00000000-0005-0000-0000-0000D4040000}"/>
    <cellStyle name="40% - Accent3 2 5 3 2" xfId="1237" xr:uid="{00000000-0005-0000-0000-0000D5040000}"/>
    <cellStyle name="40% - Accent3 2 5 3 2 2" xfId="1238" xr:uid="{00000000-0005-0000-0000-0000D6040000}"/>
    <cellStyle name="40% - Accent3 2 5 3 2 2 2" xfId="1239" xr:uid="{00000000-0005-0000-0000-0000D7040000}"/>
    <cellStyle name="40% - Accent3 2 5 3 2 3" xfId="1240" xr:uid="{00000000-0005-0000-0000-0000D8040000}"/>
    <cellStyle name="40% - Accent3 2 5 3 3" xfId="1241" xr:uid="{00000000-0005-0000-0000-0000D9040000}"/>
    <cellStyle name="40% - Accent3 2 5 3 3 2" xfId="1242" xr:uid="{00000000-0005-0000-0000-0000DA040000}"/>
    <cellStyle name="40% - Accent3 2 5 3 4" xfId="1243" xr:uid="{00000000-0005-0000-0000-0000DB040000}"/>
    <cellStyle name="40% - Accent3 2 5 4" xfId="1244" xr:uid="{00000000-0005-0000-0000-0000DC040000}"/>
    <cellStyle name="40% - Accent3 2 5 4 2" xfId="1245" xr:uid="{00000000-0005-0000-0000-0000DD040000}"/>
    <cellStyle name="40% - Accent3 2 5 5" xfId="1246" xr:uid="{00000000-0005-0000-0000-0000DE040000}"/>
    <cellStyle name="40% - Accent3 2 6" xfId="1247" xr:uid="{00000000-0005-0000-0000-0000DF040000}"/>
    <cellStyle name="40% - Accent3 2 6 2" xfId="1248" xr:uid="{00000000-0005-0000-0000-0000E0040000}"/>
    <cellStyle name="40% - Accent3 2 6 2 2" xfId="1249" xr:uid="{00000000-0005-0000-0000-0000E1040000}"/>
    <cellStyle name="40% - Accent3 2 6 3" xfId="1250" xr:uid="{00000000-0005-0000-0000-0000E2040000}"/>
    <cellStyle name="40% - Accent3 2 7" xfId="1251" xr:uid="{00000000-0005-0000-0000-0000E3040000}"/>
    <cellStyle name="40% - Accent3 2 7 2" xfId="1252" xr:uid="{00000000-0005-0000-0000-0000E4040000}"/>
    <cellStyle name="40% - Accent3 2 7 2 2" xfId="1253" xr:uid="{00000000-0005-0000-0000-0000E5040000}"/>
    <cellStyle name="40% - Accent3 2 7 3" xfId="1254" xr:uid="{00000000-0005-0000-0000-0000E6040000}"/>
    <cellStyle name="40% - Accent3 2 8" xfId="1255" xr:uid="{00000000-0005-0000-0000-0000E7040000}"/>
    <cellStyle name="40% - Accent3 2 8 2" xfId="1256" xr:uid="{00000000-0005-0000-0000-0000E8040000}"/>
    <cellStyle name="40% - Accent3 2 8 2 2" xfId="1257" xr:uid="{00000000-0005-0000-0000-0000E9040000}"/>
    <cellStyle name="40% - Accent3 2 8 2 2 2" xfId="1258" xr:uid="{00000000-0005-0000-0000-0000EA040000}"/>
    <cellStyle name="40% - Accent3 2 8 2 3" xfId="1259" xr:uid="{00000000-0005-0000-0000-0000EB040000}"/>
    <cellStyle name="40% - Accent3 2 8 3" xfId="1260" xr:uid="{00000000-0005-0000-0000-0000EC040000}"/>
    <cellStyle name="40% - Accent3 2 8 3 2" xfId="1261" xr:uid="{00000000-0005-0000-0000-0000ED040000}"/>
    <cellStyle name="40% - Accent3 2 8 4" xfId="1262" xr:uid="{00000000-0005-0000-0000-0000EE040000}"/>
    <cellStyle name="40% - Accent3 2 9" xfId="1263" xr:uid="{00000000-0005-0000-0000-0000EF040000}"/>
    <cellStyle name="40% - Accent3 2 9 2" xfId="1264" xr:uid="{00000000-0005-0000-0000-0000F0040000}"/>
    <cellStyle name="40% - Accent3 3" xfId="1265" xr:uid="{00000000-0005-0000-0000-0000F1040000}"/>
    <cellStyle name="40% - Accent3 3 2" xfId="1266" xr:uid="{00000000-0005-0000-0000-0000F2040000}"/>
    <cellStyle name="40% - Accent3 3 2 2" xfId="1267" xr:uid="{00000000-0005-0000-0000-0000F3040000}"/>
    <cellStyle name="40% - Accent3 3 2 2 2" xfId="1268" xr:uid="{00000000-0005-0000-0000-0000F4040000}"/>
    <cellStyle name="40% - Accent3 3 2 3" xfId="1269" xr:uid="{00000000-0005-0000-0000-0000F5040000}"/>
    <cellStyle name="40% - Accent3 3 3" xfId="1270" xr:uid="{00000000-0005-0000-0000-0000F6040000}"/>
    <cellStyle name="40% - Accent3 3 3 2" xfId="1271" xr:uid="{00000000-0005-0000-0000-0000F7040000}"/>
    <cellStyle name="40% - Accent3 3 4" xfId="1272" xr:uid="{00000000-0005-0000-0000-0000F8040000}"/>
    <cellStyle name="40% - Accent3 3 4 2" xfId="1273" xr:uid="{00000000-0005-0000-0000-0000F9040000}"/>
    <cellStyle name="40% - Accent3 3 4 2 2" xfId="1274" xr:uid="{00000000-0005-0000-0000-0000FA040000}"/>
    <cellStyle name="40% - Accent3 3 4 3" xfId="1275" xr:uid="{00000000-0005-0000-0000-0000FB040000}"/>
    <cellStyle name="40% - Accent3 3 5" xfId="1276" xr:uid="{00000000-0005-0000-0000-0000FC040000}"/>
    <cellStyle name="40% - Accent3 4" xfId="1277" xr:uid="{00000000-0005-0000-0000-0000FD040000}"/>
    <cellStyle name="40% - Accent3 4 2" xfId="1278" xr:uid="{00000000-0005-0000-0000-0000FE040000}"/>
    <cellStyle name="40% - Accent3 4 2 2" xfId="1279" xr:uid="{00000000-0005-0000-0000-0000FF040000}"/>
    <cellStyle name="40% - Accent3 4 3" xfId="1280" xr:uid="{00000000-0005-0000-0000-000000050000}"/>
    <cellStyle name="40% - Accent3 4 3 2" xfId="1281" xr:uid="{00000000-0005-0000-0000-000001050000}"/>
    <cellStyle name="40% - Accent3 4 3 2 2" xfId="1282" xr:uid="{00000000-0005-0000-0000-000002050000}"/>
    <cellStyle name="40% - Accent3 4 3 3" xfId="1283" xr:uid="{00000000-0005-0000-0000-000003050000}"/>
    <cellStyle name="40% - Accent3 4 4" xfId="1284" xr:uid="{00000000-0005-0000-0000-000004050000}"/>
    <cellStyle name="40% - Accent3 5" xfId="1285" xr:uid="{00000000-0005-0000-0000-000005050000}"/>
    <cellStyle name="40% - Accent3 5 2" xfId="1286" xr:uid="{00000000-0005-0000-0000-000006050000}"/>
    <cellStyle name="40% - Accent3 5 2 2" xfId="1287" xr:uid="{00000000-0005-0000-0000-000007050000}"/>
    <cellStyle name="40% - Accent3 5 2 2 2" xfId="1288" xr:uid="{00000000-0005-0000-0000-000008050000}"/>
    <cellStyle name="40% - Accent3 5 2 3" xfId="1289" xr:uid="{00000000-0005-0000-0000-000009050000}"/>
    <cellStyle name="40% - Accent3 5 3" xfId="1290" xr:uid="{00000000-0005-0000-0000-00000A050000}"/>
    <cellStyle name="40% - Accent3 5 3 2" xfId="1291" xr:uid="{00000000-0005-0000-0000-00000B050000}"/>
    <cellStyle name="40% - Accent3 5 3 2 2" xfId="1292" xr:uid="{00000000-0005-0000-0000-00000C050000}"/>
    <cellStyle name="40% - Accent3 5 3 2 2 2" xfId="1293" xr:uid="{00000000-0005-0000-0000-00000D050000}"/>
    <cellStyle name="40% - Accent3 5 3 2 3" xfId="1294" xr:uid="{00000000-0005-0000-0000-00000E050000}"/>
    <cellStyle name="40% - Accent3 5 3 3" xfId="1295" xr:uid="{00000000-0005-0000-0000-00000F050000}"/>
    <cellStyle name="40% - Accent3 5 3 3 2" xfId="1296" xr:uid="{00000000-0005-0000-0000-000010050000}"/>
    <cellStyle name="40% - Accent3 5 3 4" xfId="1297" xr:uid="{00000000-0005-0000-0000-000011050000}"/>
    <cellStyle name="40% - Accent3 5 4" xfId="1298" xr:uid="{00000000-0005-0000-0000-000012050000}"/>
    <cellStyle name="40% - Accent3 5 4 2" xfId="1299" xr:uid="{00000000-0005-0000-0000-000013050000}"/>
    <cellStyle name="40% - Accent3 5 5" xfId="1300" xr:uid="{00000000-0005-0000-0000-000014050000}"/>
    <cellStyle name="40% - Accent3 6" xfId="1301" xr:uid="{00000000-0005-0000-0000-000015050000}"/>
    <cellStyle name="40% - Accent3 6 2" xfId="1302" xr:uid="{00000000-0005-0000-0000-000016050000}"/>
    <cellStyle name="40% - Accent3 6 2 2" xfId="1303" xr:uid="{00000000-0005-0000-0000-000017050000}"/>
    <cellStyle name="40% - Accent3 6 2 2 2" xfId="1304" xr:uid="{00000000-0005-0000-0000-000018050000}"/>
    <cellStyle name="40% - Accent3 6 2 3" xfId="1305" xr:uid="{00000000-0005-0000-0000-000019050000}"/>
    <cellStyle name="40% - Accent3 6 3" xfId="1306" xr:uid="{00000000-0005-0000-0000-00001A050000}"/>
    <cellStyle name="40% - Accent3 6 3 2" xfId="1307" xr:uid="{00000000-0005-0000-0000-00001B050000}"/>
    <cellStyle name="40% - Accent3 6 4" xfId="1308" xr:uid="{00000000-0005-0000-0000-00001C050000}"/>
    <cellStyle name="40% - Accent3 7" xfId="1309" xr:uid="{00000000-0005-0000-0000-00001D050000}"/>
    <cellStyle name="40% - Accent3 8" xfId="1310" xr:uid="{00000000-0005-0000-0000-00001E050000}"/>
    <cellStyle name="40% - Accent4 2" xfId="1311" xr:uid="{00000000-0005-0000-0000-00001F050000}"/>
    <cellStyle name="40% - Accent4 2 10" xfId="1312" xr:uid="{00000000-0005-0000-0000-000020050000}"/>
    <cellStyle name="40% - Accent4 2 10 2" xfId="1313" xr:uid="{00000000-0005-0000-0000-000021050000}"/>
    <cellStyle name="40% - Accent4 2 11" xfId="1314" xr:uid="{00000000-0005-0000-0000-000022050000}"/>
    <cellStyle name="40% - Accent4 2 2" xfId="1315" xr:uid="{00000000-0005-0000-0000-000023050000}"/>
    <cellStyle name="40% - Accent4 2 2 2" xfId="1316" xr:uid="{00000000-0005-0000-0000-000024050000}"/>
    <cellStyle name="40% - Accent4 2 2 2 2" xfId="1317" xr:uid="{00000000-0005-0000-0000-000025050000}"/>
    <cellStyle name="40% - Accent4 2 2 2 2 2" xfId="1318" xr:uid="{00000000-0005-0000-0000-000026050000}"/>
    <cellStyle name="40% - Accent4 2 2 2 3" xfId="1319" xr:uid="{00000000-0005-0000-0000-000027050000}"/>
    <cellStyle name="40% - Accent4 2 2 2 3 2" xfId="1320" xr:uid="{00000000-0005-0000-0000-000028050000}"/>
    <cellStyle name="40% - Accent4 2 2 2 3 2 2" xfId="1321" xr:uid="{00000000-0005-0000-0000-000029050000}"/>
    <cellStyle name="40% - Accent4 2 2 2 3 3" xfId="1322" xr:uid="{00000000-0005-0000-0000-00002A050000}"/>
    <cellStyle name="40% - Accent4 2 2 2 4" xfId="1323" xr:uid="{00000000-0005-0000-0000-00002B050000}"/>
    <cellStyle name="40% - Accent4 2 2 3" xfId="1324" xr:uid="{00000000-0005-0000-0000-00002C050000}"/>
    <cellStyle name="40% - Accent4 2 2 3 2" xfId="1325" xr:uid="{00000000-0005-0000-0000-00002D050000}"/>
    <cellStyle name="40% - Accent4 2 2 3 2 2" xfId="1326" xr:uid="{00000000-0005-0000-0000-00002E050000}"/>
    <cellStyle name="40% - Accent4 2 2 3 3" xfId="1327" xr:uid="{00000000-0005-0000-0000-00002F050000}"/>
    <cellStyle name="40% - Accent4 2 2 4" xfId="1328" xr:uid="{00000000-0005-0000-0000-000030050000}"/>
    <cellStyle name="40% - Accent4 2 2 4 2" xfId="1329" xr:uid="{00000000-0005-0000-0000-000031050000}"/>
    <cellStyle name="40% - Accent4 2 2 4 2 2" xfId="1330" xr:uid="{00000000-0005-0000-0000-000032050000}"/>
    <cellStyle name="40% - Accent4 2 2 4 2 2 2" xfId="1331" xr:uid="{00000000-0005-0000-0000-000033050000}"/>
    <cellStyle name="40% - Accent4 2 2 4 2 3" xfId="1332" xr:uid="{00000000-0005-0000-0000-000034050000}"/>
    <cellStyle name="40% - Accent4 2 2 4 3" xfId="1333" xr:uid="{00000000-0005-0000-0000-000035050000}"/>
    <cellStyle name="40% - Accent4 2 2 4 3 2" xfId="1334" xr:uid="{00000000-0005-0000-0000-000036050000}"/>
    <cellStyle name="40% - Accent4 2 2 4 4" xfId="1335" xr:uid="{00000000-0005-0000-0000-000037050000}"/>
    <cellStyle name="40% - Accent4 2 2 5" xfId="1336" xr:uid="{00000000-0005-0000-0000-000038050000}"/>
    <cellStyle name="40% - Accent4 2 2 5 2" xfId="1337" xr:uid="{00000000-0005-0000-0000-000039050000}"/>
    <cellStyle name="40% - Accent4 2 2 6" xfId="1338" xr:uid="{00000000-0005-0000-0000-00003A050000}"/>
    <cellStyle name="40% - Accent4 2 3" xfId="1339" xr:uid="{00000000-0005-0000-0000-00003B050000}"/>
    <cellStyle name="40% - Accent4 2 3 2" xfId="1340" xr:uid="{00000000-0005-0000-0000-00003C050000}"/>
    <cellStyle name="40% - Accent4 2 3 2 2" xfId="1341" xr:uid="{00000000-0005-0000-0000-00003D050000}"/>
    <cellStyle name="40% - Accent4 2 3 2 2 2" xfId="1342" xr:uid="{00000000-0005-0000-0000-00003E050000}"/>
    <cellStyle name="40% - Accent4 2 3 2 3" xfId="1343" xr:uid="{00000000-0005-0000-0000-00003F050000}"/>
    <cellStyle name="40% - Accent4 2 3 3" xfId="1344" xr:uid="{00000000-0005-0000-0000-000040050000}"/>
    <cellStyle name="40% - Accent4 2 3 3 2" xfId="1345" xr:uid="{00000000-0005-0000-0000-000041050000}"/>
    <cellStyle name="40% - Accent4 2 3 3 2 2" xfId="1346" xr:uid="{00000000-0005-0000-0000-000042050000}"/>
    <cellStyle name="40% - Accent4 2 3 3 2 2 2" xfId="1347" xr:uid="{00000000-0005-0000-0000-000043050000}"/>
    <cellStyle name="40% - Accent4 2 3 3 2 3" xfId="1348" xr:uid="{00000000-0005-0000-0000-000044050000}"/>
    <cellStyle name="40% - Accent4 2 3 3 3" xfId="1349" xr:uid="{00000000-0005-0000-0000-000045050000}"/>
    <cellStyle name="40% - Accent4 2 3 3 3 2" xfId="1350" xr:uid="{00000000-0005-0000-0000-000046050000}"/>
    <cellStyle name="40% - Accent4 2 3 3 4" xfId="1351" xr:uid="{00000000-0005-0000-0000-000047050000}"/>
    <cellStyle name="40% - Accent4 2 3 4" xfId="1352" xr:uid="{00000000-0005-0000-0000-000048050000}"/>
    <cellStyle name="40% - Accent4 2 3 4 2" xfId="1353" xr:uid="{00000000-0005-0000-0000-000049050000}"/>
    <cellStyle name="40% - Accent4 2 3 5" xfId="1354" xr:uid="{00000000-0005-0000-0000-00004A050000}"/>
    <cellStyle name="40% - Accent4 2 4" xfId="1355" xr:uid="{00000000-0005-0000-0000-00004B050000}"/>
    <cellStyle name="40% - Accent4 2 4 2" xfId="1356" xr:uid="{00000000-0005-0000-0000-00004C050000}"/>
    <cellStyle name="40% - Accent4 2 4 2 2" xfId="1357" xr:uid="{00000000-0005-0000-0000-00004D050000}"/>
    <cellStyle name="40% - Accent4 2 4 2 2 2" xfId="1358" xr:uid="{00000000-0005-0000-0000-00004E050000}"/>
    <cellStyle name="40% - Accent4 2 4 2 3" xfId="1359" xr:uid="{00000000-0005-0000-0000-00004F050000}"/>
    <cellStyle name="40% - Accent4 2 4 3" xfId="1360" xr:uid="{00000000-0005-0000-0000-000050050000}"/>
    <cellStyle name="40% - Accent4 2 4 3 2" xfId="1361" xr:uid="{00000000-0005-0000-0000-000051050000}"/>
    <cellStyle name="40% - Accent4 2 4 4" xfId="1362" xr:uid="{00000000-0005-0000-0000-000052050000}"/>
    <cellStyle name="40% - Accent4 2 5" xfId="1363" xr:uid="{00000000-0005-0000-0000-000053050000}"/>
    <cellStyle name="40% - Accent4 2 5 2" xfId="1364" xr:uid="{00000000-0005-0000-0000-000054050000}"/>
    <cellStyle name="40% - Accent4 2 5 2 2" xfId="1365" xr:uid="{00000000-0005-0000-0000-000055050000}"/>
    <cellStyle name="40% - Accent4 2 5 2 2 2" xfId="1366" xr:uid="{00000000-0005-0000-0000-000056050000}"/>
    <cellStyle name="40% - Accent4 2 5 2 3" xfId="1367" xr:uid="{00000000-0005-0000-0000-000057050000}"/>
    <cellStyle name="40% - Accent4 2 5 3" xfId="1368" xr:uid="{00000000-0005-0000-0000-000058050000}"/>
    <cellStyle name="40% - Accent4 2 5 3 2" xfId="1369" xr:uid="{00000000-0005-0000-0000-000059050000}"/>
    <cellStyle name="40% - Accent4 2 5 3 2 2" xfId="1370" xr:uid="{00000000-0005-0000-0000-00005A050000}"/>
    <cellStyle name="40% - Accent4 2 5 3 2 2 2" xfId="1371" xr:uid="{00000000-0005-0000-0000-00005B050000}"/>
    <cellStyle name="40% - Accent4 2 5 3 2 3" xfId="1372" xr:uid="{00000000-0005-0000-0000-00005C050000}"/>
    <cellStyle name="40% - Accent4 2 5 3 3" xfId="1373" xr:uid="{00000000-0005-0000-0000-00005D050000}"/>
    <cellStyle name="40% - Accent4 2 5 3 3 2" xfId="1374" xr:uid="{00000000-0005-0000-0000-00005E050000}"/>
    <cellStyle name="40% - Accent4 2 5 3 4" xfId="1375" xr:uid="{00000000-0005-0000-0000-00005F050000}"/>
    <cellStyle name="40% - Accent4 2 5 4" xfId="1376" xr:uid="{00000000-0005-0000-0000-000060050000}"/>
    <cellStyle name="40% - Accent4 2 5 4 2" xfId="1377" xr:uid="{00000000-0005-0000-0000-000061050000}"/>
    <cellStyle name="40% - Accent4 2 5 5" xfId="1378" xr:uid="{00000000-0005-0000-0000-000062050000}"/>
    <cellStyle name="40% - Accent4 2 6" xfId="1379" xr:uid="{00000000-0005-0000-0000-000063050000}"/>
    <cellStyle name="40% - Accent4 2 6 2" xfId="1380" xr:uid="{00000000-0005-0000-0000-000064050000}"/>
    <cellStyle name="40% - Accent4 2 6 2 2" xfId="1381" xr:uid="{00000000-0005-0000-0000-000065050000}"/>
    <cellStyle name="40% - Accent4 2 6 3" xfId="1382" xr:uid="{00000000-0005-0000-0000-000066050000}"/>
    <cellStyle name="40% - Accent4 2 7" xfId="1383" xr:uid="{00000000-0005-0000-0000-000067050000}"/>
    <cellStyle name="40% - Accent4 2 7 2" xfId="1384" xr:uid="{00000000-0005-0000-0000-000068050000}"/>
    <cellStyle name="40% - Accent4 2 7 2 2" xfId="1385" xr:uid="{00000000-0005-0000-0000-000069050000}"/>
    <cellStyle name="40% - Accent4 2 7 3" xfId="1386" xr:uid="{00000000-0005-0000-0000-00006A050000}"/>
    <cellStyle name="40% - Accent4 2 8" xfId="1387" xr:uid="{00000000-0005-0000-0000-00006B050000}"/>
    <cellStyle name="40% - Accent4 2 8 2" xfId="1388" xr:uid="{00000000-0005-0000-0000-00006C050000}"/>
    <cellStyle name="40% - Accent4 2 8 2 2" xfId="1389" xr:uid="{00000000-0005-0000-0000-00006D050000}"/>
    <cellStyle name="40% - Accent4 2 8 2 2 2" xfId="1390" xr:uid="{00000000-0005-0000-0000-00006E050000}"/>
    <cellStyle name="40% - Accent4 2 8 2 3" xfId="1391" xr:uid="{00000000-0005-0000-0000-00006F050000}"/>
    <cellStyle name="40% - Accent4 2 8 3" xfId="1392" xr:uid="{00000000-0005-0000-0000-000070050000}"/>
    <cellStyle name="40% - Accent4 2 8 3 2" xfId="1393" xr:uid="{00000000-0005-0000-0000-000071050000}"/>
    <cellStyle name="40% - Accent4 2 8 4" xfId="1394" xr:uid="{00000000-0005-0000-0000-000072050000}"/>
    <cellStyle name="40% - Accent4 2 9" xfId="1395" xr:uid="{00000000-0005-0000-0000-000073050000}"/>
    <cellStyle name="40% - Accent4 2 9 2" xfId="1396" xr:uid="{00000000-0005-0000-0000-000074050000}"/>
    <cellStyle name="40% - Accent4 3" xfId="1397" xr:uid="{00000000-0005-0000-0000-000075050000}"/>
    <cellStyle name="40% - Accent4 3 2" xfId="1398" xr:uid="{00000000-0005-0000-0000-000076050000}"/>
    <cellStyle name="40% - Accent4 3 2 2" xfId="1399" xr:uid="{00000000-0005-0000-0000-000077050000}"/>
    <cellStyle name="40% - Accent4 3 2 2 2" xfId="1400" xr:uid="{00000000-0005-0000-0000-000078050000}"/>
    <cellStyle name="40% - Accent4 3 2 3" xfId="1401" xr:uid="{00000000-0005-0000-0000-000079050000}"/>
    <cellStyle name="40% - Accent4 3 3" xfId="1402" xr:uid="{00000000-0005-0000-0000-00007A050000}"/>
    <cellStyle name="40% - Accent4 3 3 2" xfId="1403" xr:uid="{00000000-0005-0000-0000-00007B050000}"/>
    <cellStyle name="40% - Accent4 3 4" xfId="1404" xr:uid="{00000000-0005-0000-0000-00007C050000}"/>
    <cellStyle name="40% - Accent4 3 4 2" xfId="1405" xr:uid="{00000000-0005-0000-0000-00007D050000}"/>
    <cellStyle name="40% - Accent4 3 4 2 2" xfId="1406" xr:uid="{00000000-0005-0000-0000-00007E050000}"/>
    <cellStyle name="40% - Accent4 3 4 3" xfId="1407" xr:uid="{00000000-0005-0000-0000-00007F050000}"/>
    <cellStyle name="40% - Accent4 3 5" xfId="1408" xr:uid="{00000000-0005-0000-0000-000080050000}"/>
    <cellStyle name="40% - Accent4 4" xfId="1409" xr:uid="{00000000-0005-0000-0000-000081050000}"/>
    <cellStyle name="40% - Accent4 4 2" xfId="1410" xr:uid="{00000000-0005-0000-0000-000082050000}"/>
    <cellStyle name="40% - Accent4 4 2 2" xfId="1411" xr:uid="{00000000-0005-0000-0000-000083050000}"/>
    <cellStyle name="40% - Accent4 4 3" xfId="1412" xr:uid="{00000000-0005-0000-0000-000084050000}"/>
    <cellStyle name="40% - Accent4 4 3 2" xfId="1413" xr:uid="{00000000-0005-0000-0000-000085050000}"/>
    <cellStyle name="40% - Accent4 4 3 2 2" xfId="1414" xr:uid="{00000000-0005-0000-0000-000086050000}"/>
    <cellStyle name="40% - Accent4 4 3 3" xfId="1415" xr:uid="{00000000-0005-0000-0000-000087050000}"/>
    <cellStyle name="40% - Accent4 4 4" xfId="1416" xr:uid="{00000000-0005-0000-0000-000088050000}"/>
    <cellStyle name="40% - Accent4 5" xfId="1417" xr:uid="{00000000-0005-0000-0000-000089050000}"/>
    <cellStyle name="40% - Accent4 5 2" xfId="1418" xr:uid="{00000000-0005-0000-0000-00008A050000}"/>
    <cellStyle name="40% - Accent4 5 2 2" xfId="1419" xr:uid="{00000000-0005-0000-0000-00008B050000}"/>
    <cellStyle name="40% - Accent4 5 2 2 2" xfId="1420" xr:uid="{00000000-0005-0000-0000-00008C050000}"/>
    <cellStyle name="40% - Accent4 5 2 3" xfId="1421" xr:uid="{00000000-0005-0000-0000-00008D050000}"/>
    <cellStyle name="40% - Accent4 5 3" xfId="1422" xr:uid="{00000000-0005-0000-0000-00008E050000}"/>
    <cellStyle name="40% - Accent4 5 3 2" xfId="1423" xr:uid="{00000000-0005-0000-0000-00008F050000}"/>
    <cellStyle name="40% - Accent4 5 3 2 2" xfId="1424" xr:uid="{00000000-0005-0000-0000-000090050000}"/>
    <cellStyle name="40% - Accent4 5 3 2 2 2" xfId="1425" xr:uid="{00000000-0005-0000-0000-000091050000}"/>
    <cellStyle name="40% - Accent4 5 3 2 3" xfId="1426" xr:uid="{00000000-0005-0000-0000-000092050000}"/>
    <cellStyle name="40% - Accent4 5 3 3" xfId="1427" xr:uid="{00000000-0005-0000-0000-000093050000}"/>
    <cellStyle name="40% - Accent4 5 3 3 2" xfId="1428" xr:uid="{00000000-0005-0000-0000-000094050000}"/>
    <cellStyle name="40% - Accent4 5 3 4" xfId="1429" xr:uid="{00000000-0005-0000-0000-000095050000}"/>
    <cellStyle name="40% - Accent4 5 4" xfId="1430" xr:uid="{00000000-0005-0000-0000-000096050000}"/>
    <cellStyle name="40% - Accent4 5 4 2" xfId="1431" xr:uid="{00000000-0005-0000-0000-000097050000}"/>
    <cellStyle name="40% - Accent4 5 5" xfId="1432" xr:uid="{00000000-0005-0000-0000-000098050000}"/>
    <cellStyle name="40% - Accent4 6" xfId="1433" xr:uid="{00000000-0005-0000-0000-000099050000}"/>
    <cellStyle name="40% - Accent4 6 2" xfId="1434" xr:uid="{00000000-0005-0000-0000-00009A050000}"/>
    <cellStyle name="40% - Accent4 6 2 2" xfId="1435" xr:uid="{00000000-0005-0000-0000-00009B050000}"/>
    <cellStyle name="40% - Accent4 6 2 2 2" xfId="1436" xr:uid="{00000000-0005-0000-0000-00009C050000}"/>
    <cellStyle name="40% - Accent4 6 2 3" xfId="1437" xr:uid="{00000000-0005-0000-0000-00009D050000}"/>
    <cellStyle name="40% - Accent4 6 3" xfId="1438" xr:uid="{00000000-0005-0000-0000-00009E050000}"/>
    <cellStyle name="40% - Accent4 6 3 2" xfId="1439" xr:uid="{00000000-0005-0000-0000-00009F050000}"/>
    <cellStyle name="40% - Accent4 6 4" xfId="1440" xr:uid="{00000000-0005-0000-0000-0000A0050000}"/>
    <cellStyle name="40% - Accent4 7" xfId="1441" xr:uid="{00000000-0005-0000-0000-0000A1050000}"/>
    <cellStyle name="40% - Accent4 8" xfId="1442" xr:uid="{00000000-0005-0000-0000-0000A2050000}"/>
    <cellStyle name="40% - Accent5 2" xfId="1443" xr:uid="{00000000-0005-0000-0000-0000A3050000}"/>
    <cellStyle name="40% - Accent5 2 10" xfId="1444" xr:uid="{00000000-0005-0000-0000-0000A4050000}"/>
    <cellStyle name="40% - Accent5 2 10 2" xfId="1445" xr:uid="{00000000-0005-0000-0000-0000A5050000}"/>
    <cellStyle name="40% - Accent5 2 11" xfId="1446" xr:uid="{00000000-0005-0000-0000-0000A6050000}"/>
    <cellStyle name="40% - Accent5 2 2" xfId="1447" xr:uid="{00000000-0005-0000-0000-0000A7050000}"/>
    <cellStyle name="40% - Accent5 2 2 2" xfId="1448" xr:uid="{00000000-0005-0000-0000-0000A8050000}"/>
    <cellStyle name="40% - Accent5 2 2 2 2" xfId="1449" xr:uid="{00000000-0005-0000-0000-0000A9050000}"/>
    <cellStyle name="40% - Accent5 2 2 2 2 2" xfId="1450" xr:uid="{00000000-0005-0000-0000-0000AA050000}"/>
    <cellStyle name="40% - Accent5 2 2 2 3" xfId="1451" xr:uid="{00000000-0005-0000-0000-0000AB050000}"/>
    <cellStyle name="40% - Accent5 2 2 2 3 2" xfId="1452" xr:uid="{00000000-0005-0000-0000-0000AC050000}"/>
    <cellStyle name="40% - Accent5 2 2 2 3 2 2" xfId="1453" xr:uid="{00000000-0005-0000-0000-0000AD050000}"/>
    <cellStyle name="40% - Accent5 2 2 2 3 3" xfId="1454" xr:uid="{00000000-0005-0000-0000-0000AE050000}"/>
    <cellStyle name="40% - Accent5 2 2 2 4" xfId="1455" xr:uid="{00000000-0005-0000-0000-0000AF050000}"/>
    <cellStyle name="40% - Accent5 2 2 3" xfId="1456" xr:uid="{00000000-0005-0000-0000-0000B0050000}"/>
    <cellStyle name="40% - Accent5 2 2 3 2" xfId="1457" xr:uid="{00000000-0005-0000-0000-0000B1050000}"/>
    <cellStyle name="40% - Accent5 2 2 3 2 2" xfId="1458" xr:uid="{00000000-0005-0000-0000-0000B2050000}"/>
    <cellStyle name="40% - Accent5 2 2 3 3" xfId="1459" xr:uid="{00000000-0005-0000-0000-0000B3050000}"/>
    <cellStyle name="40% - Accent5 2 2 4" xfId="1460" xr:uid="{00000000-0005-0000-0000-0000B4050000}"/>
    <cellStyle name="40% - Accent5 2 2 4 2" xfId="1461" xr:uid="{00000000-0005-0000-0000-0000B5050000}"/>
    <cellStyle name="40% - Accent5 2 2 4 2 2" xfId="1462" xr:uid="{00000000-0005-0000-0000-0000B6050000}"/>
    <cellStyle name="40% - Accent5 2 2 4 2 2 2" xfId="1463" xr:uid="{00000000-0005-0000-0000-0000B7050000}"/>
    <cellStyle name="40% - Accent5 2 2 4 2 3" xfId="1464" xr:uid="{00000000-0005-0000-0000-0000B8050000}"/>
    <cellStyle name="40% - Accent5 2 2 4 3" xfId="1465" xr:uid="{00000000-0005-0000-0000-0000B9050000}"/>
    <cellStyle name="40% - Accent5 2 2 4 3 2" xfId="1466" xr:uid="{00000000-0005-0000-0000-0000BA050000}"/>
    <cellStyle name="40% - Accent5 2 2 4 4" xfId="1467" xr:uid="{00000000-0005-0000-0000-0000BB050000}"/>
    <cellStyle name="40% - Accent5 2 2 5" xfId="1468" xr:uid="{00000000-0005-0000-0000-0000BC050000}"/>
    <cellStyle name="40% - Accent5 2 2 5 2" xfId="1469" xr:uid="{00000000-0005-0000-0000-0000BD050000}"/>
    <cellStyle name="40% - Accent5 2 2 6" xfId="1470" xr:uid="{00000000-0005-0000-0000-0000BE050000}"/>
    <cellStyle name="40% - Accent5 2 3" xfId="1471" xr:uid="{00000000-0005-0000-0000-0000BF050000}"/>
    <cellStyle name="40% - Accent5 2 3 2" xfId="1472" xr:uid="{00000000-0005-0000-0000-0000C0050000}"/>
    <cellStyle name="40% - Accent5 2 3 2 2" xfId="1473" xr:uid="{00000000-0005-0000-0000-0000C1050000}"/>
    <cellStyle name="40% - Accent5 2 3 2 2 2" xfId="1474" xr:uid="{00000000-0005-0000-0000-0000C2050000}"/>
    <cellStyle name="40% - Accent5 2 3 2 3" xfId="1475" xr:uid="{00000000-0005-0000-0000-0000C3050000}"/>
    <cellStyle name="40% - Accent5 2 3 3" xfId="1476" xr:uid="{00000000-0005-0000-0000-0000C4050000}"/>
    <cellStyle name="40% - Accent5 2 3 3 2" xfId="1477" xr:uid="{00000000-0005-0000-0000-0000C5050000}"/>
    <cellStyle name="40% - Accent5 2 3 3 2 2" xfId="1478" xr:uid="{00000000-0005-0000-0000-0000C6050000}"/>
    <cellStyle name="40% - Accent5 2 3 3 2 2 2" xfId="1479" xr:uid="{00000000-0005-0000-0000-0000C7050000}"/>
    <cellStyle name="40% - Accent5 2 3 3 2 3" xfId="1480" xr:uid="{00000000-0005-0000-0000-0000C8050000}"/>
    <cellStyle name="40% - Accent5 2 3 3 3" xfId="1481" xr:uid="{00000000-0005-0000-0000-0000C9050000}"/>
    <cellStyle name="40% - Accent5 2 3 3 3 2" xfId="1482" xr:uid="{00000000-0005-0000-0000-0000CA050000}"/>
    <cellStyle name="40% - Accent5 2 3 3 4" xfId="1483" xr:uid="{00000000-0005-0000-0000-0000CB050000}"/>
    <cellStyle name="40% - Accent5 2 3 4" xfId="1484" xr:uid="{00000000-0005-0000-0000-0000CC050000}"/>
    <cellStyle name="40% - Accent5 2 3 4 2" xfId="1485" xr:uid="{00000000-0005-0000-0000-0000CD050000}"/>
    <cellStyle name="40% - Accent5 2 3 5" xfId="1486" xr:uid="{00000000-0005-0000-0000-0000CE050000}"/>
    <cellStyle name="40% - Accent5 2 4" xfId="1487" xr:uid="{00000000-0005-0000-0000-0000CF050000}"/>
    <cellStyle name="40% - Accent5 2 4 2" xfId="1488" xr:uid="{00000000-0005-0000-0000-0000D0050000}"/>
    <cellStyle name="40% - Accent5 2 4 2 2" xfId="1489" xr:uid="{00000000-0005-0000-0000-0000D1050000}"/>
    <cellStyle name="40% - Accent5 2 4 2 2 2" xfId="1490" xr:uid="{00000000-0005-0000-0000-0000D2050000}"/>
    <cellStyle name="40% - Accent5 2 4 2 3" xfId="1491" xr:uid="{00000000-0005-0000-0000-0000D3050000}"/>
    <cellStyle name="40% - Accent5 2 4 3" xfId="1492" xr:uid="{00000000-0005-0000-0000-0000D4050000}"/>
    <cellStyle name="40% - Accent5 2 4 3 2" xfId="1493" xr:uid="{00000000-0005-0000-0000-0000D5050000}"/>
    <cellStyle name="40% - Accent5 2 4 4" xfId="1494" xr:uid="{00000000-0005-0000-0000-0000D6050000}"/>
    <cellStyle name="40% - Accent5 2 5" xfId="1495" xr:uid="{00000000-0005-0000-0000-0000D7050000}"/>
    <cellStyle name="40% - Accent5 2 5 2" xfId="1496" xr:uid="{00000000-0005-0000-0000-0000D8050000}"/>
    <cellStyle name="40% - Accent5 2 5 2 2" xfId="1497" xr:uid="{00000000-0005-0000-0000-0000D9050000}"/>
    <cellStyle name="40% - Accent5 2 5 2 2 2" xfId="1498" xr:uid="{00000000-0005-0000-0000-0000DA050000}"/>
    <cellStyle name="40% - Accent5 2 5 2 3" xfId="1499" xr:uid="{00000000-0005-0000-0000-0000DB050000}"/>
    <cellStyle name="40% - Accent5 2 5 3" xfId="1500" xr:uid="{00000000-0005-0000-0000-0000DC050000}"/>
    <cellStyle name="40% - Accent5 2 5 3 2" xfId="1501" xr:uid="{00000000-0005-0000-0000-0000DD050000}"/>
    <cellStyle name="40% - Accent5 2 5 3 2 2" xfId="1502" xr:uid="{00000000-0005-0000-0000-0000DE050000}"/>
    <cellStyle name="40% - Accent5 2 5 3 2 2 2" xfId="1503" xr:uid="{00000000-0005-0000-0000-0000DF050000}"/>
    <cellStyle name="40% - Accent5 2 5 3 2 3" xfId="1504" xr:uid="{00000000-0005-0000-0000-0000E0050000}"/>
    <cellStyle name="40% - Accent5 2 5 3 3" xfId="1505" xr:uid="{00000000-0005-0000-0000-0000E1050000}"/>
    <cellStyle name="40% - Accent5 2 5 3 3 2" xfId="1506" xr:uid="{00000000-0005-0000-0000-0000E2050000}"/>
    <cellStyle name="40% - Accent5 2 5 3 4" xfId="1507" xr:uid="{00000000-0005-0000-0000-0000E3050000}"/>
    <cellStyle name="40% - Accent5 2 5 4" xfId="1508" xr:uid="{00000000-0005-0000-0000-0000E4050000}"/>
    <cellStyle name="40% - Accent5 2 5 4 2" xfId="1509" xr:uid="{00000000-0005-0000-0000-0000E5050000}"/>
    <cellStyle name="40% - Accent5 2 5 5" xfId="1510" xr:uid="{00000000-0005-0000-0000-0000E6050000}"/>
    <cellStyle name="40% - Accent5 2 6" xfId="1511" xr:uid="{00000000-0005-0000-0000-0000E7050000}"/>
    <cellStyle name="40% - Accent5 2 6 2" xfId="1512" xr:uid="{00000000-0005-0000-0000-0000E8050000}"/>
    <cellStyle name="40% - Accent5 2 6 2 2" xfId="1513" xr:uid="{00000000-0005-0000-0000-0000E9050000}"/>
    <cellStyle name="40% - Accent5 2 6 3" xfId="1514" xr:uid="{00000000-0005-0000-0000-0000EA050000}"/>
    <cellStyle name="40% - Accent5 2 7" xfId="1515" xr:uid="{00000000-0005-0000-0000-0000EB050000}"/>
    <cellStyle name="40% - Accent5 2 7 2" xfId="1516" xr:uid="{00000000-0005-0000-0000-0000EC050000}"/>
    <cellStyle name="40% - Accent5 2 7 2 2" xfId="1517" xr:uid="{00000000-0005-0000-0000-0000ED050000}"/>
    <cellStyle name="40% - Accent5 2 7 3" xfId="1518" xr:uid="{00000000-0005-0000-0000-0000EE050000}"/>
    <cellStyle name="40% - Accent5 2 8" xfId="1519" xr:uid="{00000000-0005-0000-0000-0000EF050000}"/>
    <cellStyle name="40% - Accent5 2 8 2" xfId="1520" xr:uid="{00000000-0005-0000-0000-0000F0050000}"/>
    <cellStyle name="40% - Accent5 2 8 2 2" xfId="1521" xr:uid="{00000000-0005-0000-0000-0000F1050000}"/>
    <cellStyle name="40% - Accent5 2 8 2 2 2" xfId="1522" xr:uid="{00000000-0005-0000-0000-0000F2050000}"/>
    <cellStyle name="40% - Accent5 2 8 2 3" xfId="1523" xr:uid="{00000000-0005-0000-0000-0000F3050000}"/>
    <cellStyle name="40% - Accent5 2 8 3" xfId="1524" xr:uid="{00000000-0005-0000-0000-0000F4050000}"/>
    <cellStyle name="40% - Accent5 2 8 3 2" xfId="1525" xr:uid="{00000000-0005-0000-0000-0000F5050000}"/>
    <cellStyle name="40% - Accent5 2 8 4" xfId="1526" xr:uid="{00000000-0005-0000-0000-0000F6050000}"/>
    <cellStyle name="40% - Accent5 2 9" xfId="1527" xr:uid="{00000000-0005-0000-0000-0000F7050000}"/>
    <cellStyle name="40% - Accent5 2 9 2" xfId="1528" xr:uid="{00000000-0005-0000-0000-0000F8050000}"/>
    <cellStyle name="40% - Accent5 3" xfId="1529" xr:uid="{00000000-0005-0000-0000-0000F9050000}"/>
    <cellStyle name="40% - Accent5 3 2" xfId="1530" xr:uid="{00000000-0005-0000-0000-0000FA050000}"/>
    <cellStyle name="40% - Accent5 3 2 2" xfId="1531" xr:uid="{00000000-0005-0000-0000-0000FB050000}"/>
    <cellStyle name="40% - Accent5 3 2 2 2" xfId="1532" xr:uid="{00000000-0005-0000-0000-0000FC050000}"/>
    <cellStyle name="40% - Accent5 3 2 3" xfId="1533" xr:uid="{00000000-0005-0000-0000-0000FD050000}"/>
    <cellStyle name="40% - Accent5 3 3" xfId="1534" xr:uid="{00000000-0005-0000-0000-0000FE050000}"/>
    <cellStyle name="40% - Accent5 3 3 2" xfId="1535" xr:uid="{00000000-0005-0000-0000-0000FF050000}"/>
    <cellStyle name="40% - Accent5 3 4" xfId="1536" xr:uid="{00000000-0005-0000-0000-000000060000}"/>
    <cellStyle name="40% - Accent5 3 4 2" xfId="1537" xr:uid="{00000000-0005-0000-0000-000001060000}"/>
    <cellStyle name="40% - Accent5 3 4 2 2" xfId="1538" xr:uid="{00000000-0005-0000-0000-000002060000}"/>
    <cellStyle name="40% - Accent5 3 4 3" xfId="1539" xr:uid="{00000000-0005-0000-0000-000003060000}"/>
    <cellStyle name="40% - Accent5 3 5" xfId="1540" xr:uid="{00000000-0005-0000-0000-000004060000}"/>
    <cellStyle name="40% - Accent5 4" xfId="1541" xr:uid="{00000000-0005-0000-0000-000005060000}"/>
    <cellStyle name="40% - Accent5 4 2" xfId="1542" xr:uid="{00000000-0005-0000-0000-000006060000}"/>
    <cellStyle name="40% - Accent5 4 2 2" xfId="1543" xr:uid="{00000000-0005-0000-0000-000007060000}"/>
    <cellStyle name="40% - Accent5 4 3" xfId="1544" xr:uid="{00000000-0005-0000-0000-000008060000}"/>
    <cellStyle name="40% - Accent5 4 3 2" xfId="1545" xr:uid="{00000000-0005-0000-0000-000009060000}"/>
    <cellStyle name="40% - Accent5 4 3 2 2" xfId="1546" xr:uid="{00000000-0005-0000-0000-00000A060000}"/>
    <cellStyle name="40% - Accent5 4 3 3" xfId="1547" xr:uid="{00000000-0005-0000-0000-00000B060000}"/>
    <cellStyle name="40% - Accent5 4 4" xfId="1548" xr:uid="{00000000-0005-0000-0000-00000C060000}"/>
    <cellStyle name="40% - Accent5 5" xfId="1549" xr:uid="{00000000-0005-0000-0000-00000D060000}"/>
    <cellStyle name="40% - Accent5 5 2" xfId="1550" xr:uid="{00000000-0005-0000-0000-00000E060000}"/>
    <cellStyle name="40% - Accent5 5 2 2" xfId="1551" xr:uid="{00000000-0005-0000-0000-00000F060000}"/>
    <cellStyle name="40% - Accent5 5 2 2 2" xfId="1552" xr:uid="{00000000-0005-0000-0000-000010060000}"/>
    <cellStyle name="40% - Accent5 5 2 3" xfId="1553" xr:uid="{00000000-0005-0000-0000-000011060000}"/>
    <cellStyle name="40% - Accent5 5 3" xfId="1554" xr:uid="{00000000-0005-0000-0000-000012060000}"/>
    <cellStyle name="40% - Accent5 5 3 2" xfId="1555" xr:uid="{00000000-0005-0000-0000-000013060000}"/>
    <cellStyle name="40% - Accent5 5 3 2 2" xfId="1556" xr:uid="{00000000-0005-0000-0000-000014060000}"/>
    <cellStyle name="40% - Accent5 5 3 2 2 2" xfId="1557" xr:uid="{00000000-0005-0000-0000-000015060000}"/>
    <cellStyle name="40% - Accent5 5 3 2 3" xfId="1558" xr:uid="{00000000-0005-0000-0000-000016060000}"/>
    <cellStyle name="40% - Accent5 5 3 3" xfId="1559" xr:uid="{00000000-0005-0000-0000-000017060000}"/>
    <cellStyle name="40% - Accent5 5 3 3 2" xfId="1560" xr:uid="{00000000-0005-0000-0000-000018060000}"/>
    <cellStyle name="40% - Accent5 5 3 4" xfId="1561" xr:uid="{00000000-0005-0000-0000-000019060000}"/>
    <cellStyle name="40% - Accent5 5 4" xfId="1562" xr:uid="{00000000-0005-0000-0000-00001A060000}"/>
    <cellStyle name="40% - Accent5 5 4 2" xfId="1563" xr:uid="{00000000-0005-0000-0000-00001B060000}"/>
    <cellStyle name="40% - Accent5 5 5" xfId="1564" xr:uid="{00000000-0005-0000-0000-00001C060000}"/>
    <cellStyle name="40% - Accent5 6" xfId="1565" xr:uid="{00000000-0005-0000-0000-00001D060000}"/>
    <cellStyle name="40% - Accent5 6 2" xfId="1566" xr:uid="{00000000-0005-0000-0000-00001E060000}"/>
    <cellStyle name="40% - Accent5 6 2 2" xfId="1567" xr:uid="{00000000-0005-0000-0000-00001F060000}"/>
    <cellStyle name="40% - Accent5 6 2 2 2" xfId="1568" xr:uid="{00000000-0005-0000-0000-000020060000}"/>
    <cellStyle name="40% - Accent5 6 2 3" xfId="1569" xr:uid="{00000000-0005-0000-0000-000021060000}"/>
    <cellStyle name="40% - Accent5 6 3" xfId="1570" xr:uid="{00000000-0005-0000-0000-000022060000}"/>
    <cellStyle name="40% - Accent5 6 3 2" xfId="1571" xr:uid="{00000000-0005-0000-0000-000023060000}"/>
    <cellStyle name="40% - Accent5 6 4" xfId="1572" xr:uid="{00000000-0005-0000-0000-000024060000}"/>
    <cellStyle name="40% - Accent5 7" xfId="1573" xr:uid="{00000000-0005-0000-0000-000025060000}"/>
    <cellStyle name="40% - Accent5 8" xfId="1574" xr:uid="{00000000-0005-0000-0000-000026060000}"/>
    <cellStyle name="40% - Accent6 2" xfId="1575" xr:uid="{00000000-0005-0000-0000-000027060000}"/>
    <cellStyle name="40% - Accent6 2 10" xfId="1576" xr:uid="{00000000-0005-0000-0000-000028060000}"/>
    <cellStyle name="40% - Accent6 2 10 2" xfId="1577" xr:uid="{00000000-0005-0000-0000-000029060000}"/>
    <cellStyle name="40% - Accent6 2 11" xfId="1578" xr:uid="{00000000-0005-0000-0000-00002A060000}"/>
    <cellStyle name="40% - Accent6 2 2" xfId="1579" xr:uid="{00000000-0005-0000-0000-00002B060000}"/>
    <cellStyle name="40% - Accent6 2 2 2" xfId="1580" xr:uid="{00000000-0005-0000-0000-00002C060000}"/>
    <cellStyle name="40% - Accent6 2 2 2 2" xfId="1581" xr:uid="{00000000-0005-0000-0000-00002D060000}"/>
    <cellStyle name="40% - Accent6 2 2 2 2 2" xfId="1582" xr:uid="{00000000-0005-0000-0000-00002E060000}"/>
    <cellStyle name="40% - Accent6 2 2 2 3" xfId="1583" xr:uid="{00000000-0005-0000-0000-00002F060000}"/>
    <cellStyle name="40% - Accent6 2 2 2 3 2" xfId="1584" xr:uid="{00000000-0005-0000-0000-000030060000}"/>
    <cellStyle name="40% - Accent6 2 2 2 3 2 2" xfId="1585" xr:uid="{00000000-0005-0000-0000-000031060000}"/>
    <cellStyle name="40% - Accent6 2 2 2 3 3" xfId="1586" xr:uid="{00000000-0005-0000-0000-000032060000}"/>
    <cellStyle name="40% - Accent6 2 2 2 4" xfId="1587" xr:uid="{00000000-0005-0000-0000-000033060000}"/>
    <cellStyle name="40% - Accent6 2 2 3" xfId="1588" xr:uid="{00000000-0005-0000-0000-000034060000}"/>
    <cellStyle name="40% - Accent6 2 2 3 2" xfId="1589" xr:uid="{00000000-0005-0000-0000-000035060000}"/>
    <cellStyle name="40% - Accent6 2 2 3 2 2" xfId="1590" xr:uid="{00000000-0005-0000-0000-000036060000}"/>
    <cellStyle name="40% - Accent6 2 2 3 3" xfId="1591" xr:uid="{00000000-0005-0000-0000-000037060000}"/>
    <cellStyle name="40% - Accent6 2 2 4" xfId="1592" xr:uid="{00000000-0005-0000-0000-000038060000}"/>
    <cellStyle name="40% - Accent6 2 2 4 2" xfId="1593" xr:uid="{00000000-0005-0000-0000-000039060000}"/>
    <cellStyle name="40% - Accent6 2 2 4 2 2" xfId="1594" xr:uid="{00000000-0005-0000-0000-00003A060000}"/>
    <cellStyle name="40% - Accent6 2 2 4 2 2 2" xfId="1595" xr:uid="{00000000-0005-0000-0000-00003B060000}"/>
    <cellStyle name="40% - Accent6 2 2 4 2 3" xfId="1596" xr:uid="{00000000-0005-0000-0000-00003C060000}"/>
    <cellStyle name="40% - Accent6 2 2 4 3" xfId="1597" xr:uid="{00000000-0005-0000-0000-00003D060000}"/>
    <cellStyle name="40% - Accent6 2 2 4 3 2" xfId="1598" xr:uid="{00000000-0005-0000-0000-00003E060000}"/>
    <cellStyle name="40% - Accent6 2 2 4 4" xfId="1599" xr:uid="{00000000-0005-0000-0000-00003F060000}"/>
    <cellStyle name="40% - Accent6 2 2 5" xfId="1600" xr:uid="{00000000-0005-0000-0000-000040060000}"/>
    <cellStyle name="40% - Accent6 2 2 5 2" xfId="1601" xr:uid="{00000000-0005-0000-0000-000041060000}"/>
    <cellStyle name="40% - Accent6 2 2 6" xfId="1602" xr:uid="{00000000-0005-0000-0000-000042060000}"/>
    <cellStyle name="40% - Accent6 2 3" xfId="1603" xr:uid="{00000000-0005-0000-0000-000043060000}"/>
    <cellStyle name="40% - Accent6 2 3 2" xfId="1604" xr:uid="{00000000-0005-0000-0000-000044060000}"/>
    <cellStyle name="40% - Accent6 2 3 2 2" xfId="1605" xr:uid="{00000000-0005-0000-0000-000045060000}"/>
    <cellStyle name="40% - Accent6 2 3 2 2 2" xfId="1606" xr:uid="{00000000-0005-0000-0000-000046060000}"/>
    <cellStyle name="40% - Accent6 2 3 2 3" xfId="1607" xr:uid="{00000000-0005-0000-0000-000047060000}"/>
    <cellStyle name="40% - Accent6 2 3 3" xfId="1608" xr:uid="{00000000-0005-0000-0000-000048060000}"/>
    <cellStyle name="40% - Accent6 2 3 3 2" xfId="1609" xr:uid="{00000000-0005-0000-0000-000049060000}"/>
    <cellStyle name="40% - Accent6 2 3 3 2 2" xfId="1610" xr:uid="{00000000-0005-0000-0000-00004A060000}"/>
    <cellStyle name="40% - Accent6 2 3 3 2 2 2" xfId="1611" xr:uid="{00000000-0005-0000-0000-00004B060000}"/>
    <cellStyle name="40% - Accent6 2 3 3 2 3" xfId="1612" xr:uid="{00000000-0005-0000-0000-00004C060000}"/>
    <cellStyle name="40% - Accent6 2 3 3 3" xfId="1613" xr:uid="{00000000-0005-0000-0000-00004D060000}"/>
    <cellStyle name="40% - Accent6 2 3 3 3 2" xfId="1614" xr:uid="{00000000-0005-0000-0000-00004E060000}"/>
    <cellStyle name="40% - Accent6 2 3 3 4" xfId="1615" xr:uid="{00000000-0005-0000-0000-00004F060000}"/>
    <cellStyle name="40% - Accent6 2 3 4" xfId="1616" xr:uid="{00000000-0005-0000-0000-000050060000}"/>
    <cellStyle name="40% - Accent6 2 3 4 2" xfId="1617" xr:uid="{00000000-0005-0000-0000-000051060000}"/>
    <cellStyle name="40% - Accent6 2 3 5" xfId="1618" xr:uid="{00000000-0005-0000-0000-000052060000}"/>
    <cellStyle name="40% - Accent6 2 4" xfId="1619" xr:uid="{00000000-0005-0000-0000-000053060000}"/>
    <cellStyle name="40% - Accent6 2 4 2" xfId="1620" xr:uid="{00000000-0005-0000-0000-000054060000}"/>
    <cellStyle name="40% - Accent6 2 4 2 2" xfId="1621" xr:uid="{00000000-0005-0000-0000-000055060000}"/>
    <cellStyle name="40% - Accent6 2 4 2 2 2" xfId="1622" xr:uid="{00000000-0005-0000-0000-000056060000}"/>
    <cellStyle name="40% - Accent6 2 4 2 3" xfId="1623" xr:uid="{00000000-0005-0000-0000-000057060000}"/>
    <cellStyle name="40% - Accent6 2 4 3" xfId="1624" xr:uid="{00000000-0005-0000-0000-000058060000}"/>
    <cellStyle name="40% - Accent6 2 4 3 2" xfId="1625" xr:uid="{00000000-0005-0000-0000-000059060000}"/>
    <cellStyle name="40% - Accent6 2 4 4" xfId="1626" xr:uid="{00000000-0005-0000-0000-00005A060000}"/>
    <cellStyle name="40% - Accent6 2 5" xfId="1627" xr:uid="{00000000-0005-0000-0000-00005B060000}"/>
    <cellStyle name="40% - Accent6 2 5 2" xfId="1628" xr:uid="{00000000-0005-0000-0000-00005C060000}"/>
    <cellStyle name="40% - Accent6 2 5 2 2" xfId="1629" xr:uid="{00000000-0005-0000-0000-00005D060000}"/>
    <cellStyle name="40% - Accent6 2 5 2 2 2" xfId="1630" xr:uid="{00000000-0005-0000-0000-00005E060000}"/>
    <cellStyle name="40% - Accent6 2 5 2 3" xfId="1631" xr:uid="{00000000-0005-0000-0000-00005F060000}"/>
    <cellStyle name="40% - Accent6 2 5 3" xfId="1632" xr:uid="{00000000-0005-0000-0000-000060060000}"/>
    <cellStyle name="40% - Accent6 2 5 3 2" xfId="1633" xr:uid="{00000000-0005-0000-0000-000061060000}"/>
    <cellStyle name="40% - Accent6 2 5 3 2 2" xfId="1634" xr:uid="{00000000-0005-0000-0000-000062060000}"/>
    <cellStyle name="40% - Accent6 2 5 3 2 2 2" xfId="1635" xr:uid="{00000000-0005-0000-0000-000063060000}"/>
    <cellStyle name="40% - Accent6 2 5 3 2 3" xfId="1636" xr:uid="{00000000-0005-0000-0000-000064060000}"/>
    <cellStyle name="40% - Accent6 2 5 3 3" xfId="1637" xr:uid="{00000000-0005-0000-0000-000065060000}"/>
    <cellStyle name="40% - Accent6 2 5 3 3 2" xfId="1638" xr:uid="{00000000-0005-0000-0000-000066060000}"/>
    <cellStyle name="40% - Accent6 2 5 3 4" xfId="1639" xr:uid="{00000000-0005-0000-0000-000067060000}"/>
    <cellStyle name="40% - Accent6 2 5 4" xfId="1640" xr:uid="{00000000-0005-0000-0000-000068060000}"/>
    <cellStyle name="40% - Accent6 2 5 4 2" xfId="1641" xr:uid="{00000000-0005-0000-0000-000069060000}"/>
    <cellStyle name="40% - Accent6 2 5 5" xfId="1642" xr:uid="{00000000-0005-0000-0000-00006A060000}"/>
    <cellStyle name="40% - Accent6 2 6" xfId="1643" xr:uid="{00000000-0005-0000-0000-00006B060000}"/>
    <cellStyle name="40% - Accent6 2 6 2" xfId="1644" xr:uid="{00000000-0005-0000-0000-00006C060000}"/>
    <cellStyle name="40% - Accent6 2 6 2 2" xfId="1645" xr:uid="{00000000-0005-0000-0000-00006D060000}"/>
    <cellStyle name="40% - Accent6 2 6 3" xfId="1646" xr:uid="{00000000-0005-0000-0000-00006E060000}"/>
    <cellStyle name="40% - Accent6 2 7" xfId="1647" xr:uid="{00000000-0005-0000-0000-00006F060000}"/>
    <cellStyle name="40% - Accent6 2 7 2" xfId="1648" xr:uid="{00000000-0005-0000-0000-000070060000}"/>
    <cellStyle name="40% - Accent6 2 7 2 2" xfId="1649" xr:uid="{00000000-0005-0000-0000-000071060000}"/>
    <cellStyle name="40% - Accent6 2 7 3" xfId="1650" xr:uid="{00000000-0005-0000-0000-000072060000}"/>
    <cellStyle name="40% - Accent6 2 8" xfId="1651" xr:uid="{00000000-0005-0000-0000-000073060000}"/>
    <cellStyle name="40% - Accent6 2 8 2" xfId="1652" xr:uid="{00000000-0005-0000-0000-000074060000}"/>
    <cellStyle name="40% - Accent6 2 8 2 2" xfId="1653" xr:uid="{00000000-0005-0000-0000-000075060000}"/>
    <cellStyle name="40% - Accent6 2 8 2 2 2" xfId="1654" xr:uid="{00000000-0005-0000-0000-000076060000}"/>
    <cellStyle name="40% - Accent6 2 8 2 3" xfId="1655" xr:uid="{00000000-0005-0000-0000-000077060000}"/>
    <cellStyle name="40% - Accent6 2 8 3" xfId="1656" xr:uid="{00000000-0005-0000-0000-000078060000}"/>
    <cellStyle name="40% - Accent6 2 8 3 2" xfId="1657" xr:uid="{00000000-0005-0000-0000-000079060000}"/>
    <cellStyle name="40% - Accent6 2 8 4" xfId="1658" xr:uid="{00000000-0005-0000-0000-00007A060000}"/>
    <cellStyle name="40% - Accent6 2 9" xfId="1659" xr:uid="{00000000-0005-0000-0000-00007B060000}"/>
    <cellStyle name="40% - Accent6 2 9 2" xfId="1660" xr:uid="{00000000-0005-0000-0000-00007C060000}"/>
    <cellStyle name="40% - Accent6 3" xfId="1661" xr:uid="{00000000-0005-0000-0000-00007D060000}"/>
    <cellStyle name="40% - Accent6 3 2" xfId="1662" xr:uid="{00000000-0005-0000-0000-00007E060000}"/>
    <cellStyle name="40% - Accent6 3 2 2" xfId="1663" xr:uid="{00000000-0005-0000-0000-00007F060000}"/>
    <cellStyle name="40% - Accent6 3 2 2 2" xfId="1664" xr:uid="{00000000-0005-0000-0000-000080060000}"/>
    <cellStyle name="40% - Accent6 3 2 3" xfId="1665" xr:uid="{00000000-0005-0000-0000-000081060000}"/>
    <cellStyle name="40% - Accent6 3 3" xfId="1666" xr:uid="{00000000-0005-0000-0000-000082060000}"/>
    <cellStyle name="40% - Accent6 3 3 2" xfId="1667" xr:uid="{00000000-0005-0000-0000-000083060000}"/>
    <cellStyle name="40% - Accent6 3 4" xfId="1668" xr:uid="{00000000-0005-0000-0000-000084060000}"/>
    <cellStyle name="40% - Accent6 3 4 2" xfId="1669" xr:uid="{00000000-0005-0000-0000-000085060000}"/>
    <cellStyle name="40% - Accent6 3 4 2 2" xfId="1670" xr:uid="{00000000-0005-0000-0000-000086060000}"/>
    <cellStyle name="40% - Accent6 3 4 3" xfId="1671" xr:uid="{00000000-0005-0000-0000-000087060000}"/>
    <cellStyle name="40% - Accent6 3 5" xfId="1672" xr:uid="{00000000-0005-0000-0000-000088060000}"/>
    <cellStyle name="40% - Accent6 4" xfId="1673" xr:uid="{00000000-0005-0000-0000-000089060000}"/>
    <cellStyle name="40% - Accent6 4 2" xfId="1674" xr:uid="{00000000-0005-0000-0000-00008A060000}"/>
    <cellStyle name="40% - Accent6 4 2 2" xfId="1675" xr:uid="{00000000-0005-0000-0000-00008B060000}"/>
    <cellStyle name="40% - Accent6 4 3" xfId="1676" xr:uid="{00000000-0005-0000-0000-00008C060000}"/>
    <cellStyle name="40% - Accent6 4 3 2" xfId="1677" xr:uid="{00000000-0005-0000-0000-00008D060000}"/>
    <cellStyle name="40% - Accent6 4 3 2 2" xfId="1678" xr:uid="{00000000-0005-0000-0000-00008E060000}"/>
    <cellStyle name="40% - Accent6 4 3 3" xfId="1679" xr:uid="{00000000-0005-0000-0000-00008F060000}"/>
    <cellStyle name="40% - Accent6 4 4" xfId="1680" xr:uid="{00000000-0005-0000-0000-000090060000}"/>
    <cellStyle name="40% - Accent6 5" xfId="1681" xr:uid="{00000000-0005-0000-0000-000091060000}"/>
    <cellStyle name="40% - Accent6 5 2" xfId="1682" xr:uid="{00000000-0005-0000-0000-000092060000}"/>
    <cellStyle name="40% - Accent6 5 2 2" xfId="1683" xr:uid="{00000000-0005-0000-0000-000093060000}"/>
    <cellStyle name="40% - Accent6 5 2 2 2" xfId="1684" xr:uid="{00000000-0005-0000-0000-000094060000}"/>
    <cellStyle name="40% - Accent6 5 2 3" xfId="1685" xr:uid="{00000000-0005-0000-0000-000095060000}"/>
    <cellStyle name="40% - Accent6 5 3" xfId="1686" xr:uid="{00000000-0005-0000-0000-000096060000}"/>
    <cellStyle name="40% - Accent6 5 3 2" xfId="1687" xr:uid="{00000000-0005-0000-0000-000097060000}"/>
    <cellStyle name="40% - Accent6 5 3 2 2" xfId="1688" xr:uid="{00000000-0005-0000-0000-000098060000}"/>
    <cellStyle name="40% - Accent6 5 3 2 2 2" xfId="1689" xr:uid="{00000000-0005-0000-0000-000099060000}"/>
    <cellStyle name="40% - Accent6 5 3 2 3" xfId="1690" xr:uid="{00000000-0005-0000-0000-00009A060000}"/>
    <cellStyle name="40% - Accent6 5 3 3" xfId="1691" xr:uid="{00000000-0005-0000-0000-00009B060000}"/>
    <cellStyle name="40% - Accent6 5 3 3 2" xfId="1692" xr:uid="{00000000-0005-0000-0000-00009C060000}"/>
    <cellStyle name="40% - Accent6 5 3 4" xfId="1693" xr:uid="{00000000-0005-0000-0000-00009D060000}"/>
    <cellStyle name="40% - Accent6 5 4" xfId="1694" xr:uid="{00000000-0005-0000-0000-00009E060000}"/>
    <cellStyle name="40% - Accent6 5 4 2" xfId="1695" xr:uid="{00000000-0005-0000-0000-00009F060000}"/>
    <cellStyle name="40% - Accent6 5 5" xfId="1696" xr:uid="{00000000-0005-0000-0000-0000A0060000}"/>
    <cellStyle name="40% - Accent6 6" xfId="1697" xr:uid="{00000000-0005-0000-0000-0000A1060000}"/>
    <cellStyle name="40% - Accent6 6 2" xfId="1698" xr:uid="{00000000-0005-0000-0000-0000A2060000}"/>
    <cellStyle name="40% - Accent6 6 2 2" xfId="1699" xr:uid="{00000000-0005-0000-0000-0000A3060000}"/>
    <cellStyle name="40% - Accent6 6 2 2 2" xfId="1700" xr:uid="{00000000-0005-0000-0000-0000A4060000}"/>
    <cellStyle name="40% - Accent6 6 2 3" xfId="1701" xr:uid="{00000000-0005-0000-0000-0000A5060000}"/>
    <cellStyle name="40% - Accent6 6 3" xfId="1702" xr:uid="{00000000-0005-0000-0000-0000A6060000}"/>
    <cellStyle name="40% - Accent6 6 3 2" xfId="1703" xr:uid="{00000000-0005-0000-0000-0000A7060000}"/>
    <cellStyle name="40% - Accent6 6 4" xfId="1704" xr:uid="{00000000-0005-0000-0000-0000A8060000}"/>
    <cellStyle name="40% - Accent6 7" xfId="1705" xr:uid="{00000000-0005-0000-0000-0000A9060000}"/>
    <cellStyle name="40% - Accent6 8" xfId="1706" xr:uid="{00000000-0005-0000-0000-0000AA060000}"/>
    <cellStyle name="60% - Accent1 2" xfId="1707" xr:uid="{00000000-0005-0000-0000-0000AB060000}"/>
    <cellStyle name="60% - Accent1 2 10" xfId="1708" xr:uid="{00000000-0005-0000-0000-0000AC060000}"/>
    <cellStyle name="60% - Accent1 2 2" xfId="1709" xr:uid="{00000000-0005-0000-0000-0000AD060000}"/>
    <cellStyle name="60% - Accent1 2 2 2" xfId="1710" xr:uid="{00000000-0005-0000-0000-0000AE060000}"/>
    <cellStyle name="60% - Accent1 2 2 2 2" xfId="1711" xr:uid="{00000000-0005-0000-0000-0000AF060000}"/>
    <cellStyle name="60% - Accent1 2 2 3" xfId="1712" xr:uid="{00000000-0005-0000-0000-0000B0060000}"/>
    <cellStyle name="60% - Accent1 2 2 3 2" xfId="1713" xr:uid="{00000000-0005-0000-0000-0000B1060000}"/>
    <cellStyle name="60% - Accent1 2 2 3 2 2" xfId="1714" xr:uid="{00000000-0005-0000-0000-0000B2060000}"/>
    <cellStyle name="60% - Accent1 2 2 3 3" xfId="1715" xr:uid="{00000000-0005-0000-0000-0000B3060000}"/>
    <cellStyle name="60% - Accent1 2 2 4" xfId="1716" xr:uid="{00000000-0005-0000-0000-0000B4060000}"/>
    <cellStyle name="60% - Accent1 2 3" xfId="1717" xr:uid="{00000000-0005-0000-0000-0000B5060000}"/>
    <cellStyle name="60% - Accent1 2 3 2" xfId="1718" xr:uid="{00000000-0005-0000-0000-0000B6060000}"/>
    <cellStyle name="60% - Accent1 2 3 2 2" xfId="1719" xr:uid="{00000000-0005-0000-0000-0000B7060000}"/>
    <cellStyle name="60% - Accent1 2 3 3" xfId="1720" xr:uid="{00000000-0005-0000-0000-0000B8060000}"/>
    <cellStyle name="60% - Accent1 2 3 3 2" xfId="1721" xr:uid="{00000000-0005-0000-0000-0000B9060000}"/>
    <cellStyle name="60% - Accent1 2 3 3 2 2" xfId="1722" xr:uid="{00000000-0005-0000-0000-0000BA060000}"/>
    <cellStyle name="60% - Accent1 2 3 3 3" xfId="1723" xr:uid="{00000000-0005-0000-0000-0000BB060000}"/>
    <cellStyle name="60% - Accent1 2 3 4" xfId="1724" xr:uid="{00000000-0005-0000-0000-0000BC060000}"/>
    <cellStyle name="60% - Accent1 2 4" xfId="1725" xr:uid="{00000000-0005-0000-0000-0000BD060000}"/>
    <cellStyle name="60% - Accent1 2 4 2" xfId="1726" xr:uid="{00000000-0005-0000-0000-0000BE060000}"/>
    <cellStyle name="60% - Accent1 2 4 2 2" xfId="1727" xr:uid="{00000000-0005-0000-0000-0000BF060000}"/>
    <cellStyle name="60% - Accent1 2 4 3" xfId="1728" xr:uid="{00000000-0005-0000-0000-0000C0060000}"/>
    <cellStyle name="60% - Accent1 2 5" xfId="1729" xr:uid="{00000000-0005-0000-0000-0000C1060000}"/>
    <cellStyle name="60% - Accent1 2 5 2" xfId="1730" xr:uid="{00000000-0005-0000-0000-0000C2060000}"/>
    <cellStyle name="60% - Accent1 2 5 2 2" xfId="1731" xr:uid="{00000000-0005-0000-0000-0000C3060000}"/>
    <cellStyle name="60% - Accent1 2 5 3" xfId="1732" xr:uid="{00000000-0005-0000-0000-0000C4060000}"/>
    <cellStyle name="60% - Accent1 2 5 3 2" xfId="1733" xr:uid="{00000000-0005-0000-0000-0000C5060000}"/>
    <cellStyle name="60% - Accent1 2 5 3 2 2" xfId="1734" xr:uid="{00000000-0005-0000-0000-0000C6060000}"/>
    <cellStyle name="60% - Accent1 2 5 3 3" xfId="1735" xr:uid="{00000000-0005-0000-0000-0000C7060000}"/>
    <cellStyle name="60% - Accent1 2 5 4" xfId="1736" xr:uid="{00000000-0005-0000-0000-0000C8060000}"/>
    <cellStyle name="60% - Accent1 2 6" xfId="1737" xr:uid="{00000000-0005-0000-0000-0000C9060000}"/>
    <cellStyle name="60% - Accent1 2 6 2" xfId="1738" xr:uid="{00000000-0005-0000-0000-0000CA060000}"/>
    <cellStyle name="60% - Accent1 2 7" xfId="1739" xr:uid="{00000000-0005-0000-0000-0000CB060000}"/>
    <cellStyle name="60% - Accent1 2 7 2" xfId="1740" xr:uid="{00000000-0005-0000-0000-0000CC060000}"/>
    <cellStyle name="60% - Accent1 2 8" xfId="1741" xr:uid="{00000000-0005-0000-0000-0000CD060000}"/>
    <cellStyle name="60% - Accent1 2 8 2" xfId="1742" xr:uid="{00000000-0005-0000-0000-0000CE060000}"/>
    <cellStyle name="60% - Accent1 2 8 2 2" xfId="1743" xr:uid="{00000000-0005-0000-0000-0000CF060000}"/>
    <cellStyle name="60% - Accent1 2 8 3" xfId="1744" xr:uid="{00000000-0005-0000-0000-0000D0060000}"/>
    <cellStyle name="60% - Accent1 2 9" xfId="1745" xr:uid="{00000000-0005-0000-0000-0000D1060000}"/>
    <cellStyle name="60% - Accent1 2 9 2" xfId="1746" xr:uid="{00000000-0005-0000-0000-0000D2060000}"/>
    <cellStyle name="60% - Accent1 2 9 2 2" xfId="1747" xr:uid="{00000000-0005-0000-0000-0000D3060000}"/>
    <cellStyle name="60% - Accent1 2 9 3" xfId="1748" xr:uid="{00000000-0005-0000-0000-0000D4060000}"/>
    <cellStyle name="60% - Accent1 3" xfId="1749" xr:uid="{00000000-0005-0000-0000-0000D5060000}"/>
    <cellStyle name="60% - Accent1 3 2" xfId="1750" xr:uid="{00000000-0005-0000-0000-0000D6060000}"/>
    <cellStyle name="60% - Accent1 3 2 2" xfId="1751" xr:uid="{00000000-0005-0000-0000-0000D7060000}"/>
    <cellStyle name="60% - Accent1 3 3" xfId="1752" xr:uid="{00000000-0005-0000-0000-0000D8060000}"/>
    <cellStyle name="60% - Accent1 3 3 2" xfId="1753" xr:uid="{00000000-0005-0000-0000-0000D9060000}"/>
    <cellStyle name="60% - Accent1 3 4" xfId="1754" xr:uid="{00000000-0005-0000-0000-0000DA060000}"/>
    <cellStyle name="60% - Accent1 3 4 2" xfId="1755" xr:uid="{00000000-0005-0000-0000-0000DB060000}"/>
    <cellStyle name="60% - Accent1 3 4 2 2" xfId="1756" xr:uid="{00000000-0005-0000-0000-0000DC060000}"/>
    <cellStyle name="60% - Accent1 3 4 3" xfId="1757" xr:uid="{00000000-0005-0000-0000-0000DD060000}"/>
    <cellStyle name="60% - Accent1 3 5" xfId="1758" xr:uid="{00000000-0005-0000-0000-0000DE060000}"/>
    <cellStyle name="60% - Accent1 4" xfId="1759" xr:uid="{00000000-0005-0000-0000-0000DF060000}"/>
    <cellStyle name="60% - Accent1 4 2" xfId="1760" xr:uid="{00000000-0005-0000-0000-0000E0060000}"/>
    <cellStyle name="60% - Accent1 4 2 2" xfId="1761" xr:uid="{00000000-0005-0000-0000-0000E1060000}"/>
    <cellStyle name="60% - Accent1 4 3" xfId="1762" xr:uid="{00000000-0005-0000-0000-0000E2060000}"/>
    <cellStyle name="60% - Accent1 4 3 2" xfId="1763" xr:uid="{00000000-0005-0000-0000-0000E3060000}"/>
    <cellStyle name="60% - Accent1 4 3 2 2" xfId="1764" xr:uid="{00000000-0005-0000-0000-0000E4060000}"/>
    <cellStyle name="60% - Accent1 4 3 3" xfId="1765" xr:uid="{00000000-0005-0000-0000-0000E5060000}"/>
    <cellStyle name="60% - Accent1 4 4" xfId="1766" xr:uid="{00000000-0005-0000-0000-0000E6060000}"/>
    <cellStyle name="60% - Accent1 5" xfId="1767" xr:uid="{00000000-0005-0000-0000-0000E7060000}"/>
    <cellStyle name="60% - Accent1 5 2" xfId="1768" xr:uid="{00000000-0005-0000-0000-0000E8060000}"/>
    <cellStyle name="60% - Accent1 5 2 2" xfId="1769" xr:uid="{00000000-0005-0000-0000-0000E9060000}"/>
    <cellStyle name="60% - Accent1 5 3" xfId="1770" xr:uid="{00000000-0005-0000-0000-0000EA060000}"/>
    <cellStyle name="60% - Accent1 5 3 2" xfId="1771" xr:uid="{00000000-0005-0000-0000-0000EB060000}"/>
    <cellStyle name="60% - Accent1 5 3 2 2" xfId="1772" xr:uid="{00000000-0005-0000-0000-0000EC060000}"/>
    <cellStyle name="60% - Accent1 5 3 3" xfId="1773" xr:uid="{00000000-0005-0000-0000-0000ED060000}"/>
    <cellStyle name="60% - Accent1 5 4" xfId="1774" xr:uid="{00000000-0005-0000-0000-0000EE060000}"/>
    <cellStyle name="60% - Accent1 6" xfId="1775" xr:uid="{00000000-0005-0000-0000-0000EF060000}"/>
    <cellStyle name="60% - Accent1 6 2" xfId="1776" xr:uid="{00000000-0005-0000-0000-0000F0060000}"/>
    <cellStyle name="60% - Accent1 6 2 2" xfId="1777" xr:uid="{00000000-0005-0000-0000-0000F1060000}"/>
    <cellStyle name="60% - Accent1 6 3" xfId="1778" xr:uid="{00000000-0005-0000-0000-0000F2060000}"/>
    <cellStyle name="60% - Accent1 7" xfId="1779" xr:uid="{00000000-0005-0000-0000-0000F3060000}"/>
    <cellStyle name="60% - Accent1 8" xfId="1780" xr:uid="{00000000-0005-0000-0000-0000F4060000}"/>
    <cellStyle name="60% - Accent2 2" xfId="1781" xr:uid="{00000000-0005-0000-0000-0000F5060000}"/>
    <cellStyle name="60% - Accent2 2 10" xfId="1782" xr:uid="{00000000-0005-0000-0000-0000F6060000}"/>
    <cellStyle name="60% - Accent2 2 2" xfId="1783" xr:uid="{00000000-0005-0000-0000-0000F7060000}"/>
    <cellStyle name="60% - Accent2 2 2 2" xfId="1784" xr:uid="{00000000-0005-0000-0000-0000F8060000}"/>
    <cellStyle name="60% - Accent2 2 2 2 2" xfId="1785" xr:uid="{00000000-0005-0000-0000-0000F9060000}"/>
    <cellStyle name="60% - Accent2 2 2 3" xfId="1786" xr:uid="{00000000-0005-0000-0000-0000FA060000}"/>
    <cellStyle name="60% - Accent2 2 2 3 2" xfId="1787" xr:uid="{00000000-0005-0000-0000-0000FB060000}"/>
    <cellStyle name="60% - Accent2 2 2 3 2 2" xfId="1788" xr:uid="{00000000-0005-0000-0000-0000FC060000}"/>
    <cellStyle name="60% - Accent2 2 2 3 3" xfId="1789" xr:uid="{00000000-0005-0000-0000-0000FD060000}"/>
    <cellStyle name="60% - Accent2 2 2 4" xfId="1790" xr:uid="{00000000-0005-0000-0000-0000FE060000}"/>
    <cellStyle name="60% - Accent2 2 3" xfId="1791" xr:uid="{00000000-0005-0000-0000-0000FF060000}"/>
    <cellStyle name="60% - Accent2 2 3 2" xfId="1792" xr:uid="{00000000-0005-0000-0000-000000070000}"/>
    <cellStyle name="60% - Accent2 2 3 2 2" xfId="1793" xr:uid="{00000000-0005-0000-0000-000001070000}"/>
    <cellStyle name="60% - Accent2 2 3 3" xfId="1794" xr:uid="{00000000-0005-0000-0000-000002070000}"/>
    <cellStyle name="60% - Accent2 2 3 3 2" xfId="1795" xr:uid="{00000000-0005-0000-0000-000003070000}"/>
    <cellStyle name="60% - Accent2 2 3 3 2 2" xfId="1796" xr:uid="{00000000-0005-0000-0000-000004070000}"/>
    <cellStyle name="60% - Accent2 2 3 3 3" xfId="1797" xr:uid="{00000000-0005-0000-0000-000005070000}"/>
    <cellStyle name="60% - Accent2 2 3 4" xfId="1798" xr:uid="{00000000-0005-0000-0000-000006070000}"/>
    <cellStyle name="60% - Accent2 2 4" xfId="1799" xr:uid="{00000000-0005-0000-0000-000007070000}"/>
    <cellStyle name="60% - Accent2 2 4 2" xfId="1800" xr:uid="{00000000-0005-0000-0000-000008070000}"/>
    <cellStyle name="60% - Accent2 2 4 2 2" xfId="1801" xr:uid="{00000000-0005-0000-0000-000009070000}"/>
    <cellStyle name="60% - Accent2 2 4 3" xfId="1802" xr:uid="{00000000-0005-0000-0000-00000A070000}"/>
    <cellStyle name="60% - Accent2 2 5" xfId="1803" xr:uid="{00000000-0005-0000-0000-00000B070000}"/>
    <cellStyle name="60% - Accent2 2 5 2" xfId="1804" xr:uid="{00000000-0005-0000-0000-00000C070000}"/>
    <cellStyle name="60% - Accent2 2 5 2 2" xfId="1805" xr:uid="{00000000-0005-0000-0000-00000D070000}"/>
    <cellStyle name="60% - Accent2 2 5 3" xfId="1806" xr:uid="{00000000-0005-0000-0000-00000E070000}"/>
    <cellStyle name="60% - Accent2 2 5 3 2" xfId="1807" xr:uid="{00000000-0005-0000-0000-00000F070000}"/>
    <cellStyle name="60% - Accent2 2 5 3 2 2" xfId="1808" xr:uid="{00000000-0005-0000-0000-000010070000}"/>
    <cellStyle name="60% - Accent2 2 5 3 3" xfId="1809" xr:uid="{00000000-0005-0000-0000-000011070000}"/>
    <cellStyle name="60% - Accent2 2 5 4" xfId="1810" xr:uid="{00000000-0005-0000-0000-000012070000}"/>
    <cellStyle name="60% - Accent2 2 6" xfId="1811" xr:uid="{00000000-0005-0000-0000-000013070000}"/>
    <cellStyle name="60% - Accent2 2 6 2" xfId="1812" xr:uid="{00000000-0005-0000-0000-000014070000}"/>
    <cellStyle name="60% - Accent2 2 7" xfId="1813" xr:uid="{00000000-0005-0000-0000-000015070000}"/>
    <cellStyle name="60% - Accent2 2 7 2" xfId="1814" xr:uid="{00000000-0005-0000-0000-000016070000}"/>
    <cellStyle name="60% - Accent2 2 8" xfId="1815" xr:uid="{00000000-0005-0000-0000-000017070000}"/>
    <cellStyle name="60% - Accent2 2 8 2" xfId="1816" xr:uid="{00000000-0005-0000-0000-000018070000}"/>
    <cellStyle name="60% - Accent2 2 8 2 2" xfId="1817" xr:uid="{00000000-0005-0000-0000-000019070000}"/>
    <cellStyle name="60% - Accent2 2 8 3" xfId="1818" xr:uid="{00000000-0005-0000-0000-00001A070000}"/>
    <cellStyle name="60% - Accent2 2 9" xfId="1819" xr:uid="{00000000-0005-0000-0000-00001B070000}"/>
    <cellStyle name="60% - Accent2 2 9 2" xfId="1820" xr:uid="{00000000-0005-0000-0000-00001C070000}"/>
    <cellStyle name="60% - Accent2 2 9 2 2" xfId="1821" xr:uid="{00000000-0005-0000-0000-00001D070000}"/>
    <cellStyle name="60% - Accent2 2 9 3" xfId="1822" xr:uid="{00000000-0005-0000-0000-00001E070000}"/>
    <cellStyle name="60% - Accent2 3" xfId="1823" xr:uid="{00000000-0005-0000-0000-00001F070000}"/>
    <cellStyle name="60% - Accent2 3 2" xfId="1824" xr:uid="{00000000-0005-0000-0000-000020070000}"/>
    <cellStyle name="60% - Accent2 3 2 2" xfId="1825" xr:uid="{00000000-0005-0000-0000-000021070000}"/>
    <cellStyle name="60% - Accent2 3 3" xfId="1826" xr:uid="{00000000-0005-0000-0000-000022070000}"/>
    <cellStyle name="60% - Accent2 3 3 2" xfId="1827" xr:uid="{00000000-0005-0000-0000-000023070000}"/>
    <cellStyle name="60% - Accent2 3 4" xfId="1828" xr:uid="{00000000-0005-0000-0000-000024070000}"/>
    <cellStyle name="60% - Accent2 3 4 2" xfId="1829" xr:uid="{00000000-0005-0000-0000-000025070000}"/>
    <cellStyle name="60% - Accent2 3 4 2 2" xfId="1830" xr:uid="{00000000-0005-0000-0000-000026070000}"/>
    <cellStyle name="60% - Accent2 3 4 3" xfId="1831" xr:uid="{00000000-0005-0000-0000-000027070000}"/>
    <cellStyle name="60% - Accent2 3 5" xfId="1832" xr:uid="{00000000-0005-0000-0000-000028070000}"/>
    <cellStyle name="60% - Accent2 4" xfId="1833" xr:uid="{00000000-0005-0000-0000-000029070000}"/>
    <cellStyle name="60% - Accent2 4 2" xfId="1834" xr:uid="{00000000-0005-0000-0000-00002A070000}"/>
    <cellStyle name="60% - Accent2 4 2 2" xfId="1835" xr:uid="{00000000-0005-0000-0000-00002B070000}"/>
    <cellStyle name="60% - Accent2 4 3" xfId="1836" xr:uid="{00000000-0005-0000-0000-00002C070000}"/>
    <cellStyle name="60% - Accent2 4 3 2" xfId="1837" xr:uid="{00000000-0005-0000-0000-00002D070000}"/>
    <cellStyle name="60% - Accent2 4 3 2 2" xfId="1838" xr:uid="{00000000-0005-0000-0000-00002E070000}"/>
    <cellStyle name="60% - Accent2 4 3 3" xfId="1839" xr:uid="{00000000-0005-0000-0000-00002F070000}"/>
    <cellStyle name="60% - Accent2 4 4" xfId="1840" xr:uid="{00000000-0005-0000-0000-000030070000}"/>
    <cellStyle name="60% - Accent2 5" xfId="1841" xr:uid="{00000000-0005-0000-0000-000031070000}"/>
    <cellStyle name="60% - Accent2 5 2" xfId="1842" xr:uid="{00000000-0005-0000-0000-000032070000}"/>
    <cellStyle name="60% - Accent2 5 2 2" xfId="1843" xr:uid="{00000000-0005-0000-0000-000033070000}"/>
    <cellStyle name="60% - Accent2 5 3" xfId="1844" xr:uid="{00000000-0005-0000-0000-000034070000}"/>
    <cellStyle name="60% - Accent2 5 3 2" xfId="1845" xr:uid="{00000000-0005-0000-0000-000035070000}"/>
    <cellStyle name="60% - Accent2 5 3 2 2" xfId="1846" xr:uid="{00000000-0005-0000-0000-000036070000}"/>
    <cellStyle name="60% - Accent2 5 3 3" xfId="1847" xr:uid="{00000000-0005-0000-0000-000037070000}"/>
    <cellStyle name="60% - Accent2 5 4" xfId="1848" xr:uid="{00000000-0005-0000-0000-000038070000}"/>
    <cellStyle name="60% - Accent2 6" xfId="1849" xr:uid="{00000000-0005-0000-0000-000039070000}"/>
    <cellStyle name="60% - Accent2 6 2" xfId="1850" xr:uid="{00000000-0005-0000-0000-00003A070000}"/>
    <cellStyle name="60% - Accent2 6 2 2" xfId="1851" xr:uid="{00000000-0005-0000-0000-00003B070000}"/>
    <cellStyle name="60% - Accent2 6 3" xfId="1852" xr:uid="{00000000-0005-0000-0000-00003C070000}"/>
    <cellStyle name="60% - Accent2 7" xfId="1853" xr:uid="{00000000-0005-0000-0000-00003D070000}"/>
    <cellStyle name="60% - Accent2 8" xfId="1854" xr:uid="{00000000-0005-0000-0000-00003E070000}"/>
    <cellStyle name="60% - Accent3 2" xfId="1855" xr:uid="{00000000-0005-0000-0000-00003F070000}"/>
    <cellStyle name="60% - Accent3 2 10" xfId="1856" xr:uid="{00000000-0005-0000-0000-000040070000}"/>
    <cellStyle name="60% - Accent3 2 2" xfId="1857" xr:uid="{00000000-0005-0000-0000-000041070000}"/>
    <cellStyle name="60% - Accent3 2 2 2" xfId="1858" xr:uid="{00000000-0005-0000-0000-000042070000}"/>
    <cellStyle name="60% - Accent3 2 2 2 2" xfId="1859" xr:uid="{00000000-0005-0000-0000-000043070000}"/>
    <cellStyle name="60% - Accent3 2 2 3" xfId="1860" xr:uid="{00000000-0005-0000-0000-000044070000}"/>
    <cellStyle name="60% - Accent3 2 2 3 2" xfId="1861" xr:uid="{00000000-0005-0000-0000-000045070000}"/>
    <cellStyle name="60% - Accent3 2 2 3 2 2" xfId="1862" xr:uid="{00000000-0005-0000-0000-000046070000}"/>
    <cellStyle name="60% - Accent3 2 2 3 3" xfId="1863" xr:uid="{00000000-0005-0000-0000-000047070000}"/>
    <cellStyle name="60% - Accent3 2 2 4" xfId="1864" xr:uid="{00000000-0005-0000-0000-000048070000}"/>
    <cellStyle name="60% - Accent3 2 3" xfId="1865" xr:uid="{00000000-0005-0000-0000-000049070000}"/>
    <cellStyle name="60% - Accent3 2 3 2" xfId="1866" xr:uid="{00000000-0005-0000-0000-00004A070000}"/>
    <cellStyle name="60% - Accent3 2 3 2 2" xfId="1867" xr:uid="{00000000-0005-0000-0000-00004B070000}"/>
    <cellStyle name="60% - Accent3 2 3 3" xfId="1868" xr:uid="{00000000-0005-0000-0000-00004C070000}"/>
    <cellStyle name="60% - Accent3 2 3 3 2" xfId="1869" xr:uid="{00000000-0005-0000-0000-00004D070000}"/>
    <cellStyle name="60% - Accent3 2 3 3 2 2" xfId="1870" xr:uid="{00000000-0005-0000-0000-00004E070000}"/>
    <cellStyle name="60% - Accent3 2 3 3 3" xfId="1871" xr:uid="{00000000-0005-0000-0000-00004F070000}"/>
    <cellStyle name="60% - Accent3 2 3 4" xfId="1872" xr:uid="{00000000-0005-0000-0000-000050070000}"/>
    <cellStyle name="60% - Accent3 2 4" xfId="1873" xr:uid="{00000000-0005-0000-0000-000051070000}"/>
    <cellStyle name="60% - Accent3 2 4 2" xfId="1874" xr:uid="{00000000-0005-0000-0000-000052070000}"/>
    <cellStyle name="60% - Accent3 2 4 2 2" xfId="1875" xr:uid="{00000000-0005-0000-0000-000053070000}"/>
    <cellStyle name="60% - Accent3 2 4 3" xfId="1876" xr:uid="{00000000-0005-0000-0000-000054070000}"/>
    <cellStyle name="60% - Accent3 2 5" xfId="1877" xr:uid="{00000000-0005-0000-0000-000055070000}"/>
    <cellStyle name="60% - Accent3 2 5 2" xfId="1878" xr:uid="{00000000-0005-0000-0000-000056070000}"/>
    <cellStyle name="60% - Accent3 2 5 2 2" xfId="1879" xr:uid="{00000000-0005-0000-0000-000057070000}"/>
    <cellStyle name="60% - Accent3 2 5 3" xfId="1880" xr:uid="{00000000-0005-0000-0000-000058070000}"/>
    <cellStyle name="60% - Accent3 2 5 3 2" xfId="1881" xr:uid="{00000000-0005-0000-0000-000059070000}"/>
    <cellStyle name="60% - Accent3 2 5 3 2 2" xfId="1882" xr:uid="{00000000-0005-0000-0000-00005A070000}"/>
    <cellStyle name="60% - Accent3 2 5 3 3" xfId="1883" xr:uid="{00000000-0005-0000-0000-00005B070000}"/>
    <cellStyle name="60% - Accent3 2 5 4" xfId="1884" xr:uid="{00000000-0005-0000-0000-00005C070000}"/>
    <cellStyle name="60% - Accent3 2 6" xfId="1885" xr:uid="{00000000-0005-0000-0000-00005D070000}"/>
    <cellStyle name="60% - Accent3 2 6 2" xfId="1886" xr:uid="{00000000-0005-0000-0000-00005E070000}"/>
    <cellStyle name="60% - Accent3 2 7" xfId="1887" xr:uid="{00000000-0005-0000-0000-00005F070000}"/>
    <cellStyle name="60% - Accent3 2 7 2" xfId="1888" xr:uid="{00000000-0005-0000-0000-000060070000}"/>
    <cellStyle name="60% - Accent3 2 8" xfId="1889" xr:uid="{00000000-0005-0000-0000-000061070000}"/>
    <cellStyle name="60% - Accent3 2 8 2" xfId="1890" xr:uid="{00000000-0005-0000-0000-000062070000}"/>
    <cellStyle name="60% - Accent3 2 8 2 2" xfId="1891" xr:uid="{00000000-0005-0000-0000-000063070000}"/>
    <cellStyle name="60% - Accent3 2 8 3" xfId="1892" xr:uid="{00000000-0005-0000-0000-000064070000}"/>
    <cellStyle name="60% - Accent3 2 9" xfId="1893" xr:uid="{00000000-0005-0000-0000-000065070000}"/>
    <cellStyle name="60% - Accent3 2 9 2" xfId="1894" xr:uid="{00000000-0005-0000-0000-000066070000}"/>
    <cellStyle name="60% - Accent3 2 9 2 2" xfId="1895" xr:uid="{00000000-0005-0000-0000-000067070000}"/>
    <cellStyle name="60% - Accent3 2 9 3" xfId="1896" xr:uid="{00000000-0005-0000-0000-000068070000}"/>
    <cellStyle name="60% - Accent3 3" xfId="1897" xr:uid="{00000000-0005-0000-0000-000069070000}"/>
    <cellStyle name="60% - Accent3 3 2" xfId="1898" xr:uid="{00000000-0005-0000-0000-00006A070000}"/>
    <cellStyle name="60% - Accent3 3 2 2" xfId="1899" xr:uid="{00000000-0005-0000-0000-00006B070000}"/>
    <cellStyle name="60% - Accent3 3 3" xfId="1900" xr:uid="{00000000-0005-0000-0000-00006C070000}"/>
    <cellStyle name="60% - Accent3 3 3 2" xfId="1901" xr:uid="{00000000-0005-0000-0000-00006D070000}"/>
    <cellStyle name="60% - Accent3 3 4" xfId="1902" xr:uid="{00000000-0005-0000-0000-00006E070000}"/>
    <cellStyle name="60% - Accent3 3 4 2" xfId="1903" xr:uid="{00000000-0005-0000-0000-00006F070000}"/>
    <cellStyle name="60% - Accent3 3 4 2 2" xfId="1904" xr:uid="{00000000-0005-0000-0000-000070070000}"/>
    <cellStyle name="60% - Accent3 3 4 3" xfId="1905" xr:uid="{00000000-0005-0000-0000-000071070000}"/>
    <cellStyle name="60% - Accent3 3 5" xfId="1906" xr:uid="{00000000-0005-0000-0000-000072070000}"/>
    <cellStyle name="60% - Accent3 4" xfId="1907" xr:uid="{00000000-0005-0000-0000-000073070000}"/>
    <cellStyle name="60% - Accent3 4 2" xfId="1908" xr:uid="{00000000-0005-0000-0000-000074070000}"/>
    <cellStyle name="60% - Accent3 4 2 2" xfId="1909" xr:uid="{00000000-0005-0000-0000-000075070000}"/>
    <cellStyle name="60% - Accent3 4 3" xfId="1910" xr:uid="{00000000-0005-0000-0000-000076070000}"/>
    <cellStyle name="60% - Accent3 4 3 2" xfId="1911" xr:uid="{00000000-0005-0000-0000-000077070000}"/>
    <cellStyle name="60% - Accent3 4 3 2 2" xfId="1912" xr:uid="{00000000-0005-0000-0000-000078070000}"/>
    <cellStyle name="60% - Accent3 4 3 3" xfId="1913" xr:uid="{00000000-0005-0000-0000-000079070000}"/>
    <cellStyle name="60% - Accent3 4 4" xfId="1914" xr:uid="{00000000-0005-0000-0000-00007A070000}"/>
    <cellStyle name="60% - Accent3 5" xfId="1915" xr:uid="{00000000-0005-0000-0000-00007B070000}"/>
    <cellStyle name="60% - Accent3 5 2" xfId="1916" xr:uid="{00000000-0005-0000-0000-00007C070000}"/>
    <cellStyle name="60% - Accent3 5 2 2" xfId="1917" xr:uid="{00000000-0005-0000-0000-00007D070000}"/>
    <cellStyle name="60% - Accent3 5 3" xfId="1918" xr:uid="{00000000-0005-0000-0000-00007E070000}"/>
    <cellStyle name="60% - Accent3 5 3 2" xfId="1919" xr:uid="{00000000-0005-0000-0000-00007F070000}"/>
    <cellStyle name="60% - Accent3 5 3 2 2" xfId="1920" xr:uid="{00000000-0005-0000-0000-000080070000}"/>
    <cellStyle name="60% - Accent3 5 3 3" xfId="1921" xr:uid="{00000000-0005-0000-0000-000081070000}"/>
    <cellStyle name="60% - Accent3 5 4" xfId="1922" xr:uid="{00000000-0005-0000-0000-000082070000}"/>
    <cellStyle name="60% - Accent3 6" xfId="1923" xr:uid="{00000000-0005-0000-0000-000083070000}"/>
    <cellStyle name="60% - Accent3 6 2" xfId="1924" xr:uid="{00000000-0005-0000-0000-000084070000}"/>
    <cellStyle name="60% - Accent3 6 2 2" xfId="1925" xr:uid="{00000000-0005-0000-0000-000085070000}"/>
    <cellStyle name="60% - Accent3 6 3" xfId="1926" xr:uid="{00000000-0005-0000-0000-000086070000}"/>
    <cellStyle name="60% - Accent3 7" xfId="1927" xr:uid="{00000000-0005-0000-0000-000087070000}"/>
    <cellStyle name="60% - Accent3 8" xfId="1928" xr:uid="{00000000-0005-0000-0000-000088070000}"/>
    <cellStyle name="60% - Accent4 2" xfId="1929" xr:uid="{00000000-0005-0000-0000-000089070000}"/>
    <cellStyle name="60% - Accent4 2 10" xfId="1930" xr:uid="{00000000-0005-0000-0000-00008A070000}"/>
    <cellStyle name="60% - Accent4 2 2" xfId="1931" xr:uid="{00000000-0005-0000-0000-00008B070000}"/>
    <cellStyle name="60% - Accent4 2 2 2" xfId="1932" xr:uid="{00000000-0005-0000-0000-00008C070000}"/>
    <cellStyle name="60% - Accent4 2 2 2 2" xfId="1933" xr:uid="{00000000-0005-0000-0000-00008D070000}"/>
    <cellStyle name="60% - Accent4 2 2 3" xfId="1934" xr:uid="{00000000-0005-0000-0000-00008E070000}"/>
    <cellStyle name="60% - Accent4 2 2 3 2" xfId="1935" xr:uid="{00000000-0005-0000-0000-00008F070000}"/>
    <cellStyle name="60% - Accent4 2 2 3 2 2" xfId="1936" xr:uid="{00000000-0005-0000-0000-000090070000}"/>
    <cellStyle name="60% - Accent4 2 2 3 3" xfId="1937" xr:uid="{00000000-0005-0000-0000-000091070000}"/>
    <cellStyle name="60% - Accent4 2 2 4" xfId="1938" xr:uid="{00000000-0005-0000-0000-000092070000}"/>
    <cellStyle name="60% - Accent4 2 3" xfId="1939" xr:uid="{00000000-0005-0000-0000-000093070000}"/>
    <cellStyle name="60% - Accent4 2 3 2" xfId="1940" xr:uid="{00000000-0005-0000-0000-000094070000}"/>
    <cellStyle name="60% - Accent4 2 3 2 2" xfId="1941" xr:uid="{00000000-0005-0000-0000-000095070000}"/>
    <cellStyle name="60% - Accent4 2 3 3" xfId="1942" xr:uid="{00000000-0005-0000-0000-000096070000}"/>
    <cellStyle name="60% - Accent4 2 3 3 2" xfId="1943" xr:uid="{00000000-0005-0000-0000-000097070000}"/>
    <cellStyle name="60% - Accent4 2 3 3 2 2" xfId="1944" xr:uid="{00000000-0005-0000-0000-000098070000}"/>
    <cellStyle name="60% - Accent4 2 3 3 3" xfId="1945" xr:uid="{00000000-0005-0000-0000-000099070000}"/>
    <cellStyle name="60% - Accent4 2 3 4" xfId="1946" xr:uid="{00000000-0005-0000-0000-00009A070000}"/>
    <cellStyle name="60% - Accent4 2 4" xfId="1947" xr:uid="{00000000-0005-0000-0000-00009B070000}"/>
    <cellStyle name="60% - Accent4 2 4 2" xfId="1948" xr:uid="{00000000-0005-0000-0000-00009C070000}"/>
    <cellStyle name="60% - Accent4 2 4 2 2" xfId="1949" xr:uid="{00000000-0005-0000-0000-00009D070000}"/>
    <cellStyle name="60% - Accent4 2 4 3" xfId="1950" xr:uid="{00000000-0005-0000-0000-00009E070000}"/>
    <cellStyle name="60% - Accent4 2 5" xfId="1951" xr:uid="{00000000-0005-0000-0000-00009F070000}"/>
    <cellStyle name="60% - Accent4 2 5 2" xfId="1952" xr:uid="{00000000-0005-0000-0000-0000A0070000}"/>
    <cellStyle name="60% - Accent4 2 5 2 2" xfId="1953" xr:uid="{00000000-0005-0000-0000-0000A1070000}"/>
    <cellStyle name="60% - Accent4 2 5 3" xfId="1954" xr:uid="{00000000-0005-0000-0000-0000A2070000}"/>
    <cellStyle name="60% - Accent4 2 5 3 2" xfId="1955" xr:uid="{00000000-0005-0000-0000-0000A3070000}"/>
    <cellStyle name="60% - Accent4 2 5 3 2 2" xfId="1956" xr:uid="{00000000-0005-0000-0000-0000A4070000}"/>
    <cellStyle name="60% - Accent4 2 5 3 3" xfId="1957" xr:uid="{00000000-0005-0000-0000-0000A5070000}"/>
    <cellStyle name="60% - Accent4 2 5 4" xfId="1958" xr:uid="{00000000-0005-0000-0000-0000A6070000}"/>
    <cellStyle name="60% - Accent4 2 6" xfId="1959" xr:uid="{00000000-0005-0000-0000-0000A7070000}"/>
    <cellStyle name="60% - Accent4 2 6 2" xfId="1960" xr:uid="{00000000-0005-0000-0000-0000A8070000}"/>
    <cellStyle name="60% - Accent4 2 7" xfId="1961" xr:uid="{00000000-0005-0000-0000-0000A9070000}"/>
    <cellStyle name="60% - Accent4 2 7 2" xfId="1962" xr:uid="{00000000-0005-0000-0000-0000AA070000}"/>
    <cellStyle name="60% - Accent4 2 8" xfId="1963" xr:uid="{00000000-0005-0000-0000-0000AB070000}"/>
    <cellStyle name="60% - Accent4 2 8 2" xfId="1964" xr:uid="{00000000-0005-0000-0000-0000AC070000}"/>
    <cellStyle name="60% - Accent4 2 8 2 2" xfId="1965" xr:uid="{00000000-0005-0000-0000-0000AD070000}"/>
    <cellStyle name="60% - Accent4 2 8 3" xfId="1966" xr:uid="{00000000-0005-0000-0000-0000AE070000}"/>
    <cellStyle name="60% - Accent4 2 9" xfId="1967" xr:uid="{00000000-0005-0000-0000-0000AF070000}"/>
    <cellStyle name="60% - Accent4 2 9 2" xfId="1968" xr:uid="{00000000-0005-0000-0000-0000B0070000}"/>
    <cellStyle name="60% - Accent4 2 9 2 2" xfId="1969" xr:uid="{00000000-0005-0000-0000-0000B1070000}"/>
    <cellStyle name="60% - Accent4 2 9 3" xfId="1970" xr:uid="{00000000-0005-0000-0000-0000B2070000}"/>
    <cellStyle name="60% - Accent4 3" xfId="1971" xr:uid="{00000000-0005-0000-0000-0000B3070000}"/>
    <cellStyle name="60% - Accent4 3 2" xfId="1972" xr:uid="{00000000-0005-0000-0000-0000B4070000}"/>
    <cellStyle name="60% - Accent4 3 2 2" xfId="1973" xr:uid="{00000000-0005-0000-0000-0000B5070000}"/>
    <cellStyle name="60% - Accent4 3 3" xfId="1974" xr:uid="{00000000-0005-0000-0000-0000B6070000}"/>
    <cellStyle name="60% - Accent4 3 3 2" xfId="1975" xr:uid="{00000000-0005-0000-0000-0000B7070000}"/>
    <cellStyle name="60% - Accent4 3 4" xfId="1976" xr:uid="{00000000-0005-0000-0000-0000B8070000}"/>
    <cellStyle name="60% - Accent4 3 4 2" xfId="1977" xr:uid="{00000000-0005-0000-0000-0000B9070000}"/>
    <cellStyle name="60% - Accent4 3 4 2 2" xfId="1978" xr:uid="{00000000-0005-0000-0000-0000BA070000}"/>
    <cellStyle name="60% - Accent4 3 4 3" xfId="1979" xr:uid="{00000000-0005-0000-0000-0000BB070000}"/>
    <cellStyle name="60% - Accent4 3 5" xfId="1980" xr:uid="{00000000-0005-0000-0000-0000BC070000}"/>
    <cellStyle name="60% - Accent4 4" xfId="1981" xr:uid="{00000000-0005-0000-0000-0000BD070000}"/>
    <cellStyle name="60% - Accent4 4 2" xfId="1982" xr:uid="{00000000-0005-0000-0000-0000BE070000}"/>
    <cellStyle name="60% - Accent4 4 2 2" xfId="1983" xr:uid="{00000000-0005-0000-0000-0000BF070000}"/>
    <cellStyle name="60% - Accent4 4 3" xfId="1984" xr:uid="{00000000-0005-0000-0000-0000C0070000}"/>
    <cellStyle name="60% - Accent4 4 3 2" xfId="1985" xr:uid="{00000000-0005-0000-0000-0000C1070000}"/>
    <cellStyle name="60% - Accent4 4 3 2 2" xfId="1986" xr:uid="{00000000-0005-0000-0000-0000C2070000}"/>
    <cellStyle name="60% - Accent4 4 3 3" xfId="1987" xr:uid="{00000000-0005-0000-0000-0000C3070000}"/>
    <cellStyle name="60% - Accent4 4 4" xfId="1988" xr:uid="{00000000-0005-0000-0000-0000C4070000}"/>
    <cellStyle name="60% - Accent4 5" xfId="1989" xr:uid="{00000000-0005-0000-0000-0000C5070000}"/>
    <cellStyle name="60% - Accent4 5 2" xfId="1990" xr:uid="{00000000-0005-0000-0000-0000C6070000}"/>
    <cellStyle name="60% - Accent4 5 2 2" xfId="1991" xr:uid="{00000000-0005-0000-0000-0000C7070000}"/>
    <cellStyle name="60% - Accent4 5 3" xfId="1992" xr:uid="{00000000-0005-0000-0000-0000C8070000}"/>
    <cellStyle name="60% - Accent4 5 3 2" xfId="1993" xr:uid="{00000000-0005-0000-0000-0000C9070000}"/>
    <cellStyle name="60% - Accent4 5 3 2 2" xfId="1994" xr:uid="{00000000-0005-0000-0000-0000CA070000}"/>
    <cellStyle name="60% - Accent4 5 3 3" xfId="1995" xr:uid="{00000000-0005-0000-0000-0000CB070000}"/>
    <cellStyle name="60% - Accent4 5 4" xfId="1996" xr:uid="{00000000-0005-0000-0000-0000CC070000}"/>
    <cellStyle name="60% - Accent4 6" xfId="1997" xr:uid="{00000000-0005-0000-0000-0000CD070000}"/>
    <cellStyle name="60% - Accent4 6 2" xfId="1998" xr:uid="{00000000-0005-0000-0000-0000CE070000}"/>
    <cellStyle name="60% - Accent4 6 2 2" xfId="1999" xr:uid="{00000000-0005-0000-0000-0000CF070000}"/>
    <cellStyle name="60% - Accent4 6 3" xfId="2000" xr:uid="{00000000-0005-0000-0000-0000D0070000}"/>
    <cellStyle name="60% - Accent4 7" xfId="2001" xr:uid="{00000000-0005-0000-0000-0000D1070000}"/>
    <cellStyle name="60% - Accent4 8" xfId="2002" xr:uid="{00000000-0005-0000-0000-0000D2070000}"/>
    <cellStyle name="60% - Accent5 2" xfId="2003" xr:uid="{00000000-0005-0000-0000-0000D3070000}"/>
    <cellStyle name="60% - Accent5 2 10" xfId="2004" xr:uid="{00000000-0005-0000-0000-0000D4070000}"/>
    <cellStyle name="60% - Accent5 2 2" xfId="2005" xr:uid="{00000000-0005-0000-0000-0000D5070000}"/>
    <cellStyle name="60% - Accent5 2 2 2" xfId="2006" xr:uid="{00000000-0005-0000-0000-0000D6070000}"/>
    <cellStyle name="60% - Accent5 2 2 2 2" xfId="2007" xr:uid="{00000000-0005-0000-0000-0000D7070000}"/>
    <cellStyle name="60% - Accent5 2 2 3" xfId="2008" xr:uid="{00000000-0005-0000-0000-0000D8070000}"/>
    <cellStyle name="60% - Accent5 2 2 3 2" xfId="2009" xr:uid="{00000000-0005-0000-0000-0000D9070000}"/>
    <cellStyle name="60% - Accent5 2 2 3 2 2" xfId="2010" xr:uid="{00000000-0005-0000-0000-0000DA070000}"/>
    <cellStyle name="60% - Accent5 2 2 3 3" xfId="2011" xr:uid="{00000000-0005-0000-0000-0000DB070000}"/>
    <cellStyle name="60% - Accent5 2 2 4" xfId="2012" xr:uid="{00000000-0005-0000-0000-0000DC070000}"/>
    <cellStyle name="60% - Accent5 2 3" xfId="2013" xr:uid="{00000000-0005-0000-0000-0000DD070000}"/>
    <cellStyle name="60% - Accent5 2 3 2" xfId="2014" xr:uid="{00000000-0005-0000-0000-0000DE070000}"/>
    <cellStyle name="60% - Accent5 2 3 2 2" xfId="2015" xr:uid="{00000000-0005-0000-0000-0000DF070000}"/>
    <cellStyle name="60% - Accent5 2 3 3" xfId="2016" xr:uid="{00000000-0005-0000-0000-0000E0070000}"/>
    <cellStyle name="60% - Accent5 2 3 3 2" xfId="2017" xr:uid="{00000000-0005-0000-0000-0000E1070000}"/>
    <cellStyle name="60% - Accent5 2 3 3 2 2" xfId="2018" xr:uid="{00000000-0005-0000-0000-0000E2070000}"/>
    <cellStyle name="60% - Accent5 2 3 3 3" xfId="2019" xr:uid="{00000000-0005-0000-0000-0000E3070000}"/>
    <cellStyle name="60% - Accent5 2 3 4" xfId="2020" xr:uid="{00000000-0005-0000-0000-0000E4070000}"/>
    <cellStyle name="60% - Accent5 2 4" xfId="2021" xr:uid="{00000000-0005-0000-0000-0000E5070000}"/>
    <cellStyle name="60% - Accent5 2 4 2" xfId="2022" xr:uid="{00000000-0005-0000-0000-0000E6070000}"/>
    <cellStyle name="60% - Accent5 2 4 2 2" xfId="2023" xr:uid="{00000000-0005-0000-0000-0000E7070000}"/>
    <cellStyle name="60% - Accent5 2 4 3" xfId="2024" xr:uid="{00000000-0005-0000-0000-0000E8070000}"/>
    <cellStyle name="60% - Accent5 2 5" xfId="2025" xr:uid="{00000000-0005-0000-0000-0000E9070000}"/>
    <cellStyle name="60% - Accent5 2 5 2" xfId="2026" xr:uid="{00000000-0005-0000-0000-0000EA070000}"/>
    <cellStyle name="60% - Accent5 2 5 2 2" xfId="2027" xr:uid="{00000000-0005-0000-0000-0000EB070000}"/>
    <cellStyle name="60% - Accent5 2 5 3" xfId="2028" xr:uid="{00000000-0005-0000-0000-0000EC070000}"/>
    <cellStyle name="60% - Accent5 2 5 3 2" xfId="2029" xr:uid="{00000000-0005-0000-0000-0000ED070000}"/>
    <cellStyle name="60% - Accent5 2 5 3 2 2" xfId="2030" xr:uid="{00000000-0005-0000-0000-0000EE070000}"/>
    <cellStyle name="60% - Accent5 2 5 3 3" xfId="2031" xr:uid="{00000000-0005-0000-0000-0000EF070000}"/>
    <cellStyle name="60% - Accent5 2 5 4" xfId="2032" xr:uid="{00000000-0005-0000-0000-0000F0070000}"/>
    <cellStyle name="60% - Accent5 2 6" xfId="2033" xr:uid="{00000000-0005-0000-0000-0000F1070000}"/>
    <cellStyle name="60% - Accent5 2 6 2" xfId="2034" xr:uid="{00000000-0005-0000-0000-0000F2070000}"/>
    <cellStyle name="60% - Accent5 2 7" xfId="2035" xr:uid="{00000000-0005-0000-0000-0000F3070000}"/>
    <cellStyle name="60% - Accent5 2 7 2" xfId="2036" xr:uid="{00000000-0005-0000-0000-0000F4070000}"/>
    <cellStyle name="60% - Accent5 2 8" xfId="2037" xr:uid="{00000000-0005-0000-0000-0000F5070000}"/>
    <cellStyle name="60% - Accent5 2 8 2" xfId="2038" xr:uid="{00000000-0005-0000-0000-0000F6070000}"/>
    <cellStyle name="60% - Accent5 2 8 2 2" xfId="2039" xr:uid="{00000000-0005-0000-0000-0000F7070000}"/>
    <cellStyle name="60% - Accent5 2 8 3" xfId="2040" xr:uid="{00000000-0005-0000-0000-0000F8070000}"/>
    <cellStyle name="60% - Accent5 2 9" xfId="2041" xr:uid="{00000000-0005-0000-0000-0000F9070000}"/>
    <cellStyle name="60% - Accent5 2 9 2" xfId="2042" xr:uid="{00000000-0005-0000-0000-0000FA070000}"/>
    <cellStyle name="60% - Accent5 2 9 2 2" xfId="2043" xr:uid="{00000000-0005-0000-0000-0000FB070000}"/>
    <cellStyle name="60% - Accent5 2 9 3" xfId="2044" xr:uid="{00000000-0005-0000-0000-0000FC070000}"/>
    <cellStyle name="60% - Accent5 3" xfId="2045" xr:uid="{00000000-0005-0000-0000-0000FD070000}"/>
    <cellStyle name="60% - Accent5 3 2" xfId="2046" xr:uid="{00000000-0005-0000-0000-0000FE070000}"/>
    <cellStyle name="60% - Accent5 3 2 2" xfId="2047" xr:uid="{00000000-0005-0000-0000-0000FF070000}"/>
    <cellStyle name="60% - Accent5 3 3" xfId="2048" xr:uid="{00000000-0005-0000-0000-000000080000}"/>
    <cellStyle name="60% - Accent5 3 3 2" xfId="2049" xr:uid="{00000000-0005-0000-0000-000001080000}"/>
    <cellStyle name="60% - Accent5 3 4" xfId="2050" xr:uid="{00000000-0005-0000-0000-000002080000}"/>
    <cellStyle name="60% - Accent5 3 4 2" xfId="2051" xr:uid="{00000000-0005-0000-0000-000003080000}"/>
    <cellStyle name="60% - Accent5 3 4 2 2" xfId="2052" xr:uid="{00000000-0005-0000-0000-000004080000}"/>
    <cellStyle name="60% - Accent5 3 4 3" xfId="2053" xr:uid="{00000000-0005-0000-0000-000005080000}"/>
    <cellStyle name="60% - Accent5 3 5" xfId="2054" xr:uid="{00000000-0005-0000-0000-000006080000}"/>
    <cellStyle name="60% - Accent5 4" xfId="2055" xr:uid="{00000000-0005-0000-0000-000007080000}"/>
    <cellStyle name="60% - Accent5 4 2" xfId="2056" xr:uid="{00000000-0005-0000-0000-000008080000}"/>
    <cellStyle name="60% - Accent5 4 2 2" xfId="2057" xr:uid="{00000000-0005-0000-0000-000009080000}"/>
    <cellStyle name="60% - Accent5 4 3" xfId="2058" xr:uid="{00000000-0005-0000-0000-00000A080000}"/>
    <cellStyle name="60% - Accent5 4 3 2" xfId="2059" xr:uid="{00000000-0005-0000-0000-00000B080000}"/>
    <cellStyle name="60% - Accent5 4 3 2 2" xfId="2060" xr:uid="{00000000-0005-0000-0000-00000C080000}"/>
    <cellStyle name="60% - Accent5 4 3 3" xfId="2061" xr:uid="{00000000-0005-0000-0000-00000D080000}"/>
    <cellStyle name="60% - Accent5 4 4" xfId="2062" xr:uid="{00000000-0005-0000-0000-00000E080000}"/>
    <cellStyle name="60% - Accent5 5" xfId="2063" xr:uid="{00000000-0005-0000-0000-00000F080000}"/>
    <cellStyle name="60% - Accent5 5 2" xfId="2064" xr:uid="{00000000-0005-0000-0000-000010080000}"/>
    <cellStyle name="60% - Accent5 5 2 2" xfId="2065" xr:uid="{00000000-0005-0000-0000-000011080000}"/>
    <cellStyle name="60% - Accent5 5 3" xfId="2066" xr:uid="{00000000-0005-0000-0000-000012080000}"/>
    <cellStyle name="60% - Accent5 5 3 2" xfId="2067" xr:uid="{00000000-0005-0000-0000-000013080000}"/>
    <cellStyle name="60% - Accent5 5 3 2 2" xfId="2068" xr:uid="{00000000-0005-0000-0000-000014080000}"/>
    <cellStyle name="60% - Accent5 5 3 3" xfId="2069" xr:uid="{00000000-0005-0000-0000-000015080000}"/>
    <cellStyle name="60% - Accent5 5 4" xfId="2070" xr:uid="{00000000-0005-0000-0000-000016080000}"/>
    <cellStyle name="60% - Accent5 6" xfId="2071" xr:uid="{00000000-0005-0000-0000-000017080000}"/>
    <cellStyle name="60% - Accent5 6 2" xfId="2072" xr:uid="{00000000-0005-0000-0000-000018080000}"/>
    <cellStyle name="60% - Accent5 6 2 2" xfId="2073" xr:uid="{00000000-0005-0000-0000-000019080000}"/>
    <cellStyle name="60% - Accent5 6 3" xfId="2074" xr:uid="{00000000-0005-0000-0000-00001A080000}"/>
    <cellStyle name="60% - Accent5 7" xfId="2075" xr:uid="{00000000-0005-0000-0000-00001B080000}"/>
    <cellStyle name="60% - Accent5 8" xfId="2076" xr:uid="{00000000-0005-0000-0000-00001C080000}"/>
    <cellStyle name="60% - Accent6 2" xfId="2077" xr:uid="{00000000-0005-0000-0000-00001D080000}"/>
    <cellStyle name="60% - Accent6 2 10" xfId="2078" xr:uid="{00000000-0005-0000-0000-00001E080000}"/>
    <cellStyle name="60% - Accent6 2 2" xfId="2079" xr:uid="{00000000-0005-0000-0000-00001F080000}"/>
    <cellStyle name="60% - Accent6 2 2 2" xfId="2080" xr:uid="{00000000-0005-0000-0000-000020080000}"/>
    <cellStyle name="60% - Accent6 2 2 2 2" xfId="2081" xr:uid="{00000000-0005-0000-0000-000021080000}"/>
    <cellStyle name="60% - Accent6 2 2 3" xfId="2082" xr:uid="{00000000-0005-0000-0000-000022080000}"/>
    <cellStyle name="60% - Accent6 2 2 3 2" xfId="2083" xr:uid="{00000000-0005-0000-0000-000023080000}"/>
    <cellStyle name="60% - Accent6 2 2 3 2 2" xfId="2084" xr:uid="{00000000-0005-0000-0000-000024080000}"/>
    <cellStyle name="60% - Accent6 2 2 3 3" xfId="2085" xr:uid="{00000000-0005-0000-0000-000025080000}"/>
    <cellStyle name="60% - Accent6 2 2 4" xfId="2086" xr:uid="{00000000-0005-0000-0000-000026080000}"/>
    <cellStyle name="60% - Accent6 2 3" xfId="2087" xr:uid="{00000000-0005-0000-0000-000027080000}"/>
    <cellStyle name="60% - Accent6 2 3 2" xfId="2088" xr:uid="{00000000-0005-0000-0000-000028080000}"/>
    <cellStyle name="60% - Accent6 2 3 2 2" xfId="2089" xr:uid="{00000000-0005-0000-0000-000029080000}"/>
    <cellStyle name="60% - Accent6 2 3 3" xfId="2090" xr:uid="{00000000-0005-0000-0000-00002A080000}"/>
    <cellStyle name="60% - Accent6 2 3 3 2" xfId="2091" xr:uid="{00000000-0005-0000-0000-00002B080000}"/>
    <cellStyle name="60% - Accent6 2 3 3 2 2" xfId="2092" xr:uid="{00000000-0005-0000-0000-00002C080000}"/>
    <cellStyle name="60% - Accent6 2 3 3 3" xfId="2093" xr:uid="{00000000-0005-0000-0000-00002D080000}"/>
    <cellStyle name="60% - Accent6 2 3 4" xfId="2094" xr:uid="{00000000-0005-0000-0000-00002E080000}"/>
    <cellStyle name="60% - Accent6 2 4" xfId="2095" xr:uid="{00000000-0005-0000-0000-00002F080000}"/>
    <cellStyle name="60% - Accent6 2 4 2" xfId="2096" xr:uid="{00000000-0005-0000-0000-000030080000}"/>
    <cellStyle name="60% - Accent6 2 4 2 2" xfId="2097" xr:uid="{00000000-0005-0000-0000-000031080000}"/>
    <cellStyle name="60% - Accent6 2 4 3" xfId="2098" xr:uid="{00000000-0005-0000-0000-000032080000}"/>
    <cellStyle name="60% - Accent6 2 5" xfId="2099" xr:uid="{00000000-0005-0000-0000-000033080000}"/>
    <cellStyle name="60% - Accent6 2 5 2" xfId="2100" xr:uid="{00000000-0005-0000-0000-000034080000}"/>
    <cellStyle name="60% - Accent6 2 5 2 2" xfId="2101" xr:uid="{00000000-0005-0000-0000-000035080000}"/>
    <cellStyle name="60% - Accent6 2 5 3" xfId="2102" xr:uid="{00000000-0005-0000-0000-000036080000}"/>
    <cellStyle name="60% - Accent6 2 5 3 2" xfId="2103" xr:uid="{00000000-0005-0000-0000-000037080000}"/>
    <cellStyle name="60% - Accent6 2 5 3 2 2" xfId="2104" xr:uid="{00000000-0005-0000-0000-000038080000}"/>
    <cellStyle name="60% - Accent6 2 5 3 3" xfId="2105" xr:uid="{00000000-0005-0000-0000-000039080000}"/>
    <cellStyle name="60% - Accent6 2 5 4" xfId="2106" xr:uid="{00000000-0005-0000-0000-00003A080000}"/>
    <cellStyle name="60% - Accent6 2 6" xfId="2107" xr:uid="{00000000-0005-0000-0000-00003B080000}"/>
    <cellStyle name="60% - Accent6 2 6 2" xfId="2108" xr:uid="{00000000-0005-0000-0000-00003C080000}"/>
    <cellStyle name="60% - Accent6 2 7" xfId="2109" xr:uid="{00000000-0005-0000-0000-00003D080000}"/>
    <cellStyle name="60% - Accent6 2 7 2" xfId="2110" xr:uid="{00000000-0005-0000-0000-00003E080000}"/>
    <cellStyle name="60% - Accent6 2 8" xfId="2111" xr:uid="{00000000-0005-0000-0000-00003F080000}"/>
    <cellStyle name="60% - Accent6 2 8 2" xfId="2112" xr:uid="{00000000-0005-0000-0000-000040080000}"/>
    <cellStyle name="60% - Accent6 2 8 2 2" xfId="2113" xr:uid="{00000000-0005-0000-0000-000041080000}"/>
    <cellStyle name="60% - Accent6 2 8 3" xfId="2114" xr:uid="{00000000-0005-0000-0000-000042080000}"/>
    <cellStyle name="60% - Accent6 2 9" xfId="2115" xr:uid="{00000000-0005-0000-0000-000043080000}"/>
    <cellStyle name="60% - Accent6 2 9 2" xfId="2116" xr:uid="{00000000-0005-0000-0000-000044080000}"/>
    <cellStyle name="60% - Accent6 2 9 2 2" xfId="2117" xr:uid="{00000000-0005-0000-0000-000045080000}"/>
    <cellStyle name="60% - Accent6 2 9 3" xfId="2118" xr:uid="{00000000-0005-0000-0000-000046080000}"/>
    <cellStyle name="60% - Accent6 3" xfId="2119" xr:uid="{00000000-0005-0000-0000-000047080000}"/>
    <cellStyle name="60% - Accent6 3 2" xfId="2120" xr:uid="{00000000-0005-0000-0000-000048080000}"/>
    <cellStyle name="60% - Accent6 3 2 2" xfId="2121" xr:uid="{00000000-0005-0000-0000-000049080000}"/>
    <cellStyle name="60% - Accent6 3 3" xfId="2122" xr:uid="{00000000-0005-0000-0000-00004A080000}"/>
    <cellStyle name="60% - Accent6 3 3 2" xfId="2123" xr:uid="{00000000-0005-0000-0000-00004B080000}"/>
    <cellStyle name="60% - Accent6 3 4" xfId="2124" xr:uid="{00000000-0005-0000-0000-00004C080000}"/>
    <cellStyle name="60% - Accent6 3 4 2" xfId="2125" xr:uid="{00000000-0005-0000-0000-00004D080000}"/>
    <cellStyle name="60% - Accent6 3 4 2 2" xfId="2126" xr:uid="{00000000-0005-0000-0000-00004E080000}"/>
    <cellStyle name="60% - Accent6 3 4 3" xfId="2127" xr:uid="{00000000-0005-0000-0000-00004F080000}"/>
    <cellStyle name="60% - Accent6 3 5" xfId="2128" xr:uid="{00000000-0005-0000-0000-000050080000}"/>
    <cellStyle name="60% - Accent6 4" xfId="2129" xr:uid="{00000000-0005-0000-0000-000051080000}"/>
    <cellStyle name="60% - Accent6 4 2" xfId="2130" xr:uid="{00000000-0005-0000-0000-000052080000}"/>
    <cellStyle name="60% - Accent6 4 2 2" xfId="2131" xr:uid="{00000000-0005-0000-0000-000053080000}"/>
    <cellStyle name="60% - Accent6 4 3" xfId="2132" xr:uid="{00000000-0005-0000-0000-000054080000}"/>
    <cellStyle name="60% - Accent6 4 3 2" xfId="2133" xr:uid="{00000000-0005-0000-0000-000055080000}"/>
    <cellStyle name="60% - Accent6 4 3 2 2" xfId="2134" xr:uid="{00000000-0005-0000-0000-000056080000}"/>
    <cellStyle name="60% - Accent6 4 3 3" xfId="2135" xr:uid="{00000000-0005-0000-0000-000057080000}"/>
    <cellStyle name="60% - Accent6 4 4" xfId="2136" xr:uid="{00000000-0005-0000-0000-000058080000}"/>
    <cellStyle name="60% - Accent6 5" xfId="2137" xr:uid="{00000000-0005-0000-0000-000059080000}"/>
    <cellStyle name="60% - Accent6 5 2" xfId="2138" xr:uid="{00000000-0005-0000-0000-00005A080000}"/>
    <cellStyle name="60% - Accent6 5 2 2" xfId="2139" xr:uid="{00000000-0005-0000-0000-00005B080000}"/>
    <cellStyle name="60% - Accent6 5 3" xfId="2140" xr:uid="{00000000-0005-0000-0000-00005C080000}"/>
    <cellStyle name="60% - Accent6 5 3 2" xfId="2141" xr:uid="{00000000-0005-0000-0000-00005D080000}"/>
    <cellStyle name="60% - Accent6 5 3 2 2" xfId="2142" xr:uid="{00000000-0005-0000-0000-00005E080000}"/>
    <cellStyle name="60% - Accent6 5 3 3" xfId="2143" xr:uid="{00000000-0005-0000-0000-00005F080000}"/>
    <cellStyle name="60% - Accent6 5 4" xfId="2144" xr:uid="{00000000-0005-0000-0000-000060080000}"/>
    <cellStyle name="60% - Accent6 6" xfId="2145" xr:uid="{00000000-0005-0000-0000-000061080000}"/>
    <cellStyle name="60% - Accent6 6 2" xfId="2146" xr:uid="{00000000-0005-0000-0000-000062080000}"/>
    <cellStyle name="60% - Accent6 6 2 2" xfId="2147" xr:uid="{00000000-0005-0000-0000-000063080000}"/>
    <cellStyle name="60% - Accent6 6 3" xfId="2148" xr:uid="{00000000-0005-0000-0000-000064080000}"/>
    <cellStyle name="60% - Accent6 7" xfId="2149" xr:uid="{00000000-0005-0000-0000-000065080000}"/>
    <cellStyle name="60% - Accent6 8" xfId="2150" xr:uid="{00000000-0005-0000-0000-000066080000}"/>
    <cellStyle name="Accent1 - 20%" xfId="2151" xr:uid="{00000000-0005-0000-0000-000067080000}"/>
    <cellStyle name="Accent1 - 20% 10" xfId="2152" xr:uid="{00000000-0005-0000-0000-000068080000}"/>
    <cellStyle name="Accent1 - 20% 11" xfId="2153" xr:uid="{00000000-0005-0000-0000-000069080000}"/>
    <cellStyle name="Accent1 - 20% 2" xfId="2154" xr:uid="{00000000-0005-0000-0000-00006A080000}"/>
    <cellStyle name="Accent1 - 20% 2 2" xfId="2155" xr:uid="{00000000-0005-0000-0000-00006B080000}"/>
    <cellStyle name="Accent1 - 20% 2 2 2" xfId="2156" xr:uid="{00000000-0005-0000-0000-00006C080000}"/>
    <cellStyle name="Accent1 - 20% 2 2 2 2" xfId="2157" xr:uid="{00000000-0005-0000-0000-00006D080000}"/>
    <cellStyle name="Accent1 - 20% 2 2 3" xfId="2158" xr:uid="{00000000-0005-0000-0000-00006E080000}"/>
    <cellStyle name="Accent1 - 20% 2 3" xfId="2159" xr:uid="{00000000-0005-0000-0000-00006F080000}"/>
    <cellStyle name="Accent1 - 20% 2 3 2" xfId="2160" xr:uid="{00000000-0005-0000-0000-000070080000}"/>
    <cellStyle name="Accent1 - 20% 2 3 2 2" xfId="2161" xr:uid="{00000000-0005-0000-0000-000071080000}"/>
    <cellStyle name="Accent1 - 20% 2 3 2 2 2" xfId="2162" xr:uid="{00000000-0005-0000-0000-000072080000}"/>
    <cellStyle name="Accent1 - 20% 2 3 2 3" xfId="2163" xr:uid="{00000000-0005-0000-0000-000073080000}"/>
    <cellStyle name="Accent1 - 20% 2 3 3" xfId="2164" xr:uid="{00000000-0005-0000-0000-000074080000}"/>
    <cellStyle name="Accent1 - 20% 2 3 3 2" xfId="2165" xr:uid="{00000000-0005-0000-0000-000075080000}"/>
    <cellStyle name="Accent1 - 20% 2 3 4" xfId="2166" xr:uid="{00000000-0005-0000-0000-000076080000}"/>
    <cellStyle name="Accent1 - 20% 2 4" xfId="2167" xr:uid="{00000000-0005-0000-0000-000077080000}"/>
    <cellStyle name="Accent1 - 20% 2 4 2" xfId="2168" xr:uid="{00000000-0005-0000-0000-000078080000}"/>
    <cellStyle name="Accent1 - 20% 2 4 2 2" xfId="2169" xr:uid="{00000000-0005-0000-0000-000079080000}"/>
    <cellStyle name="Accent1 - 20% 2 4 2 2 2" xfId="2170" xr:uid="{00000000-0005-0000-0000-00007A080000}"/>
    <cellStyle name="Accent1 - 20% 2 4 2 3" xfId="2171" xr:uid="{00000000-0005-0000-0000-00007B080000}"/>
    <cellStyle name="Accent1 - 20% 2 4 3" xfId="2172" xr:uid="{00000000-0005-0000-0000-00007C080000}"/>
    <cellStyle name="Accent1 - 20% 2 4 3 2" xfId="2173" xr:uid="{00000000-0005-0000-0000-00007D080000}"/>
    <cellStyle name="Accent1 - 20% 2 4 4" xfId="2174" xr:uid="{00000000-0005-0000-0000-00007E080000}"/>
    <cellStyle name="Accent1 - 20% 2 5" xfId="2175" xr:uid="{00000000-0005-0000-0000-00007F080000}"/>
    <cellStyle name="Accent1 - 20% 2 5 2" xfId="2176" xr:uid="{00000000-0005-0000-0000-000080080000}"/>
    <cellStyle name="Accent1 - 20% 2 6" xfId="2177" xr:uid="{00000000-0005-0000-0000-000081080000}"/>
    <cellStyle name="Accent1 - 20% 2 6 2" xfId="2178" xr:uid="{00000000-0005-0000-0000-000082080000}"/>
    <cellStyle name="Accent1 - 20% 2 7" xfId="2179" xr:uid="{00000000-0005-0000-0000-000083080000}"/>
    <cellStyle name="Accent1 - 20% 3" xfId="2180" xr:uid="{00000000-0005-0000-0000-000084080000}"/>
    <cellStyle name="Accent1 - 20% 3 2" xfId="2181" xr:uid="{00000000-0005-0000-0000-000085080000}"/>
    <cellStyle name="Accent1 - 20% 3 2 2" xfId="2182" xr:uid="{00000000-0005-0000-0000-000086080000}"/>
    <cellStyle name="Accent1 - 20% 3 2 2 2" xfId="2183" xr:uid="{00000000-0005-0000-0000-000087080000}"/>
    <cellStyle name="Accent1 - 20% 3 2 3" xfId="2184" xr:uid="{00000000-0005-0000-0000-000088080000}"/>
    <cellStyle name="Accent1 - 20% 3 3" xfId="2185" xr:uid="{00000000-0005-0000-0000-000089080000}"/>
    <cellStyle name="Accent1 - 20% 3 3 2" xfId="2186" xr:uid="{00000000-0005-0000-0000-00008A080000}"/>
    <cellStyle name="Accent1 - 20% 3 4" xfId="2187" xr:uid="{00000000-0005-0000-0000-00008B080000}"/>
    <cellStyle name="Accent1 - 20% 4" xfId="2188" xr:uid="{00000000-0005-0000-0000-00008C080000}"/>
    <cellStyle name="Accent1 - 20% 4 2" xfId="2189" xr:uid="{00000000-0005-0000-0000-00008D080000}"/>
    <cellStyle name="Accent1 - 20% 4 2 2" xfId="2190" xr:uid="{00000000-0005-0000-0000-00008E080000}"/>
    <cellStyle name="Accent1 - 20% 4 3" xfId="2191" xr:uid="{00000000-0005-0000-0000-00008F080000}"/>
    <cellStyle name="Accent1 - 20% 5" xfId="2192" xr:uid="{00000000-0005-0000-0000-000090080000}"/>
    <cellStyle name="Accent1 - 20% 5 2" xfId="2193" xr:uid="{00000000-0005-0000-0000-000091080000}"/>
    <cellStyle name="Accent1 - 20% 5 2 2" xfId="2194" xr:uid="{00000000-0005-0000-0000-000092080000}"/>
    <cellStyle name="Accent1 - 20% 5 3" xfId="2195" xr:uid="{00000000-0005-0000-0000-000093080000}"/>
    <cellStyle name="Accent1 - 20% 6" xfId="2196" xr:uid="{00000000-0005-0000-0000-000094080000}"/>
    <cellStyle name="Accent1 - 20% 6 2" xfId="2197" xr:uid="{00000000-0005-0000-0000-000095080000}"/>
    <cellStyle name="Accent1 - 20% 7" xfId="2198" xr:uid="{00000000-0005-0000-0000-000096080000}"/>
    <cellStyle name="Accent1 - 20% 7 2" xfId="2199" xr:uid="{00000000-0005-0000-0000-000097080000}"/>
    <cellStyle name="Accent1 - 20% 8" xfId="2200" xr:uid="{00000000-0005-0000-0000-000098080000}"/>
    <cellStyle name="Accent1 - 20% 8 2" xfId="2201" xr:uid="{00000000-0005-0000-0000-000099080000}"/>
    <cellStyle name="Accent1 - 20% 9" xfId="2202" xr:uid="{00000000-0005-0000-0000-00009A080000}"/>
    <cellStyle name="Accent1 - 20% 9 2" xfId="2203" xr:uid="{00000000-0005-0000-0000-00009B080000}"/>
    <cellStyle name="Accent1 - 40%" xfId="2204" xr:uid="{00000000-0005-0000-0000-00009C080000}"/>
    <cellStyle name="Accent1 - 40% 10" xfId="2205" xr:uid="{00000000-0005-0000-0000-00009D080000}"/>
    <cellStyle name="Accent1 - 40% 11" xfId="2206" xr:uid="{00000000-0005-0000-0000-00009E080000}"/>
    <cellStyle name="Accent1 - 40% 2" xfId="2207" xr:uid="{00000000-0005-0000-0000-00009F080000}"/>
    <cellStyle name="Accent1 - 40% 2 2" xfId="2208" xr:uid="{00000000-0005-0000-0000-0000A0080000}"/>
    <cellStyle name="Accent1 - 40% 2 2 2" xfId="2209" xr:uid="{00000000-0005-0000-0000-0000A1080000}"/>
    <cellStyle name="Accent1 - 40% 2 2 2 2" xfId="2210" xr:uid="{00000000-0005-0000-0000-0000A2080000}"/>
    <cellStyle name="Accent1 - 40% 2 2 3" xfId="2211" xr:uid="{00000000-0005-0000-0000-0000A3080000}"/>
    <cellStyle name="Accent1 - 40% 2 3" xfId="2212" xr:uid="{00000000-0005-0000-0000-0000A4080000}"/>
    <cellStyle name="Accent1 - 40% 2 3 2" xfId="2213" xr:uid="{00000000-0005-0000-0000-0000A5080000}"/>
    <cellStyle name="Accent1 - 40% 2 3 2 2" xfId="2214" xr:uid="{00000000-0005-0000-0000-0000A6080000}"/>
    <cellStyle name="Accent1 - 40% 2 3 2 2 2" xfId="2215" xr:uid="{00000000-0005-0000-0000-0000A7080000}"/>
    <cellStyle name="Accent1 - 40% 2 3 2 3" xfId="2216" xr:uid="{00000000-0005-0000-0000-0000A8080000}"/>
    <cellStyle name="Accent1 - 40% 2 3 3" xfId="2217" xr:uid="{00000000-0005-0000-0000-0000A9080000}"/>
    <cellStyle name="Accent1 - 40% 2 3 3 2" xfId="2218" xr:uid="{00000000-0005-0000-0000-0000AA080000}"/>
    <cellStyle name="Accent1 - 40% 2 3 4" xfId="2219" xr:uid="{00000000-0005-0000-0000-0000AB080000}"/>
    <cellStyle name="Accent1 - 40% 2 4" xfId="2220" xr:uid="{00000000-0005-0000-0000-0000AC080000}"/>
    <cellStyle name="Accent1 - 40% 2 4 2" xfId="2221" xr:uid="{00000000-0005-0000-0000-0000AD080000}"/>
    <cellStyle name="Accent1 - 40% 2 4 2 2" xfId="2222" xr:uid="{00000000-0005-0000-0000-0000AE080000}"/>
    <cellStyle name="Accent1 - 40% 2 4 2 2 2" xfId="2223" xr:uid="{00000000-0005-0000-0000-0000AF080000}"/>
    <cellStyle name="Accent1 - 40% 2 4 2 3" xfId="2224" xr:uid="{00000000-0005-0000-0000-0000B0080000}"/>
    <cellStyle name="Accent1 - 40% 2 4 3" xfId="2225" xr:uid="{00000000-0005-0000-0000-0000B1080000}"/>
    <cellStyle name="Accent1 - 40% 2 4 3 2" xfId="2226" xr:uid="{00000000-0005-0000-0000-0000B2080000}"/>
    <cellStyle name="Accent1 - 40% 2 4 4" xfId="2227" xr:uid="{00000000-0005-0000-0000-0000B3080000}"/>
    <cellStyle name="Accent1 - 40% 2 5" xfId="2228" xr:uid="{00000000-0005-0000-0000-0000B4080000}"/>
    <cellStyle name="Accent1 - 40% 2 5 2" xfId="2229" xr:uid="{00000000-0005-0000-0000-0000B5080000}"/>
    <cellStyle name="Accent1 - 40% 2 6" xfId="2230" xr:uid="{00000000-0005-0000-0000-0000B6080000}"/>
    <cellStyle name="Accent1 - 40% 2 6 2" xfId="2231" xr:uid="{00000000-0005-0000-0000-0000B7080000}"/>
    <cellStyle name="Accent1 - 40% 2 7" xfId="2232" xr:uid="{00000000-0005-0000-0000-0000B8080000}"/>
    <cellStyle name="Accent1 - 40% 3" xfId="2233" xr:uid="{00000000-0005-0000-0000-0000B9080000}"/>
    <cellStyle name="Accent1 - 40% 3 2" xfId="2234" xr:uid="{00000000-0005-0000-0000-0000BA080000}"/>
    <cellStyle name="Accent1 - 40% 3 2 2" xfId="2235" xr:uid="{00000000-0005-0000-0000-0000BB080000}"/>
    <cellStyle name="Accent1 - 40% 3 2 2 2" xfId="2236" xr:uid="{00000000-0005-0000-0000-0000BC080000}"/>
    <cellStyle name="Accent1 - 40% 3 2 3" xfId="2237" xr:uid="{00000000-0005-0000-0000-0000BD080000}"/>
    <cellStyle name="Accent1 - 40% 3 3" xfId="2238" xr:uid="{00000000-0005-0000-0000-0000BE080000}"/>
    <cellStyle name="Accent1 - 40% 3 3 2" xfId="2239" xr:uid="{00000000-0005-0000-0000-0000BF080000}"/>
    <cellStyle name="Accent1 - 40% 3 4" xfId="2240" xr:uid="{00000000-0005-0000-0000-0000C0080000}"/>
    <cellStyle name="Accent1 - 40% 4" xfId="2241" xr:uid="{00000000-0005-0000-0000-0000C1080000}"/>
    <cellStyle name="Accent1 - 40% 4 2" xfId="2242" xr:uid="{00000000-0005-0000-0000-0000C2080000}"/>
    <cellStyle name="Accent1 - 40% 4 2 2" xfId="2243" xr:uid="{00000000-0005-0000-0000-0000C3080000}"/>
    <cellStyle name="Accent1 - 40% 4 3" xfId="2244" xr:uid="{00000000-0005-0000-0000-0000C4080000}"/>
    <cellStyle name="Accent1 - 40% 5" xfId="2245" xr:uid="{00000000-0005-0000-0000-0000C5080000}"/>
    <cellStyle name="Accent1 - 40% 5 2" xfId="2246" xr:uid="{00000000-0005-0000-0000-0000C6080000}"/>
    <cellStyle name="Accent1 - 40% 5 2 2" xfId="2247" xr:uid="{00000000-0005-0000-0000-0000C7080000}"/>
    <cellStyle name="Accent1 - 40% 5 3" xfId="2248" xr:uid="{00000000-0005-0000-0000-0000C8080000}"/>
    <cellStyle name="Accent1 - 40% 6" xfId="2249" xr:uid="{00000000-0005-0000-0000-0000C9080000}"/>
    <cellStyle name="Accent1 - 40% 6 2" xfId="2250" xr:uid="{00000000-0005-0000-0000-0000CA080000}"/>
    <cellStyle name="Accent1 - 40% 7" xfId="2251" xr:uid="{00000000-0005-0000-0000-0000CB080000}"/>
    <cellStyle name="Accent1 - 40% 7 2" xfId="2252" xr:uid="{00000000-0005-0000-0000-0000CC080000}"/>
    <cellStyle name="Accent1 - 40% 8" xfId="2253" xr:uid="{00000000-0005-0000-0000-0000CD080000}"/>
    <cellStyle name="Accent1 - 40% 8 2" xfId="2254" xr:uid="{00000000-0005-0000-0000-0000CE080000}"/>
    <cellStyle name="Accent1 - 40% 9" xfId="2255" xr:uid="{00000000-0005-0000-0000-0000CF080000}"/>
    <cellStyle name="Accent1 - 40% 9 2" xfId="2256" xr:uid="{00000000-0005-0000-0000-0000D0080000}"/>
    <cellStyle name="Accent1 - 60%" xfId="2257" xr:uid="{00000000-0005-0000-0000-0000D1080000}"/>
    <cellStyle name="Accent1 - 60% 10" xfId="2258" xr:uid="{00000000-0005-0000-0000-0000D2080000}"/>
    <cellStyle name="Accent1 - 60% 2" xfId="2259" xr:uid="{00000000-0005-0000-0000-0000D3080000}"/>
    <cellStyle name="Accent1 - 60% 2 2" xfId="2260" xr:uid="{00000000-0005-0000-0000-0000D4080000}"/>
    <cellStyle name="Accent1 - 60% 2 2 2" xfId="2261" xr:uid="{00000000-0005-0000-0000-0000D5080000}"/>
    <cellStyle name="Accent1 - 60% 2 3" xfId="2262" xr:uid="{00000000-0005-0000-0000-0000D6080000}"/>
    <cellStyle name="Accent1 - 60% 2 3 2" xfId="2263" xr:uid="{00000000-0005-0000-0000-0000D7080000}"/>
    <cellStyle name="Accent1 - 60% 2 3 2 2" xfId="2264" xr:uid="{00000000-0005-0000-0000-0000D8080000}"/>
    <cellStyle name="Accent1 - 60% 2 3 3" xfId="2265" xr:uid="{00000000-0005-0000-0000-0000D9080000}"/>
    <cellStyle name="Accent1 - 60% 2 4" xfId="2266" xr:uid="{00000000-0005-0000-0000-0000DA080000}"/>
    <cellStyle name="Accent1 - 60% 2 4 2" xfId="2267" xr:uid="{00000000-0005-0000-0000-0000DB080000}"/>
    <cellStyle name="Accent1 - 60% 2 4 2 2" xfId="2268" xr:uid="{00000000-0005-0000-0000-0000DC080000}"/>
    <cellStyle name="Accent1 - 60% 2 4 3" xfId="2269" xr:uid="{00000000-0005-0000-0000-0000DD080000}"/>
    <cellStyle name="Accent1 - 60% 2 5" xfId="2270" xr:uid="{00000000-0005-0000-0000-0000DE080000}"/>
    <cellStyle name="Accent1 - 60% 3" xfId="2271" xr:uid="{00000000-0005-0000-0000-0000DF080000}"/>
    <cellStyle name="Accent1 - 60% 3 2" xfId="2272" xr:uid="{00000000-0005-0000-0000-0000E0080000}"/>
    <cellStyle name="Accent1 - 60% 3 2 2" xfId="2273" xr:uid="{00000000-0005-0000-0000-0000E1080000}"/>
    <cellStyle name="Accent1 - 60% 3 3" xfId="2274" xr:uid="{00000000-0005-0000-0000-0000E2080000}"/>
    <cellStyle name="Accent1 - 60% 4" xfId="2275" xr:uid="{00000000-0005-0000-0000-0000E3080000}"/>
    <cellStyle name="Accent1 - 60% 4 2" xfId="2276" xr:uid="{00000000-0005-0000-0000-0000E4080000}"/>
    <cellStyle name="Accent1 - 60% 5" xfId="2277" xr:uid="{00000000-0005-0000-0000-0000E5080000}"/>
    <cellStyle name="Accent1 - 60% 5 2" xfId="2278" xr:uid="{00000000-0005-0000-0000-0000E6080000}"/>
    <cellStyle name="Accent1 - 60% 6" xfId="2279" xr:uid="{00000000-0005-0000-0000-0000E7080000}"/>
    <cellStyle name="Accent1 - 60% 6 2" xfId="2280" xr:uid="{00000000-0005-0000-0000-0000E8080000}"/>
    <cellStyle name="Accent1 - 60% 6 2 2" xfId="2281" xr:uid="{00000000-0005-0000-0000-0000E9080000}"/>
    <cellStyle name="Accent1 - 60% 6 3" xfId="2282" xr:uid="{00000000-0005-0000-0000-0000EA080000}"/>
    <cellStyle name="Accent1 - 60% 7" xfId="2283" xr:uid="{00000000-0005-0000-0000-0000EB080000}"/>
    <cellStyle name="Accent1 - 60% 7 2" xfId="2284" xr:uid="{00000000-0005-0000-0000-0000EC080000}"/>
    <cellStyle name="Accent1 - 60% 8" xfId="2285" xr:uid="{00000000-0005-0000-0000-0000ED080000}"/>
    <cellStyle name="Accent1 - 60% 8 2" xfId="2286" xr:uid="{00000000-0005-0000-0000-0000EE080000}"/>
    <cellStyle name="Accent1 - 60% 9" xfId="2287" xr:uid="{00000000-0005-0000-0000-0000EF080000}"/>
    <cellStyle name="Accent1 10" xfId="2288" xr:uid="{00000000-0005-0000-0000-0000F0080000}"/>
    <cellStyle name="Accent1 10 2" xfId="2289" xr:uid="{00000000-0005-0000-0000-0000F1080000}"/>
    <cellStyle name="Accent1 10 2 2" xfId="2290" xr:uid="{00000000-0005-0000-0000-0000F2080000}"/>
    <cellStyle name="Accent1 10 3" xfId="2291" xr:uid="{00000000-0005-0000-0000-0000F3080000}"/>
    <cellStyle name="Accent1 100" xfId="2292" xr:uid="{00000000-0005-0000-0000-0000F4080000}"/>
    <cellStyle name="Accent1 100 2" xfId="2293" xr:uid="{00000000-0005-0000-0000-0000F5080000}"/>
    <cellStyle name="Accent1 100 2 2" xfId="2294" xr:uid="{00000000-0005-0000-0000-0000F6080000}"/>
    <cellStyle name="Accent1 100 3" xfId="2295" xr:uid="{00000000-0005-0000-0000-0000F7080000}"/>
    <cellStyle name="Accent1 101" xfId="2296" xr:uid="{00000000-0005-0000-0000-0000F8080000}"/>
    <cellStyle name="Accent1 101 2" xfId="2297" xr:uid="{00000000-0005-0000-0000-0000F9080000}"/>
    <cellStyle name="Accent1 101 2 2" xfId="2298" xr:uid="{00000000-0005-0000-0000-0000FA080000}"/>
    <cellStyle name="Accent1 101 3" xfId="2299" xr:uid="{00000000-0005-0000-0000-0000FB080000}"/>
    <cellStyle name="Accent1 102" xfId="2300" xr:uid="{00000000-0005-0000-0000-0000FC080000}"/>
    <cellStyle name="Accent1 102 2" xfId="2301" xr:uid="{00000000-0005-0000-0000-0000FD080000}"/>
    <cellStyle name="Accent1 103" xfId="2302" xr:uid="{00000000-0005-0000-0000-0000FE080000}"/>
    <cellStyle name="Accent1 103 2" xfId="2303" xr:uid="{00000000-0005-0000-0000-0000FF080000}"/>
    <cellStyle name="Accent1 104" xfId="2304" xr:uid="{00000000-0005-0000-0000-000000090000}"/>
    <cellStyle name="Accent1 104 2" xfId="2305" xr:uid="{00000000-0005-0000-0000-000001090000}"/>
    <cellStyle name="Accent1 104 2 2" xfId="2306" xr:uid="{00000000-0005-0000-0000-000002090000}"/>
    <cellStyle name="Accent1 104 3" xfId="2307" xr:uid="{00000000-0005-0000-0000-000003090000}"/>
    <cellStyle name="Accent1 105" xfId="2308" xr:uid="{00000000-0005-0000-0000-000004090000}"/>
    <cellStyle name="Accent1 105 2" xfId="2309" xr:uid="{00000000-0005-0000-0000-000005090000}"/>
    <cellStyle name="Accent1 105 2 2" xfId="2310" xr:uid="{00000000-0005-0000-0000-000006090000}"/>
    <cellStyle name="Accent1 105 3" xfId="2311" xr:uid="{00000000-0005-0000-0000-000007090000}"/>
    <cellStyle name="Accent1 106" xfId="2312" xr:uid="{00000000-0005-0000-0000-000008090000}"/>
    <cellStyle name="Accent1 106 2" xfId="2313" xr:uid="{00000000-0005-0000-0000-000009090000}"/>
    <cellStyle name="Accent1 106 2 2" xfId="2314" xr:uid="{00000000-0005-0000-0000-00000A090000}"/>
    <cellStyle name="Accent1 106 3" xfId="2315" xr:uid="{00000000-0005-0000-0000-00000B090000}"/>
    <cellStyle name="Accent1 107" xfId="2316" xr:uid="{00000000-0005-0000-0000-00000C090000}"/>
    <cellStyle name="Accent1 107 2" xfId="2317" xr:uid="{00000000-0005-0000-0000-00000D090000}"/>
    <cellStyle name="Accent1 107 2 2" xfId="2318" xr:uid="{00000000-0005-0000-0000-00000E090000}"/>
    <cellStyle name="Accent1 107 3" xfId="2319" xr:uid="{00000000-0005-0000-0000-00000F090000}"/>
    <cellStyle name="Accent1 108" xfId="2320" xr:uid="{00000000-0005-0000-0000-000010090000}"/>
    <cellStyle name="Accent1 108 2" xfId="2321" xr:uid="{00000000-0005-0000-0000-000011090000}"/>
    <cellStyle name="Accent1 108 2 2" xfId="2322" xr:uid="{00000000-0005-0000-0000-000012090000}"/>
    <cellStyle name="Accent1 108 3" xfId="2323" xr:uid="{00000000-0005-0000-0000-000013090000}"/>
    <cellStyle name="Accent1 109" xfId="2324" xr:uid="{00000000-0005-0000-0000-000014090000}"/>
    <cellStyle name="Accent1 109 2" xfId="2325" xr:uid="{00000000-0005-0000-0000-000015090000}"/>
    <cellStyle name="Accent1 109 2 2" xfId="2326" xr:uid="{00000000-0005-0000-0000-000016090000}"/>
    <cellStyle name="Accent1 109 3" xfId="2327" xr:uid="{00000000-0005-0000-0000-000017090000}"/>
    <cellStyle name="Accent1 11" xfId="2328" xr:uid="{00000000-0005-0000-0000-000018090000}"/>
    <cellStyle name="Accent1 11 2" xfId="2329" xr:uid="{00000000-0005-0000-0000-000019090000}"/>
    <cellStyle name="Accent1 11 2 2" xfId="2330" xr:uid="{00000000-0005-0000-0000-00001A090000}"/>
    <cellStyle name="Accent1 11 3" xfId="2331" xr:uid="{00000000-0005-0000-0000-00001B090000}"/>
    <cellStyle name="Accent1 110" xfId="2332" xr:uid="{00000000-0005-0000-0000-00001C090000}"/>
    <cellStyle name="Accent1 110 2" xfId="2333" xr:uid="{00000000-0005-0000-0000-00001D090000}"/>
    <cellStyle name="Accent1 110 2 2" xfId="2334" xr:uid="{00000000-0005-0000-0000-00001E090000}"/>
    <cellStyle name="Accent1 110 3" xfId="2335" xr:uid="{00000000-0005-0000-0000-00001F090000}"/>
    <cellStyle name="Accent1 111" xfId="2336" xr:uid="{00000000-0005-0000-0000-000020090000}"/>
    <cellStyle name="Accent1 111 2" xfId="2337" xr:uid="{00000000-0005-0000-0000-000021090000}"/>
    <cellStyle name="Accent1 111 2 2" xfId="2338" xr:uid="{00000000-0005-0000-0000-000022090000}"/>
    <cellStyle name="Accent1 111 3" xfId="2339" xr:uid="{00000000-0005-0000-0000-000023090000}"/>
    <cellStyle name="Accent1 112" xfId="2340" xr:uid="{00000000-0005-0000-0000-000024090000}"/>
    <cellStyle name="Accent1 112 2" xfId="2341" xr:uid="{00000000-0005-0000-0000-000025090000}"/>
    <cellStyle name="Accent1 112 2 2" xfId="2342" xr:uid="{00000000-0005-0000-0000-000026090000}"/>
    <cellStyle name="Accent1 112 3" xfId="2343" xr:uid="{00000000-0005-0000-0000-000027090000}"/>
    <cellStyle name="Accent1 113" xfId="2344" xr:uid="{00000000-0005-0000-0000-000028090000}"/>
    <cellStyle name="Accent1 113 2" xfId="2345" xr:uid="{00000000-0005-0000-0000-000029090000}"/>
    <cellStyle name="Accent1 113 2 2" xfId="2346" xr:uid="{00000000-0005-0000-0000-00002A090000}"/>
    <cellStyle name="Accent1 113 3" xfId="2347" xr:uid="{00000000-0005-0000-0000-00002B090000}"/>
    <cellStyle name="Accent1 114" xfId="2348" xr:uid="{00000000-0005-0000-0000-00002C090000}"/>
    <cellStyle name="Accent1 114 2" xfId="2349" xr:uid="{00000000-0005-0000-0000-00002D090000}"/>
    <cellStyle name="Accent1 115" xfId="2350" xr:uid="{00000000-0005-0000-0000-00002E090000}"/>
    <cellStyle name="Accent1 115 2" xfId="2351" xr:uid="{00000000-0005-0000-0000-00002F090000}"/>
    <cellStyle name="Accent1 116" xfId="2352" xr:uid="{00000000-0005-0000-0000-000030090000}"/>
    <cellStyle name="Accent1 116 2" xfId="2353" xr:uid="{00000000-0005-0000-0000-000031090000}"/>
    <cellStyle name="Accent1 117" xfId="2354" xr:uid="{00000000-0005-0000-0000-000032090000}"/>
    <cellStyle name="Accent1 117 2" xfId="2355" xr:uid="{00000000-0005-0000-0000-000033090000}"/>
    <cellStyle name="Accent1 118" xfId="2356" xr:uid="{00000000-0005-0000-0000-000034090000}"/>
    <cellStyle name="Accent1 118 2" xfId="2357" xr:uid="{00000000-0005-0000-0000-000035090000}"/>
    <cellStyle name="Accent1 119" xfId="2358" xr:uid="{00000000-0005-0000-0000-000036090000}"/>
    <cellStyle name="Accent1 119 2" xfId="2359" xr:uid="{00000000-0005-0000-0000-000037090000}"/>
    <cellStyle name="Accent1 12" xfId="2360" xr:uid="{00000000-0005-0000-0000-000038090000}"/>
    <cellStyle name="Accent1 12 2" xfId="2361" xr:uid="{00000000-0005-0000-0000-000039090000}"/>
    <cellStyle name="Accent1 12 2 2" xfId="2362" xr:uid="{00000000-0005-0000-0000-00003A090000}"/>
    <cellStyle name="Accent1 12 3" xfId="2363" xr:uid="{00000000-0005-0000-0000-00003B090000}"/>
    <cellStyle name="Accent1 120" xfId="2364" xr:uid="{00000000-0005-0000-0000-00003C090000}"/>
    <cellStyle name="Accent1 120 2" xfId="2365" xr:uid="{00000000-0005-0000-0000-00003D090000}"/>
    <cellStyle name="Accent1 121" xfId="2366" xr:uid="{00000000-0005-0000-0000-00003E090000}"/>
    <cellStyle name="Accent1 121 2" xfId="2367" xr:uid="{00000000-0005-0000-0000-00003F090000}"/>
    <cellStyle name="Accent1 122" xfId="2368" xr:uid="{00000000-0005-0000-0000-000040090000}"/>
    <cellStyle name="Accent1 122 2" xfId="2369" xr:uid="{00000000-0005-0000-0000-000041090000}"/>
    <cellStyle name="Accent1 123" xfId="2370" xr:uid="{00000000-0005-0000-0000-000042090000}"/>
    <cellStyle name="Accent1 123 2" xfId="2371" xr:uid="{00000000-0005-0000-0000-000043090000}"/>
    <cellStyle name="Accent1 124" xfId="2372" xr:uid="{00000000-0005-0000-0000-000044090000}"/>
    <cellStyle name="Accent1 124 2" xfId="2373" xr:uid="{00000000-0005-0000-0000-000045090000}"/>
    <cellStyle name="Accent1 125" xfId="2374" xr:uid="{00000000-0005-0000-0000-000046090000}"/>
    <cellStyle name="Accent1 125 2" xfId="2375" xr:uid="{00000000-0005-0000-0000-000047090000}"/>
    <cellStyle name="Accent1 126" xfId="2376" xr:uid="{00000000-0005-0000-0000-000048090000}"/>
    <cellStyle name="Accent1 127" xfId="2377" xr:uid="{00000000-0005-0000-0000-000049090000}"/>
    <cellStyle name="Accent1 128" xfId="2378" xr:uid="{00000000-0005-0000-0000-00004A090000}"/>
    <cellStyle name="Accent1 129" xfId="2379" xr:uid="{00000000-0005-0000-0000-00004B090000}"/>
    <cellStyle name="Accent1 13" xfId="2380" xr:uid="{00000000-0005-0000-0000-00004C090000}"/>
    <cellStyle name="Accent1 13 2" xfId="2381" xr:uid="{00000000-0005-0000-0000-00004D090000}"/>
    <cellStyle name="Accent1 13 2 2" xfId="2382" xr:uid="{00000000-0005-0000-0000-00004E090000}"/>
    <cellStyle name="Accent1 13 3" xfId="2383" xr:uid="{00000000-0005-0000-0000-00004F090000}"/>
    <cellStyle name="Accent1 130" xfId="2384" xr:uid="{00000000-0005-0000-0000-000050090000}"/>
    <cellStyle name="Accent1 131" xfId="2385" xr:uid="{00000000-0005-0000-0000-000051090000}"/>
    <cellStyle name="Accent1 132" xfId="2386" xr:uid="{00000000-0005-0000-0000-000052090000}"/>
    <cellStyle name="Accent1 133" xfId="2387" xr:uid="{00000000-0005-0000-0000-000053090000}"/>
    <cellStyle name="Accent1 134" xfId="2388" xr:uid="{00000000-0005-0000-0000-000054090000}"/>
    <cellStyle name="Accent1 135" xfId="2389" xr:uid="{00000000-0005-0000-0000-000055090000}"/>
    <cellStyle name="Accent1 136" xfId="2390" xr:uid="{00000000-0005-0000-0000-000056090000}"/>
    <cellStyle name="Accent1 137" xfId="2391" xr:uid="{00000000-0005-0000-0000-000057090000}"/>
    <cellStyle name="Accent1 138" xfId="2392" xr:uid="{00000000-0005-0000-0000-000058090000}"/>
    <cellStyle name="Accent1 139" xfId="2393" xr:uid="{00000000-0005-0000-0000-000059090000}"/>
    <cellStyle name="Accent1 14" xfId="2394" xr:uid="{00000000-0005-0000-0000-00005A090000}"/>
    <cellStyle name="Accent1 14 2" xfId="2395" xr:uid="{00000000-0005-0000-0000-00005B090000}"/>
    <cellStyle name="Accent1 14 2 2" xfId="2396" xr:uid="{00000000-0005-0000-0000-00005C090000}"/>
    <cellStyle name="Accent1 14 3" xfId="2397" xr:uid="{00000000-0005-0000-0000-00005D090000}"/>
    <cellStyle name="Accent1 140" xfId="2398" xr:uid="{00000000-0005-0000-0000-00005E090000}"/>
    <cellStyle name="Accent1 141" xfId="2399" xr:uid="{00000000-0005-0000-0000-00005F090000}"/>
    <cellStyle name="Accent1 142" xfId="2400" xr:uid="{00000000-0005-0000-0000-000060090000}"/>
    <cellStyle name="Accent1 143" xfId="2401" xr:uid="{00000000-0005-0000-0000-000061090000}"/>
    <cellStyle name="Accent1 144" xfId="2402" xr:uid="{00000000-0005-0000-0000-000062090000}"/>
    <cellStyle name="Accent1 145" xfId="2403" xr:uid="{00000000-0005-0000-0000-000063090000}"/>
    <cellStyle name="Accent1 146" xfId="2404" xr:uid="{00000000-0005-0000-0000-000064090000}"/>
    <cellStyle name="Accent1 147" xfId="2405" xr:uid="{00000000-0005-0000-0000-000065090000}"/>
    <cellStyle name="Accent1 148" xfId="2406" xr:uid="{00000000-0005-0000-0000-000066090000}"/>
    <cellStyle name="Accent1 149" xfId="2407" xr:uid="{00000000-0005-0000-0000-000067090000}"/>
    <cellStyle name="Accent1 15" xfId="2408" xr:uid="{00000000-0005-0000-0000-000068090000}"/>
    <cellStyle name="Accent1 15 2" xfId="2409" xr:uid="{00000000-0005-0000-0000-000069090000}"/>
    <cellStyle name="Accent1 15 2 2" xfId="2410" xr:uid="{00000000-0005-0000-0000-00006A090000}"/>
    <cellStyle name="Accent1 15 3" xfId="2411" xr:uid="{00000000-0005-0000-0000-00006B090000}"/>
    <cellStyle name="Accent1 150" xfId="2412" xr:uid="{00000000-0005-0000-0000-00006C090000}"/>
    <cellStyle name="Accent1 151" xfId="2413" xr:uid="{00000000-0005-0000-0000-00006D090000}"/>
    <cellStyle name="Accent1 152" xfId="2414" xr:uid="{00000000-0005-0000-0000-00006E090000}"/>
    <cellStyle name="Accent1 153" xfId="2415" xr:uid="{00000000-0005-0000-0000-00006F090000}"/>
    <cellStyle name="Accent1 154" xfId="2416" xr:uid="{00000000-0005-0000-0000-000070090000}"/>
    <cellStyle name="Accent1 155" xfId="2417" xr:uid="{00000000-0005-0000-0000-000071090000}"/>
    <cellStyle name="Accent1 156" xfId="2418" xr:uid="{00000000-0005-0000-0000-000072090000}"/>
    <cellStyle name="Accent1 157" xfId="2419" xr:uid="{00000000-0005-0000-0000-000073090000}"/>
    <cellStyle name="Accent1 158" xfId="2420" xr:uid="{00000000-0005-0000-0000-000074090000}"/>
    <cellStyle name="Accent1 159" xfId="2421" xr:uid="{00000000-0005-0000-0000-000075090000}"/>
    <cellStyle name="Accent1 16" xfId="2422" xr:uid="{00000000-0005-0000-0000-000076090000}"/>
    <cellStyle name="Accent1 16 2" xfId="2423" xr:uid="{00000000-0005-0000-0000-000077090000}"/>
    <cellStyle name="Accent1 16 2 2" xfId="2424" xr:uid="{00000000-0005-0000-0000-000078090000}"/>
    <cellStyle name="Accent1 16 3" xfId="2425" xr:uid="{00000000-0005-0000-0000-000079090000}"/>
    <cellStyle name="Accent1 160" xfId="2426" xr:uid="{00000000-0005-0000-0000-00007A090000}"/>
    <cellStyle name="Accent1 161" xfId="2427" xr:uid="{00000000-0005-0000-0000-00007B090000}"/>
    <cellStyle name="Accent1 162" xfId="2428" xr:uid="{00000000-0005-0000-0000-00007C090000}"/>
    <cellStyle name="Accent1 163" xfId="2429" xr:uid="{00000000-0005-0000-0000-00007D090000}"/>
    <cellStyle name="Accent1 164" xfId="2430" xr:uid="{00000000-0005-0000-0000-00007E090000}"/>
    <cellStyle name="Accent1 165" xfId="2431" xr:uid="{00000000-0005-0000-0000-00007F090000}"/>
    <cellStyle name="Accent1 166" xfId="2432" xr:uid="{00000000-0005-0000-0000-000080090000}"/>
    <cellStyle name="Accent1 167" xfId="2433" xr:uid="{00000000-0005-0000-0000-000081090000}"/>
    <cellStyle name="Accent1 168" xfId="2434" xr:uid="{00000000-0005-0000-0000-000082090000}"/>
    <cellStyle name="Accent1 169" xfId="2435" xr:uid="{00000000-0005-0000-0000-000083090000}"/>
    <cellStyle name="Accent1 17" xfId="2436" xr:uid="{00000000-0005-0000-0000-000084090000}"/>
    <cellStyle name="Accent1 17 2" xfId="2437" xr:uid="{00000000-0005-0000-0000-000085090000}"/>
    <cellStyle name="Accent1 17 2 2" xfId="2438" xr:uid="{00000000-0005-0000-0000-000086090000}"/>
    <cellStyle name="Accent1 17 3" xfId="2439" xr:uid="{00000000-0005-0000-0000-000087090000}"/>
    <cellStyle name="Accent1 170" xfId="2440" xr:uid="{00000000-0005-0000-0000-000088090000}"/>
    <cellStyle name="Accent1 171" xfId="2441" xr:uid="{00000000-0005-0000-0000-000089090000}"/>
    <cellStyle name="Accent1 172" xfId="2442" xr:uid="{00000000-0005-0000-0000-00008A090000}"/>
    <cellStyle name="Accent1 173" xfId="2443" xr:uid="{00000000-0005-0000-0000-00008B090000}"/>
    <cellStyle name="Accent1 174" xfId="2444" xr:uid="{00000000-0005-0000-0000-00008C090000}"/>
    <cellStyle name="Accent1 175" xfId="2445" xr:uid="{00000000-0005-0000-0000-00008D090000}"/>
    <cellStyle name="Accent1 176" xfId="2446" xr:uid="{00000000-0005-0000-0000-00008E090000}"/>
    <cellStyle name="Accent1 177" xfId="2447" xr:uid="{00000000-0005-0000-0000-00008F090000}"/>
    <cellStyle name="Accent1 178" xfId="2448" xr:uid="{00000000-0005-0000-0000-000090090000}"/>
    <cellStyle name="Accent1 179" xfId="2449" xr:uid="{00000000-0005-0000-0000-000091090000}"/>
    <cellStyle name="Accent1 18" xfId="2450" xr:uid="{00000000-0005-0000-0000-000092090000}"/>
    <cellStyle name="Accent1 18 2" xfId="2451" xr:uid="{00000000-0005-0000-0000-000093090000}"/>
    <cellStyle name="Accent1 18 2 2" xfId="2452" xr:uid="{00000000-0005-0000-0000-000094090000}"/>
    <cellStyle name="Accent1 18 3" xfId="2453" xr:uid="{00000000-0005-0000-0000-000095090000}"/>
    <cellStyle name="Accent1 19" xfId="2454" xr:uid="{00000000-0005-0000-0000-000096090000}"/>
    <cellStyle name="Accent1 19 2" xfId="2455" xr:uid="{00000000-0005-0000-0000-000097090000}"/>
    <cellStyle name="Accent1 19 2 2" xfId="2456" xr:uid="{00000000-0005-0000-0000-000098090000}"/>
    <cellStyle name="Accent1 19 3" xfId="2457" xr:uid="{00000000-0005-0000-0000-000099090000}"/>
    <cellStyle name="Accent1 2" xfId="2458" xr:uid="{00000000-0005-0000-0000-00009A090000}"/>
    <cellStyle name="Accent1 2 10" xfId="2459" xr:uid="{00000000-0005-0000-0000-00009B090000}"/>
    <cellStyle name="Accent1 2 10 2" xfId="2460" xr:uid="{00000000-0005-0000-0000-00009C090000}"/>
    <cellStyle name="Accent1 2 11" xfId="2461" xr:uid="{00000000-0005-0000-0000-00009D090000}"/>
    <cellStyle name="Accent1 2 12" xfId="2462" xr:uid="{00000000-0005-0000-0000-00009E090000}"/>
    <cellStyle name="Accent1 2 2" xfId="2463" xr:uid="{00000000-0005-0000-0000-00009F090000}"/>
    <cellStyle name="Accent1 2 2 2" xfId="2464" xr:uid="{00000000-0005-0000-0000-0000A0090000}"/>
    <cellStyle name="Accent1 2 2 2 2" xfId="2465" xr:uid="{00000000-0005-0000-0000-0000A1090000}"/>
    <cellStyle name="Accent1 2 2 3" xfId="2466" xr:uid="{00000000-0005-0000-0000-0000A2090000}"/>
    <cellStyle name="Accent1 2 2 3 2" xfId="2467" xr:uid="{00000000-0005-0000-0000-0000A3090000}"/>
    <cellStyle name="Accent1 2 2 3 2 2" xfId="2468" xr:uid="{00000000-0005-0000-0000-0000A4090000}"/>
    <cellStyle name="Accent1 2 2 3 3" xfId="2469" xr:uid="{00000000-0005-0000-0000-0000A5090000}"/>
    <cellStyle name="Accent1 2 2 4" xfId="2470" xr:uid="{00000000-0005-0000-0000-0000A6090000}"/>
    <cellStyle name="Accent1 2 3" xfId="2471" xr:uid="{00000000-0005-0000-0000-0000A7090000}"/>
    <cellStyle name="Accent1 2 3 2" xfId="2472" xr:uid="{00000000-0005-0000-0000-0000A8090000}"/>
    <cellStyle name="Accent1 2 3 2 2" xfId="2473" xr:uid="{00000000-0005-0000-0000-0000A9090000}"/>
    <cellStyle name="Accent1 2 3 3" xfId="2474" xr:uid="{00000000-0005-0000-0000-0000AA090000}"/>
    <cellStyle name="Accent1 2 3 3 2" xfId="2475" xr:uid="{00000000-0005-0000-0000-0000AB090000}"/>
    <cellStyle name="Accent1 2 3 3 2 2" xfId="2476" xr:uid="{00000000-0005-0000-0000-0000AC090000}"/>
    <cellStyle name="Accent1 2 3 3 3" xfId="2477" xr:uid="{00000000-0005-0000-0000-0000AD090000}"/>
    <cellStyle name="Accent1 2 3 4" xfId="2478" xr:uid="{00000000-0005-0000-0000-0000AE090000}"/>
    <cellStyle name="Accent1 2 4" xfId="2479" xr:uid="{00000000-0005-0000-0000-0000AF090000}"/>
    <cellStyle name="Accent1 2 4 2" xfId="2480" xr:uid="{00000000-0005-0000-0000-0000B0090000}"/>
    <cellStyle name="Accent1 2 4 2 2" xfId="2481" xr:uid="{00000000-0005-0000-0000-0000B1090000}"/>
    <cellStyle name="Accent1 2 4 3" xfId="2482" xr:uid="{00000000-0005-0000-0000-0000B2090000}"/>
    <cellStyle name="Accent1 2 5" xfId="2483" xr:uid="{00000000-0005-0000-0000-0000B3090000}"/>
    <cellStyle name="Accent1 2 5 2" xfId="2484" xr:uid="{00000000-0005-0000-0000-0000B4090000}"/>
    <cellStyle name="Accent1 2 5 2 2" xfId="2485" xr:uid="{00000000-0005-0000-0000-0000B5090000}"/>
    <cellStyle name="Accent1 2 5 3" xfId="2486" xr:uid="{00000000-0005-0000-0000-0000B6090000}"/>
    <cellStyle name="Accent1 2 5 3 2" xfId="2487" xr:uid="{00000000-0005-0000-0000-0000B7090000}"/>
    <cellStyle name="Accent1 2 5 3 2 2" xfId="2488" xr:uid="{00000000-0005-0000-0000-0000B8090000}"/>
    <cellStyle name="Accent1 2 5 3 3" xfId="2489" xr:uid="{00000000-0005-0000-0000-0000B9090000}"/>
    <cellStyle name="Accent1 2 5 4" xfId="2490" xr:uid="{00000000-0005-0000-0000-0000BA090000}"/>
    <cellStyle name="Accent1 2 6" xfId="2491" xr:uid="{00000000-0005-0000-0000-0000BB090000}"/>
    <cellStyle name="Accent1 2 6 2" xfId="2492" xr:uid="{00000000-0005-0000-0000-0000BC090000}"/>
    <cellStyle name="Accent1 2 7" xfId="2493" xr:uid="{00000000-0005-0000-0000-0000BD090000}"/>
    <cellStyle name="Accent1 2 7 2" xfId="2494" xr:uid="{00000000-0005-0000-0000-0000BE090000}"/>
    <cellStyle name="Accent1 2 8" xfId="2495" xr:uid="{00000000-0005-0000-0000-0000BF090000}"/>
    <cellStyle name="Accent1 2 8 2" xfId="2496" xr:uid="{00000000-0005-0000-0000-0000C0090000}"/>
    <cellStyle name="Accent1 2 8 2 2" xfId="2497" xr:uid="{00000000-0005-0000-0000-0000C1090000}"/>
    <cellStyle name="Accent1 2 8 3" xfId="2498" xr:uid="{00000000-0005-0000-0000-0000C2090000}"/>
    <cellStyle name="Accent1 2 9" xfId="2499" xr:uid="{00000000-0005-0000-0000-0000C3090000}"/>
    <cellStyle name="Accent1 2 9 2" xfId="2500" xr:uid="{00000000-0005-0000-0000-0000C4090000}"/>
    <cellStyle name="Accent1 2 9 2 2" xfId="2501" xr:uid="{00000000-0005-0000-0000-0000C5090000}"/>
    <cellStyle name="Accent1 2 9 3" xfId="2502" xr:uid="{00000000-0005-0000-0000-0000C6090000}"/>
    <cellStyle name="Accent1 20" xfId="2503" xr:uid="{00000000-0005-0000-0000-0000C7090000}"/>
    <cellStyle name="Accent1 20 2" xfId="2504" xr:uid="{00000000-0005-0000-0000-0000C8090000}"/>
    <cellStyle name="Accent1 20 2 2" xfId="2505" xr:uid="{00000000-0005-0000-0000-0000C9090000}"/>
    <cellStyle name="Accent1 20 3" xfId="2506" xr:uid="{00000000-0005-0000-0000-0000CA090000}"/>
    <cellStyle name="Accent1 21" xfId="2507" xr:uid="{00000000-0005-0000-0000-0000CB090000}"/>
    <cellStyle name="Accent1 21 2" xfId="2508" xr:uid="{00000000-0005-0000-0000-0000CC090000}"/>
    <cellStyle name="Accent1 21 2 2" xfId="2509" xr:uid="{00000000-0005-0000-0000-0000CD090000}"/>
    <cellStyle name="Accent1 21 3" xfId="2510" xr:uid="{00000000-0005-0000-0000-0000CE090000}"/>
    <cellStyle name="Accent1 22" xfId="2511" xr:uid="{00000000-0005-0000-0000-0000CF090000}"/>
    <cellStyle name="Accent1 22 2" xfId="2512" xr:uid="{00000000-0005-0000-0000-0000D0090000}"/>
    <cellStyle name="Accent1 22 2 2" xfId="2513" xr:uid="{00000000-0005-0000-0000-0000D1090000}"/>
    <cellStyle name="Accent1 22 3" xfId="2514" xr:uid="{00000000-0005-0000-0000-0000D2090000}"/>
    <cellStyle name="Accent1 23" xfId="2515" xr:uid="{00000000-0005-0000-0000-0000D3090000}"/>
    <cellStyle name="Accent1 23 2" xfId="2516" xr:uid="{00000000-0005-0000-0000-0000D4090000}"/>
    <cellStyle name="Accent1 23 2 2" xfId="2517" xr:uid="{00000000-0005-0000-0000-0000D5090000}"/>
    <cellStyle name="Accent1 23 3" xfId="2518" xr:uid="{00000000-0005-0000-0000-0000D6090000}"/>
    <cellStyle name="Accent1 24" xfId="2519" xr:uid="{00000000-0005-0000-0000-0000D7090000}"/>
    <cellStyle name="Accent1 24 2" xfId="2520" xr:uid="{00000000-0005-0000-0000-0000D8090000}"/>
    <cellStyle name="Accent1 24 2 2" xfId="2521" xr:uid="{00000000-0005-0000-0000-0000D9090000}"/>
    <cellStyle name="Accent1 24 3" xfId="2522" xr:uid="{00000000-0005-0000-0000-0000DA090000}"/>
    <cellStyle name="Accent1 25" xfId="2523" xr:uid="{00000000-0005-0000-0000-0000DB090000}"/>
    <cellStyle name="Accent1 25 2" xfId="2524" xr:uid="{00000000-0005-0000-0000-0000DC090000}"/>
    <cellStyle name="Accent1 25 2 2" xfId="2525" xr:uid="{00000000-0005-0000-0000-0000DD090000}"/>
    <cellStyle name="Accent1 25 3" xfId="2526" xr:uid="{00000000-0005-0000-0000-0000DE090000}"/>
    <cellStyle name="Accent1 26" xfId="2527" xr:uid="{00000000-0005-0000-0000-0000DF090000}"/>
    <cellStyle name="Accent1 26 2" xfId="2528" xr:uid="{00000000-0005-0000-0000-0000E0090000}"/>
    <cellStyle name="Accent1 26 2 2" xfId="2529" xr:uid="{00000000-0005-0000-0000-0000E1090000}"/>
    <cellStyle name="Accent1 26 3" xfId="2530" xr:uid="{00000000-0005-0000-0000-0000E2090000}"/>
    <cellStyle name="Accent1 27" xfId="2531" xr:uid="{00000000-0005-0000-0000-0000E3090000}"/>
    <cellStyle name="Accent1 27 2" xfId="2532" xr:uid="{00000000-0005-0000-0000-0000E4090000}"/>
    <cellStyle name="Accent1 27 2 2" xfId="2533" xr:uid="{00000000-0005-0000-0000-0000E5090000}"/>
    <cellStyle name="Accent1 27 3" xfId="2534" xr:uid="{00000000-0005-0000-0000-0000E6090000}"/>
    <cellStyle name="Accent1 28" xfId="2535" xr:uid="{00000000-0005-0000-0000-0000E7090000}"/>
    <cellStyle name="Accent1 28 2" xfId="2536" xr:uid="{00000000-0005-0000-0000-0000E8090000}"/>
    <cellStyle name="Accent1 28 2 2" xfId="2537" xr:uid="{00000000-0005-0000-0000-0000E9090000}"/>
    <cellStyle name="Accent1 28 3" xfId="2538" xr:uid="{00000000-0005-0000-0000-0000EA090000}"/>
    <cellStyle name="Accent1 29" xfId="2539" xr:uid="{00000000-0005-0000-0000-0000EB090000}"/>
    <cellStyle name="Accent1 29 2" xfId="2540" xr:uid="{00000000-0005-0000-0000-0000EC090000}"/>
    <cellStyle name="Accent1 29 2 2" xfId="2541" xr:uid="{00000000-0005-0000-0000-0000ED090000}"/>
    <cellStyle name="Accent1 29 3" xfId="2542" xr:uid="{00000000-0005-0000-0000-0000EE090000}"/>
    <cellStyle name="Accent1 3" xfId="2543" xr:uid="{00000000-0005-0000-0000-0000EF090000}"/>
    <cellStyle name="Accent1 3 10" xfId="2544" xr:uid="{00000000-0005-0000-0000-0000F0090000}"/>
    <cellStyle name="Accent1 3 10 2" xfId="2545" xr:uid="{00000000-0005-0000-0000-0000F1090000}"/>
    <cellStyle name="Accent1 3 11" xfId="2546" xr:uid="{00000000-0005-0000-0000-0000F2090000}"/>
    <cellStyle name="Accent1 3 2" xfId="2547" xr:uid="{00000000-0005-0000-0000-0000F3090000}"/>
    <cellStyle name="Accent1 3 2 2" xfId="2548" xr:uid="{00000000-0005-0000-0000-0000F4090000}"/>
    <cellStyle name="Accent1 3 2 2 2" xfId="2549" xr:uid="{00000000-0005-0000-0000-0000F5090000}"/>
    <cellStyle name="Accent1 3 2 3" xfId="2550" xr:uid="{00000000-0005-0000-0000-0000F6090000}"/>
    <cellStyle name="Accent1 3 2 3 2" xfId="2551" xr:uid="{00000000-0005-0000-0000-0000F7090000}"/>
    <cellStyle name="Accent1 3 2 3 2 2" xfId="2552" xr:uid="{00000000-0005-0000-0000-0000F8090000}"/>
    <cellStyle name="Accent1 3 2 3 3" xfId="2553" xr:uid="{00000000-0005-0000-0000-0000F9090000}"/>
    <cellStyle name="Accent1 3 2 4" xfId="2554" xr:uid="{00000000-0005-0000-0000-0000FA090000}"/>
    <cellStyle name="Accent1 3 3" xfId="2555" xr:uid="{00000000-0005-0000-0000-0000FB090000}"/>
    <cellStyle name="Accent1 3 3 2" xfId="2556" xr:uid="{00000000-0005-0000-0000-0000FC090000}"/>
    <cellStyle name="Accent1 3 3 2 2" xfId="2557" xr:uid="{00000000-0005-0000-0000-0000FD090000}"/>
    <cellStyle name="Accent1 3 3 3" xfId="2558" xr:uid="{00000000-0005-0000-0000-0000FE090000}"/>
    <cellStyle name="Accent1 3 3 3 2" xfId="2559" xr:uid="{00000000-0005-0000-0000-0000FF090000}"/>
    <cellStyle name="Accent1 3 3 3 2 2" xfId="2560" xr:uid="{00000000-0005-0000-0000-0000000A0000}"/>
    <cellStyle name="Accent1 3 3 3 3" xfId="2561" xr:uid="{00000000-0005-0000-0000-0000010A0000}"/>
    <cellStyle name="Accent1 3 3 4" xfId="2562" xr:uid="{00000000-0005-0000-0000-0000020A0000}"/>
    <cellStyle name="Accent1 3 4" xfId="2563" xr:uid="{00000000-0005-0000-0000-0000030A0000}"/>
    <cellStyle name="Accent1 3 4 2" xfId="2564" xr:uid="{00000000-0005-0000-0000-0000040A0000}"/>
    <cellStyle name="Accent1 3 4 2 2" xfId="2565" xr:uid="{00000000-0005-0000-0000-0000050A0000}"/>
    <cellStyle name="Accent1 3 4 3" xfId="2566" xr:uid="{00000000-0005-0000-0000-0000060A0000}"/>
    <cellStyle name="Accent1 3 5" xfId="2567" xr:uid="{00000000-0005-0000-0000-0000070A0000}"/>
    <cellStyle name="Accent1 3 5 2" xfId="2568" xr:uid="{00000000-0005-0000-0000-0000080A0000}"/>
    <cellStyle name="Accent1 3 5 2 2" xfId="2569" xr:uid="{00000000-0005-0000-0000-0000090A0000}"/>
    <cellStyle name="Accent1 3 5 3" xfId="2570" xr:uid="{00000000-0005-0000-0000-00000A0A0000}"/>
    <cellStyle name="Accent1 3 5 3 2" xfId="2571" xr:uid="{00000000-0005-0000-0000-00000B0A0000}"/>
    <cellStyle name="Accent1 3 5 3 2 2" xfId="2572" xr:uid="{00000000-0005-0000-0000-00000C0A0000}"/>
    <cellStyle name="Accent1 3 5 3 3" xfId="2573" xr:uid="{00000000-0005-0000-0000-00000D0A0000}"/>
    <cellStyle name="Accent1 3 5 4" xfId="2574" xr:uid="{00000000-0005-0000-0000-00000E0A0000}"/>
    <cellStyle name="Accent1 3 6" xfId="2575" xr:uid="{00000000-0005-0000-0000-00000F0A0000}"/>
    <cellStyle name="Accent1 3 6 2" xfId="2576" xr:uid="{00000000-0005-0000-0000-0000100A0000}"/>
    <cellStyle name="Accent1 3 7" xfId="2577" xr:uid="{00000000-0005-0000-0000-0000110A0000}"/>
    <cellStyle name="Accent1 3 7 2" xfId="2578" xr:uid="{00000000-0005-0000-0000-0000120A0000}"/>
    <cellStyle name="Accent1 3 8" xfId="2579" xr:uid="{00000000-0005-0000-0000-0000130A0000}"/>
    <cellStyle name="Accent1 3 8 2" xfId="2580" xr:uid="{00000000-0005-0000-0000-0000140A0000}"/>
    <cellStyle name="Accent1 3 8 2 2" xfId="2581" xr:uid="{00000000-0005-0000-0000-0000150A0000}"/>
    <cellStyle name="Accent1 3 8 3" xfId="2582" xr:uid="{00000000-0005-0000-0000-0000160A0000}"/>
    <cellStyle name="Accent1 3 9" xfId="2583" xr:uid="{00000000-0005-0000-0000-0000170A0000}"/>
    <cellStyle name="Accent1 3 9 2" xfId="2584" xr:uid="{00000000-0005-0000-0000-0000180A0000}"/>
    <cellStyle name="Accent1 3 9 2 2" xfId="2585" xr:uid="{00000000-0005-0000-0000-0000190A0000}"/>
    <cellStyle name="Accent1 3 9 3" xfId="2586" xr:uid="{00000000-0005-0000-0000-00001A0A0000}"/>
    <cellStyle name="Accent1 30" xfId="2587" xr:uid="{00000000-0005-0000-0000-00001B0A0000}"/>
    <cellStyle name="Accent1 30 2" xfId="2588" xr:uid="{00000000-0005-0000-0000-00001C0A0000}"/>
    <cellStyle name="Accent1 30 2 2" xfId="2589" xr:uid="{00000000-0005-0000-0000-00001D0A0000}"/>
    <cellStyle name="Accent1 30 3" xfId="2590" xr:uid="{00000000-0005-0000-0000-00001E0A0000}"/>
    <cellStyle name="Accent1 31" xfId="2591" xr:uid="{00000000-0005-0000-0000-00001F0A0000}"/>
    <cellStyle name="Accent1 31 2" xfId="2592" xr:uid="{00000000-0005-0000-0000-0000200A0000}"/>
    <cellStyle name="Accent1 31 2 2" xfId="2593" xr:uid="{00000000-0005-0000-0000-0000210A0000}"/>
    <cellStyle name="Accent1 31 3" xfId="2594" xr:uid="{00000000-0005-0000-0000-0000220A0000}"/>
    <cellStyle name="Accent1 32" xfId="2595" xr:uid="{00000000-0005-0000-0000-0000230A0000}"/>
    <cellStyle name="Accent1 32 2" xfId="2596" xr:uid="{00000000-0005-0000-0000-0000240A0000}"/>
    <cellStyle name="Accent1 32 2 2" xfId="2597" xr:uid="{00000000-0005-0000-0000-0000250A0000}"/>
    <cellStyle name="Accent1 32 3" xfId="2598" xr:uid="{00000000-0005-0000-0000-0000260A0000}"/>
    <cellStyle name="Accent1 33" xfId="2599" xr:uid="{00000000-0005-0000-0000-0000270A0000}"/>
    <cellStyle name="Accent1 33 2" xfId="2600" xr:uid="{00000000-0005-0000-0000-0000280A0000}"/>
    <cellStyle name="Accent1 33 2 2" xfId="2601" xr:uid="{00000000-0005-0000-0000-0000290A0000}"/>
    <cellStyle name="Accent1 33 3" xfId="2602" xr:uid="{00000000-0005-0000-0000-00002A0A0000}"/>
    <cellStyle name="Accent1 34" xfId="2603" xr:uid="{00000000-0005-0000-0000-00002B0A0000}"/>
    <cellStyle name="Accent1 34 2" xfId="2604" xr:uid="{00000000-0005-0000-0000-00002C0A0000}"/>
    <cellStyle name="Accent1 34 2 2" xfId="2605" xr:uid="{00000000-0005-0000-0000-00002D0A0000}"/>
    <cellStyle name="Accent1 34 3" xfId="2606" xr:uid="{00000000-0005-0000-0000-00002E0A0000}"/>
    <cellStyle name="Accent1 35" xfId="2607" xr:uid="{00000000-0005-0000-0000-00002F0A0000}"/>
    <cellStyle name="Accent1 35 2" xfId="2608" xr:uid="{00000000-0005-0000-0000-0000300A0000}"/>
    <cellStyle name="Accent1 35 2 2" xfId="2609" xr:uid="{00000000-0005-0000-0000-0000310A0000}"/>
    <cellStyle name="Accent1 35 3" xfId="2610" xr:uid="{00000000-0005-0000-0000-0000320A0000}"/>
    <cellStyle name="Accent1 36" xfId="2611" xr:uid="{00000000-0005-0000-0000-0000330A0000}"/>
    <cellStyle name="Accent1 36 2" xfId="2612" xr:uid="{00000000-0005-0000-0000-0000340A0000}"/>
    <cellStyle name="Accent1 36 2 2" xfId="2613" xr:uid="{00000000-0005-0000-0000-0000350A0000}"/>
    <cellStyle name="Accent1 36 3" xfId="2614" xr:uid="{00000000-0005-0000-0000-0000360A0000}"/>
    <cellStyle name="Accent1 37" xfId="2615" xr:uid="{00000000-0005-0000-0000-0000370A0000}"/>
    <cellStyle name="Accent1 37 2" xfId="2616" xr:uid="{00000000-0005-0000-0000-0000380A0000}"/>
    <cellStyle name="Accent1 37 2 2" xfId="2617" xr:uid="{00000000-0005-0000-0000-0000390A0000}"/>
    <cellStyle name="Accent1 37 3" xfId="2618" xr:uid="{00000000-0005-0000-0000-00003A0A0000}"/>
    <cellStyle name="Accent1 38" xfId="2619" xr:uid="{00000000-0005-0000-0000-00003B0A0000}"/>
    <cellStyle name="Accent1 38 2" xfId="2620" xr:uid="{00000000-0005-0000-0000-00003C0A0000}"/>
    <cellStyle name="Accent1 38 2 2" xfId="2621" xr:uid="{00000000-0005-0000-0000-00003D0A0000}"/>
    <cellStyle name="Accent1 38 3" xfId="2622" xr:uid="{00000000-0005-0000-0000-00003E0A0000}"/>
    <cellStyle name="Accent1 39" xfId="2623" xr:uid="{00000000-0005-0000-0000-00003F0A0000}"/>
    <cellStyle name="Accent1 39 2" xfId="2624" xr:uid="{00000000-0005-0000-0000-0000400A0000}"/>
    <cellStyle name="Accent1 39 2 2" xfId="2625" xr:uid="{00000000-0005-0000-0000-0000410A0000}"/>
    <cellStyle name="Accent1 39 3" xfId="2626" xr:uid="{00000000-0005-0000-0000-0000420A0000}"/>
    <cellStyle name="Accent1 4" xfId="2627" xr:uid="{00000000-0005-0000-0000-0000430A0000}"/>
    <cellStyle name="Accent1 4 2" xfId="2628" xr:uid="{00000000-0005-0000-0000-0000440A0000}"/>
    <cellStyle name="Accent1 4 2 2" xfId="2629" xr:uid="{00000000-0005-0000-0000-0000450A0000}"/>
    <cellStyle name="Accent1 4 2 2 2" xfId="2630" xr:uid="{00000000-0005-0000-0000-0000460A0000}"/>
    <cellStyle name="Accent1 4 2 3" xfId="2631" xr:uid="{00000000-0005-0000-0000-0000470A0000}"/>
    <cellStyle name="Accent1 4 2 3 2" xfId="2632" xr:uid="{00000000-0005-0000-0000-0000480A0000}"/>
    <cellStyle name="Accent1 4 2 3 2 2" xfId="2633" xr:uid="{00000000-0005-0000-0000-0000490A0000}"/>
    <cellStyle name="Accent1 4 2 3 3" xfId="2634" xr:uid="{00000000-0005-0000-0000-00004A0A0000}"/>
    <cellStyle name="Accent1 4 2 4" xfId="2635" xr:uid="{00000000-0005-0000-0000-00004B0A0000}"/>
    <cellStyle name="Accent1 4 3" xfId="2636" xr:uid="{00000000-0005-0000-0000-00004C0A0000}"/>
    <cellStyle name="Accent1 4 3 2" xfId="2637" xr:uid="{00000000-0005-0000-0000-00004D0A0000}"/>
    <cellStyle name="Accent1 4 3 2 2" xfId="2638" xr:uid="{00000000-0005-0000-0000-00004E0A0000}"/>
    <cellStyle name="Accent1 4 3 3" xfId="2639" xr:uid="{00000000-0005-0000-0000-00004F0A0000}"/>
    <cellStyle name="Accent1 4 3 3 2" xfId="2640" xr:uid="{00000000-0005-0000-0000-0000500A0000}"/>
    <cellStyle name="Accent1 4 3 3 2 2" xfId="2641" xr:uid="{00000000-0005-0000-0000-0000510A0000}"/>
    <cellStyle name="Accent1 4 3 3 3" xfId="2642" xr:uid="{00000000-0005-0000-0000-0000520A0000}"/>
    <cellStyle name="Accent1 4 3 4" xfId="2643" xr:uid="{00000000-0005-0000-0000-0000530A0000}"/>
    <cellStyle name="Accent1 4 4" xfId="2644" xr:uid="{00000000-0005-0000-0000-0000540A0000}"/>
    <cellStyle name="Accent1 4 4 2" xfId="2645" xr:uid="{00000000-0005-0000-0000-0000550A0000}"/>
    <cellStyle name="Accent1 4 4 2 2" xfId="2646" xr:uid="{00000000-0005-0000-0000-0000560A0000}"/>
    <cellStyle name="Accent1 4 4 3" xfId="2647" xr:uid="{00000000-0005-0000-0000-0000570A0000}"/>
    <cellStyle name="Accent1 4 5" xfId="2648" xr:uid="{00000000-0005-0000-0000-0000580A0000}"/>
    <cellStyle name="Accent1 4 5 2" xfId="2649" xr:uid="{00000000-0005-0000-0000-0000590A0000}"/>
    <cellStyle name="Accent1 4 6" xfId="2650" xr:uid="{00000000-0005-0000-0000-00005A0A0000}"/>
    <cellStyle name="Accent1 4 6 2" xfId="2651" xr:uid="{00000000-0005-0000-0000-00005B0A0000}"/>
    <cellStyle name="Accent1 4 7" xfId="2652" xr:uid="{00000000-0005-0000-0000-00005C0A0000}"/>
    <cellStyle name="Accent1 40" xfId="2653" xr:uid="{00000000-0005-0000-0000-00005D0A0000}"/>
    <cellStyle name="Accent1 40 2" xfId="2654" xr:uid="{00000000-0005-0000-0000-00005E0A0000}"/>
    <cellStyle name="Accent1 40 2 2" xfId="2655" xr:uid="{00000000-0005-0000-0000-00005F0A0000}"/>
    <cellStyle name="Accent1 40 3" xfId="2656" xr:uid="{00000000-0005-0000-0000-0000600A0000}"/>
    <cellStyle name="Accent1 41" xfId="2657" xr:uid="{00000000-0005-0000-0000-0000610A0000}"/>
    <cellStyle name="Accent1 41 2" xfId="2658" xr:uid="{00000000-0005-0000-0000-0000620A0000}"/>
    <cellStyle name="Accent1 41 2 2" xfId="2659" xr:uid="{00000000-0005-0000-0000-0000630A0000}"/>
    <cellStyle name="Accent1 41 3" xfId="2660" xr:uid="{00000000-0005-0000-0000-0000640A0000}"/>
    <cellStyle name="Accent1 42" xfId="2661" xr:uid="{00000000-0005-0000-0000-0000650A0000}"/>
    <cellStyle name="Accent1 42 2" xfId="2662" xr:uid="{00000000-0005-0000-0000-0000660A0000}"/>
    <cellStyle name="Accent1 42 2 2" xfId="2663" xr:uid="{00000000-0005-0000-0000-0000670A0000}"/>
    <cellStyle name="Accent1 42 3" xfId="2664" xr:uid="{00000000-0005-0000-0000-0000680A0000}"/>
    <cellStyle name="Accent1 43" xfId="2665" xr:uid="{00000000-0005-0000-0000-0000690A0000}"/>
    <cellStyle name="Accent1 43 2" xfId="2666" xr:uid="{00000000-0005-0000-0000-00006A0A0000}"/>
    <cellStyle name="Accent1 43 2 2" xfId="2667" xr:uid="{00000000-0005-0000-0000-00006B0A0000}"/>
    <cellStyle name="Accent1 43 3" xfId="2668" xr:uid="{00000000-0005-0000-0000-00006C0A0000}"/>
    <cellStyle name="Accent1 44" xfId="2669" xr:uid="{00000000-0005-0000-0000-00006D0A0000}"/>
    <cellStyle name="Accent1 44 2" xfId="2670" xr:uid="{00000000-0005-0000-0000-00006E0A0000}"/>
    <cellStyle name="Accent1 44 2 2" xfId="2671" xr:uid="{00000000-0005-0000-0000-00006F0A0000}"/>
    <cellStyle name="Accent1 44 3" xfId="2672" xr:uid="{00000000-0005-0000-0000-0000700A0000}"/>
    <cellStyle name="Accent1 45" xfId="2673" xr:uid="{00000000-0005-0000-0000-0000710A0000}"/>
    <cellStyle name="Accent1 45 2" xfId="2674" xr:uid="{00000000-0005-0000-0000-0000720A0000}"/>
    <cellStyle name="Accent1 45 2 2" xfId="2675" xr:uid="{00000000-0005-0000-0000-0000730A0000}"/>
    <cellStyle name="Accent1 45 3" xfId="2676" xr:uid="{00000000-0005-0000-0000-0000740A0000}"/>
    <cellStyle name="Accent1 46" xfId="2677" xr:uid="{00000000-0005-0000-0000-0000750A0000}"/>
    <cellStyle name="Accent1 46 2" xfId="2678" xr:uid="{00000000-0005-0000-0000-0000760A0000}"/>
    <cellStyle name="Accent1 46 2 2" xfId="2679" xr:uid="{00000000-0005-0000-0000-0000770A0000}"/>
    <cellStyle name="Accent1 46 3" xfId="2680" xr:uid="{00000000-0005-0000-0000-0000780A0000}"/>
    <cellStyle name="Accent1 47" xfId="2681" xr:uid="{00000000-0005-0000-0000-0000790A0000}"/>
    <cellStyle name="Accent1 47 2" xfId="2682" xr:uid="{00000000-0005-0000-0000-00007A0A0000}"/>
    <cellStyle name="Accent1 47 2 2" xfId="2683" xr:uid="{00000000-0005-0000-0000-00007B0A0000}"/>
    <cellStyle name="Accent1 47 3" xfId="2684" xr:uid="{00000000-0005-0000-0000-00007C0A0000}"/>
    <cellStyle name="Accent1 48" xfId="2685" xr:uid="{00000000-0005-0000-0000-00007D0A0000}"/>
    <cellStyle name="Accent1 48 2" xfId="2686" xr:uid="{00000000-0005-0000-0000-00007E0A0000}"/>
    <cellStyle name="Accent1 48 2 2" xfId="2687" xr:uid="{00000000-0005-0000-0000-00007F0A0000}"/>
    <cellStyle name="Accent1 48 3" xfId="2688" xr:uid="{00000000-0005-0000-0000-0000800A0000}"/>
    <cellStyle name="Accent1 48 3 2" xfId="2689" xr:uid="{00000000-0005-0000-0000-0000810A0000}"/>
    <cellStyle name="Accent1 48 3 2 2" xfId="2690" xr:uid="{00000000-0005-0000-0000-0000820A0000}"/>
    <cellStyle name="Accent1 48 3 3" xfId="2691" xr:uid="{00000000-0005-0000-0000-0000830A0000}"/>
    <cellStyle name="Accent1 48 4" xfId="2692" xr:uid="{00000000-0005-0000-0000-0000840A0000}"/>
    <cellStyle name="Accent1 49" xfId="2693" xr:uid="{00000000-0005-0000-0000-0000850A0000}"/>
    <cellStyle name="Accent1 49 2" xfId="2694" xr:uid="{00000000-0005-0000-0000-0000860A0000}"/>
    <cellStyle name="Accent1 49 2 2" xfId="2695" xr:uid="{00000000-0005-0000-0000-0000870A0000}"/>
    <cellStyle name="Accent1 49 3" xfId="2696" xr:uid="{00000000-0005-0000-0000-0000880A0000}"/>
    <cellStyle name="Accent1 49 3 2" xfId="2697" xr:uid="{00000000-0005-0000-0000-0000890A0000}"/>
    <cellStyle name="Accent1 49 3 2 2" xfId="2698" xr:uid="{00000000-0005-0000-0000-00008A0A0000}"/>
    <cellStyle name="Accent1 49 3 3" xfId="2699" xr:uid="{00000000-0005-0000-0000-00008B0A0000}"/>
    <cellStyle name="Accent1 49 4" xfId="2700" xr:uid="{00000000-0005-0000-0000-00008C0A0000}"/>
    <cellStyle name="Accent1 5" xfId="2701" xr:uid="{00000000-0005-0000-0000-00008D0A0000}"/>
    <cellStyle name="Accent1 5 2" xfId="2702" xr:uid="{00000000-0005-0000-0000-00008E0A0000}"/>
    <cellStyle name="Accent1 5 2 2" xfId="2703" xr:uid="{00000000-0005-0000-0000-00008F0A0000}"/>
    <cellStyle name="Accent1 5 2 2 2" xfId="2704" xr:uid="{00000000-0005-0000-0000-0000900A0000}"/>
    <cellStyle name="Accent1 5 2 3" xfId="2705" xr:uid="{00000000-0005-0000-0000-0000910A0000}"/>
    <cellStyle name="Accent1 5 2 3 2" xfId="2706" xr:uid="{00000000-0005-0000-0000-0000920A0000}"/>
    <cellStyle name="Accent1 5 2 3 2 2" xfId="2707" xr:uid="{00000000-0005-0000-0000-0000930A0000}"/>
    <cellStyle name="Accent1 5 2 3 3" xfId="2708" xr:uid="{00000000-0005-0000-0000-0000940A0000}"/>
    <cellStyle name="Accent1 5 2 4" xfId="2709" xr:uid="{00000000-0005-0000-0000-0000950A0000}"/>
    <cellStyle name="Accent1 5 3" xfId="2710" xr:uid="{00000000-0005-0000-0000-0000960A0000}"/>
    <cellStyle name="Accent1 5 3 2" xfId="2711" xr:uid="{00000000-0005-0000-0000-0000970A0000}"/>
    <cellStyle name="Accent1 5 3 2 2" xfId="2712" xr:uid="{00000000-0005-0000-0000-0000980A0000}"/>
    <cellStyle name="Accent1 5 3 3" xfId="2713" xr:uid="{00000000-0005-0000-0000-0000990A0000}"/>
    <cellStyle name="Accent1 5 3 3 2" xfId="2714" xr:uid="{00000000-0005-0000-0000-00009A0A0000}"/>
    <cellStyle name="Accent1 5 3 3 2 2" xfId="2715" xr:uid="{00000000-0005-0000-0000-00009B0A0000}"/>
    <cellStyle name="Accent1 5 3 3 3" xfId="2716" xr:uid="{00000000-0005-0000-0000-00009C0A0000}"/>
    <cellStyle name="Accent1 5 3 4" xfId="2717" xr:uid="{00000000-0005-0000-0000-00009D0A0000}"/>
    <cellStyle name="Accent1 5 4" xfId="2718" xr:uid="{00000000-0005-0000-0000-00009E0A0000}"/>
    <cellStyle name="Accent1 5 4 2" xfId="2719" xr:uid="{00000000-0005-0000-0000-00009F0A0000}"/>
    <cellStyle name="Accent1 5 5" xfId="2720" xr:uid="{00000000-0005-0000-0000-0000A00A0000}"/>
    <cellStyle name="Accent1 5 5 2" xfId="2721" xr:uid="{00000000-0005-0000-0000-0000A10A0000}"/>
    <cellStyle name="Accent1 5 6" xfId="2722" xr:uid="{00000000-0005-0000-0000-0000A20A0000}"/>
    <cellStyle name="Accent1 50" xfId="2723" xr:uid="{00000000-0005-0000-0000-0000A30A0000}"/>
    <cellStyle name="Accent1 50 2" xfId="2724" xr:uid="{00000000-0005-0000-0000-0000A40A0000}"/>
    <cellStyle name="Accent1 50 2 2" xfId="2725" xr:uid="{00000000-0005-0000-0000-0000A50A0000}"/>
    <cellStyle name="Accent1 50 3" xfId="2726" xr:uid="{00000000-0005-0000-0000-0000A60A0000}"/>
    <cellStyle name="Accent1 50 3 2" xfId="2727" xr:uid="{00000000-0005-0000-0000-0000A70A0000}"/>
    <cellStyle name="Accent1 50 3 2 2" xfId="2728" xr:uid="{00000000-0005-0000-0000-0000A80A0000}"/>
    <cellStyle name="Accent1 50 3 3" xfId="2729" xr:uid="{00000000-0005-0000-0000-0000A90A0000}"/>
    <cellStyle name="Accent1 50 4" xfId="2730" xr:uid="{00000000-0005-0000-0000-0000AA0A0000}"/>
    <cellStyle name="Accent1 51" xfId="2731" xr:uid="{00000000-0005-0000-0000-0000AB0A0000}"/>
    <cellStyle name="Accent1 51 2" xfId="2732" xr:uid="{00000000-0005-0000-0000-0000AC0A0000}"/>
    <cellStyle name="Accent1 51 2 2" xfId="2733" xr:uid="{00000000-0005-0000-0000-0000AD0A0000}"/>
    <cellStyle name="Accent1 51 3" xfId="2734" xr:uid="{00000000-0005-0000-0000-0000AE0A0000}"/>
    <cellStyle name="Accent1 51 3 2" xfId="2735" xr:uid="{00000000-0005-0000-0000-0000AF0A0000}"/>
    <cellStyle name="Accent1 51 3 2 2" xfId="2736" xr:uid="{00000000-0005-0000-0000-0000B00A0000}"/>
    <cellStyle name="Accent1 51 3 3" xfId="2737" xr:uid="{00000000-0005-0000-0000-0000B10A0000}"/>
    <cellStyle name="Accent1 51 4" xfId="2738" xr:uid="{00000000-0005-0000-0000-0000B20A0000}"/>
    <cellStyle name="Accent1 52" xfId="2739" xr:uid="{00000000-0005-0000-0000-0000B30A0000}"/>
    <cellStyle name="Accent1 52 2" xfId="2740" xr:uid="{00000000-0005-0000-0000-0000B40A0000}"/>
    <cellStyle name="Accent1 52 2 2" xfId="2741" xr:uid="{00000000-0005-0000-0000-0000B50A0000}"/>
    <cellStyle name="Accent1 52 3" xfId="2742" xr:uid="{00000000-0005-0000-0000-0000B60A0000}"/>
    <cellStyle name="Accent1 53" xfId="2743" xr:uid="{00000000-0005-0000-0000-0000B70A0000}"/>
    <cellStyle name="Accent1 53 2" xfId="2744" xr:uid="{00000000-0005-0000-0000-0000B80A0000}"/>
    <cellStyle name="Accent1 53 2 2" xfId="2745" xr:uid="{00000000-0005-0000-0000-0000B90A0000}"/>
    <cellStyle name="Accent1 53 3" xfId="2746" xr:uid="{00000000-0005-0000-0000-0000BA0A0000}"/>
    <cellStyle name="Accent1 54" xfId="2747" xr:uid="{00000000-0005-0000-0000-0000BB0A0000}"/>
    <cellStyle name="Accent1 54 2" xfId="2748" xr:uid="{00000000-0005-0000-0000-0000BC0A0000}"/>
    <cellStyle name="Accent1 54 2 2" xfId="2749" xr:uid="{00000000-0005-0000-0000-0000BD0A0000}"/>
    <cellStyle name="Accent1 54 3" xfId="2750" xr:uid="{00000000-0005-0000-0000-0000BE0A0000}"/>
    <cellStyle name="Accent1 55" xfId="2751" xr:uid="{00000000-0005-0000-0000-0000BF0A0000}"/>
    <cellStyle name="Accent1 55 2" xfId="2752" xr:uid="{00000000-0005-0000-0000-0000C00A0000}"/>
    <cellStyle name="Accent1 55 2 2" xfId="2753" xr:uid="{00000000-0005-0000-0000-0000C10A0000}"/>
    <cellStyle name="Accent1 55 3" xfId="2754" xr:uid="{00000000-0005-0000-0000-0000C20A0000}"/>
    <cellStyle name="Accent1 56" xfId="2755" xr:uid="{00000000-0005-0000-0000-0000C30A0000}"/>
    <cellStyle name="Accent1 56 2" xfId="2756" xr:uid="{00000000-0005-0000-0000-0000C40A0000}"/>
    <cellStyle name="Accent1 56 2 2" xfId="2757" xr:uid="{00000000-0005-0000-0000-0000C50A0000}"/>
    <cellStyle name="Accent1 56 3" xfId="2758" xr:uid="{00000000-0005-0000-0000-0000C60A0000}"/>
    <cellStyle name="Accent1 57" xfId="2759" xr:uid="{00000000-0005-0000-0000-0000C70A0000}"/>
    <cellStyle name="Accent1 57 2" xfId="2760" xr:uid="{00000000-0005-0000-0000-0000C80A0000}"/>
    <cellStyle name="Accent1 57 2 2" xfId="2761" xr:uid="{00000000-0005-0000-0000-0000C90A0000}"/>
    <cellStyle name="Accent1 57 3" xfId="2762" xr:uid="{00000000-0005-0000-0000-0000CA0A0000}"/>
    <cellStyle name="Accent1 58" xfId="2763" xr:uid="{00000000-0005-0000-0000-0000CB0A0000}"/>
    <cellStyle name="Accent1 58 2" xfId="2764" xr:uid="{00000000-0005-0000-0000-0000CC0A0000}"/>
    <cellStyle name="Accent1 58 2 2" xfId="2765" xr:uid="{00000000-0005-0000-0000-0000CD0A0000}"/>
    <cellStyle name="Accent1 58 3" xfId="2766" xr:uid="{00000000-0005-0000-0000-0000CE0A0000}"/>
    <cellStyle name="Accent1 58 3 2" xfId="2767" xr:uid="{00000000-0005-0000-0000-0000CF0A0000}"/>
    <cellStyle name="Accent1 58 3 2 2" xfId="2768" xr:uid="{00000000-0005-0000-0000-0000D00A0000}"/>
    <cellStyle name="Accent1 58 3 3" xfId="2769" xr:uid="{00000000-0005-0000-0000-0000D10A0000}"/>
    <cellStyle name="Accent1 58 4" xfId="2770" xr:uid="{00000000-0005-0000-0000-0000D20A0000}"/>
    <cellStyle name="Accent1 59" xfId="2771" xr:uid="{00000000-0005-0000-0000-0000D30A0000}"/>
    <cellStyle name="Accent1 59 2" xfId="2772" xr:uid="{00000000-0005-0000-0000-0000D40A0000}"/>
    <cellStyle name="Accent1 59 2 2" xfId="2773" xr:uid="{00000000-0005-0000-0000-0000D50A0000}"/>
    <cellStyle name="Accent1 59 3" xfId="2774" xr:uid="{00000000-0005-0000-0000-0000D60A0000}"/>
    <cellStyle name="Accent1 59 3 2" xfId="2775" xr:uid="{00000000-0005-0000-0000-0000D70A0000}"/>
    <cellStyle name="Accent1 59 3 2 2" xfId="2776" xr:uid="{00000000-0005-0000-0000-0000D80A0000}"/>
    <cellStyle name="Accent1 59 3 3" xfId="2777" xr:uid="{00000000-0005-0000-0000-0000D90A0000}"/>
    <cellStyle name="Accent1 59 4" xfId="2778" xr:uid="{00000000-0005-0000-0000-0000DA0A0000}"/>
    <cellStyle name="Accent1 6" xfId="2779" xr:uid="{00000000-0005-0000-0000-0000DB0A0000}"/>
    <cellStyle name="Accent1 6 2" xfId="2780" xr:uid="{00000000-0005-0000-0000-0000DC0A0000}"/>
    <cellStyle name="Accent1 6 2 2" xfId="2781" xr:uid="{00000000-0005-0000-0000-0000DD0A0000}"/>
    <cellStyle name="Accent1 6 2 2 2" xfId="2782" xr:uid="{00000000-0005-0000-0000-0000DE0A0000}"/>
    <cellStyle name="Accent1 6 2 3" xfId="2783" xr:uid="{00000000-0005-0000-0000-0000DF0A0000}"/>
    <cellStyle name="Accent1 6 2 3 2" xfId="2784" xr:uid="{00000000-0005-0000-0000-0000E00A0000}"/>
    <cellStyle name="Accent1 6 2 3 2 2" xfId="2785" xr:uid="{00000000-0005-0000-0000-0000E10A0000}"/>
    <cellStyle name="Accent1 6 2 3 3" xfId="2786" xr:uid="{00000000-0005-0000-0000-0000E20A0000}"/>
    <cellStyle name="Accent1 6 2 4" xfId="2787" xr:uid="{00000000-0005-0000-0000-0000E30A0000}"/>
    <cellStyle name="Accent1 6 3" xfId="2788" xr:uid="{00000000-0005-0000-0000-0000E40A0000}"/>
    <cellStyle name="Accent1 6 3 2" xfId="2789" xr:uid="{00000000-0005-0000-0000-0000E50A0000}"/>
    <cellStyle name="Accent1 6 4" xfId="2790" xr:uid="{00000000-0005-0000-0000-0000E60A0000}"/>
    <cellStyle name="Accent1 60" xfId="2791" xr:uid="{00000000-0005-0000-0000-0000E70A0000}"/>
    <cellStyle name="Accent1 60 2" xfId="2792" xr:uid="{00000000-0005-0000-0000-0000E80A0000}"/>
    <cellStyle name="Accent1 60 2 2" xfId="2793" xr:uid="{00000000-0005-0000-0000-0000E90A0000}"/>
    <cellStyle name="Accent1 60 3" xfId="2794" xr:uid="{00000000-0005-0000-0000-0000EA0A0000}"/>
    <cellStyle name="Accent1 60 3 2" xfId="2795" xr:uid="{00000000-0005-0000-0000-0000EB0A0000}"/>
    <cellStyle name="Accent1 60 3 2 2" xfId="2796" xr:uid="{00000000-0005-0000-0000-0000EC0A0000}"/>
    <cellStyle name="Accent1 60 3 3" xfId="2797" xr:uid="{00000000-0005-0000-0000-0000ED0A0000}"/>
    <cellStyle name="Accent1 60 4" xfId="2798" xr:uid="{00000000-0005-0000-0000-0000EE0A0000}"/>
    <cellStyle name="Accent1 61" xfId="2799" xr:uid="{00000000-0005-0000-0000-0000EF0A0000}"/>
    <cellStyle name="Accent1 61 2" xfId="2800" xr:uid="{00000000-0005-0000-0000-0000F00A0000}"/>
    <cellStyle name="Accent1 61 2 2" xfId="2801" xr:uid="{00000000-0005-0000-0000-0000F10A0000}"/>
    <cellStyle name="Accent1 61 3" xfId="2802" xr:uid="{00000000-0005-0000-0000-0000F20A0000}"/>
    <cellStyle name="Accent1 61 3 2" xfId="2803" xr:uid="{00000000-0005-0000-0000-0000F30A0000}"/>
    <cellStyle name="Accent1 61 3 2 2" xfId="2804" xr:uid="{00000000-0005-0000-0000-0000F40A0000}"/>
    <cellStyle name="Accent1 61 3 3" xfId="2805" xr:uid="{00000000-0005-0000-0000-0000F50A0000}"/>
    <cellStyle name="Accent1 61 4" xfId="2806" xr:uid="{00000000-0005-0000-0000-0000F60A0000}"/>
    <cellStyle name="Accent1 62" xfId="2807" xr:uid="{00000000-0005-0000-0000-0000F70A0000}"/>
    <cellStyle name="Accent1 62 2" xfId="2808" xr:uid="{00000000-0005-0000-0000-0000F80A0000}"/>
    <cellStyle name="Accent1 62 2 2" xfId="2809" xr:uid="{00000000-0005-0000-0000-0000F90A0000}"/>
    <cellStyle name="Accent1 62 3" xfId="2810" xr:uid="{00000000-0005-0000-0000-0000FA0A0000}"/>
    <cellStyle name="Accent1 62 3 2" xfId="2811" xr:uid="{00000000-0005-0000-0000-0000FB0A0000}"/>
    <cellStyle name="Accent1 62 3 2 2" xfId="2812" xr:uid="{00000000-0005-0000-0000-0000FC0A0000}"/>
    <cellStyle name="Accent1 62 3 3" xfId="2813" xr:uid="{00000000-0005-0000-0000-0000FD0A0000}"/>
    <cellStyle name="Accent1 62 4" xfId="2814" xr:uid="{00000000-0005-0000-0000-0000FE0A0000}"/>
    <cellStyle name="Accent1 63" xfId="2815" xr:uid="{00000000-0005-0000-0000-0000FF0A0000}"/>
    <cellStyle name="Accent1 63 2" xfId="2816" xr:uid="{00000000-0005-0000-0000-0000000B0000}"/>
    <cellStyle name="Accent1 63 2 2" xfId="2817" xr:uid="{00000000-0005-0000-0000-0000010B0000}"/>
    <cellStyle name="Accent1 63 3" xfId="2818" xr:uid="{00000000-0005-0000-0000-0000020B0000}"/>
    <cellStyle name="Accent1 63 3 2" xfId="2819" xr:uid="{00000000-0005-0000-0000-0000030B0000}"/>
    <cellStyle name="Accent1 63 3 2 2" xfId="2820" xr:uid="{00000000-0005-0000-0000-0000040B0000}"/>
    <cellStyle name="Accent1 63 3 3" xfId="2821" xr:uid="{00000000-0005-0000-0000-0000050B0000}"/>
    <cellStyle name="Accent1 63 4" xfId="2822" xr:uid="{00000000-0005-0000-0000-0000060B0000}"/>
    <cellStyle name="Accent1 64" xfId="2823" xr:uid="{00000000-0005-0000-0000-0000070B0000}"/>
    <cellStyle name="Accent1 64 2" xfId="2824" xr:uid="{00000000-0005-0000-0000-0000080B0000}"/>
    <cellStyle name="Accent1 64 2 2" xfId="2825" xr:uid="{00000000-0005-0000-0000-0000090B0000}"/>
    <cellStyle name="Accent1 64 3" xfId="2826" xr:uid="{00000000-0005-0000-0000-00000A0B0000}"/>
    <cellStyle name="Accent1 64 3 2" xfId="2827" xr:uid="{00000000-0005-0000-0000-00000B0B0000}"/>
    <cellStyle name="Accent1 64 3 2 2" xfId="2828" xr:uid="{00000000-0005-0000-0000-00000C0B0000}"/>
    <cellStyle name="Accent1 64 3 3" xfId="2829" xr:uid="{00000000-0005-0000-0000-00000D0B0000}"/>
    <cellStyle name="Accent1 64 4" xfId="2830" xr:uid="{00000000-0005-0000-0000-00000E0B0000}"/>
    <cellStyle name="Accent1 65" xfId="2831" xr:uid="{00000000-0005-0000-0000-00000F0B0000}"/>
    <cellStyle name="Accent1 65 2" xfId="2832" xr:uid="{00000000-0005-0000-0000-0000100B0000}"/>
    <cellStyle name="Accent1 65 2 2" xfId="2833" xr:uid="{00000000-0005-0000-0000-0000110B0000}"/>
    <cellStyle name="Accent1 65 3" xfId="2834" xr:uid="{00000000-0005-0000-0000-0000120B0000}"/>
    <cellStyle name="Accent1 65 3 2" xfId="2835" xr:uid="{00000000-0005-0000-0000-0000130B0000}"/>
    <cellStyle name="Accent1 65 3 2 2" xfId="2836" xr:uid="{00000000-0005-0000-0000-0000140B0000}"/>
    <cellStyle name="Accent1 65 3 3" xfId="2837" xr:uid="{00000000-0005-0000-0000-0000150B0000}"/>
    <cellStyle name="Accent1 65 4" xfId="2838" xr:uid="{00000000-0005-0000-0000-0000160B0000}"/>
    <cellStyle name="Accent1 66" xfId="2839" xr:uid="{00000000-0005-0000-0000-0000170B0000}"/>
    <cellStyle name="Accent1 66 2" xfId="2840" xr:uid="{00000000-0005-0000-0000-0000180B0000}"/>
    <cellStyle name="Accent1 66 2 2" xfId="2841" xr:uid="{00000000-0005-0000-0000-0000190B0000}"/>
    <cellStyle name="Accent1 66 3" xfId="2842" xr:uid="{00000000-0005-0000-0000-00001A0B0000}"/>
    <cellStyle name="Accent1 66 3 2" xfId="2843" xr:uid="{00000000-0005-0000-0000-00001B0B0000}"/>
    <cellStyle name="Accent1 66 3 2 2" xfId="2844" xr:uid="{00000000-0005-0000-0000-00001C0B0000}"/>
    <cellStyle name="Accent1 66 3 3" xfId="2845" xr:uid="{00000000-0005-0000-0000-00001D0B0000}"/>
    <cellStyle name="Accent1 66 4" xfId="2846" xr:uid="{00000000-0005-0000-0000-00001E0B0000}"/>
    <cellStyle name="Accent1 67" xfId="2847" xr:uid="{00000000-0005-0000-0000-00001F0B0000}"/>
    <cellStyle name="Accent1 67 2" xfId="2848" xr:uid="{00000000-0005-0000-0000-0000200B0000}"/>
    <cellStyle name="Accent1 67 2 2" xfId="2849" xr:uid="{00000000-0005-0000-0000-0000210B0000}"/>
    <cellStyle name="Accent1 67 3" xfId="2850" xr:uid="{00000000-0005-0000-0000-0000220B0000}"/>
    <cellStyle name="Accent1 67 3 2" xfId="2851" xr:uid="{00000000-0005-0000-0000-0000230B0000}"/>
    <cellStyle name="Accent1 67 3 2 2" xfId="2852" xr:uid="{00000000-0005-0000-0000-0000240B0000}"/>
    <cellStyle name="Accent1 67 3 3" xfId="2853" xr:uid="{00000000-0005-0000-0000-0000250B0000}"/>
    <cellStyle name="Accent1 67 4" xfId="2854" xr:uid="{00000000-0005-0000-0000-0000260B0000}"/>
    <cellStyle name="Accent1 68" xfId="2855" xr:uid="{00000000-0005-0000-0000-0000270B0000}"/>
    <cellStyle name="Accent1 68 2" xfId="2856" xr:uid="{00000000-0005-0000-0000-0000280B0000}"/>
    <cellStyle name="Accent1 68 2 2" xfId="2857" xr:uid="{00000000-0005-0000-0000-0000290B0000}"/>
    <cellStyle name="Accent1 68 3" xfId="2858" xr:uid="{00000000-0005-0000-0000-00002A0B0000}"/>
    <cellStyle name="Accent1 68 3 2" xfId="2859" xr:uid="{00000000-0005-0000-0000-00002B0B0000}"/>
    <cellStyle name="Accent1 68 3 2 2" xfId="2860" xr:uid="{00000000-0005-0000-0000-00002C0B0000}"/>
    <cellStyle name="Accent1 68 3 3" xfId="2861" xr:uid="{00000000-0005-0000-0000-00002D0B0000}"/>
    <cellStyle name="Accent1 68 4" xfId="2862" xr:uid="{00000000-0005-0000-0000-00002E0B0000}"/>
    <cellStyle name="Accent1 69" xfId="2863" xr:uid="{00000000-0005-0000-0000-00002F0B0000}"/>
    <cellStyle name="Accent1 69 2" xfId="2864" xr:uid="{00000000-0005-0000-0000-0000300B0000}"/>
    <cellStyle name="Accent1 69 2 2" xfId="2865" xr:uid="{00000000-0005-0000-0000-0000310B0000}"/>
    <cellStyle name="Accent1 69 3" xfId="2866" xr:uid="{00000000-0005-0000-0000-0000320B0000}"/>
    <cellStyle name="Accent1 69 3 2" xfId="2867" xr:uid="{00000000-0005-0000-0000-0000330B0000}"/>
    <cellStyle name="Accent1 69 3 2 2" xfId="2868" xr:uid="{00000000-0005-0000-0000-0000340B0000}"/>
    <cellStyle name="Accent1 69 3 3" xfId="2869" xr:uid="{00000000-0005-0000-0000-0000350B0000}"/>
    <cellStyle name="Accent1 69 4" xfId="2870" xr:uid="{00000000-0005-0000-0000-0000360B0000}"/>
    <cellStyle name="Accent1 7" xfId="2871" xr:uid="{00000000-0005-0000-0000-0000370B0000}"/>
    <cellStyle name="Accent1 7 2" xfId="2872" xr:uid="{00000000-0005-0000-0000-0000380B0000}"/>
    <cellStyle name="Accent1 7 2 2" xfId="2873" xr:uid="{00000000-0005-0000-0000-0000390B0000}"/>
    <cellStyle name="Accent1 7 2 2 2" xfId="2874" xr:uid="{00000000-0005-0000-0000-00003A0B0000}"/>
    <cellStyle name="Accent1 7 2 3" xfId="2875" xr:uid="{00000000-0005-0000-0000-00003B0B0000}"/>
    <cellStyle name="Accent1 7 2 3 2" xfId="2876" xr:uid="{00000000-0005-0000-0000-00003C0B0000}"/>
    <cellStyle name="Accent1 7 2 3 2 2" xfId="2877" xr:uid="{00000000-0005-0000-0000-00003D0B0000}"/>
    <cellStyle name="Accent1 7 2 3 3" xfId="2878" xr:uid="{00000000-0005-0000-0000-00003E0B0000}"/>
    <cellStyle name="Accent1 7 2 4" xfId="2879" xr:uid="{00000000-0005-0000-0000-00003F0B0000}"/>
    <cellStyle name="Accent1 7 3" xfId="2880" xr:uid="{00000000-0005-0000-0000-0000400B0000}"/>
    <cellStyle name="Accent1 7 3 2" xfId="2881" xr:uid="{00000000-0005-0000-0000-0000410B0000}"/>
    <cellStyle name="Accent1 7 4" xfId="2882" xr:uid="{00000000-0005-0000-0000-0000420B0000}"/>
    <cellStyle name="Accent1 70" xfId="2883" xr:uid="{00000000-0005-0000-0000-0000430B0000}"/>
    <cellStyle name="Accent1 70 2" xfId="2884" xr:uid="{00000000-0005-0000-0000-0000440B0000}"/>
    <cellStyle name="Accent1 70 2 2" xfId="2885" xr:uid="{00000000-0005-0000-0000-0000450B0000}"/>
    <cellStyle name="Accent1 70 3" xfId="2886" xr:uid="{00000000-0005-0000-0000-0000460B0000}"/>
    <cellStyle name="Accent1 70 3 2" xfId="2887" xr:uid="{00000000-0005-0000-0000-0000470B0000}"/>
    <cellStyle name="Accent1 70 3 2 2" xfId="2888" xr:uid="{00000000-0005-0000-0000-0000480B0000}"/>
    <cellStyle name="Accent1 70 3 3" xfId="2889" xr:uid="{00000000-0005-0000-0000-0000490B0000}"/>
    <cellStyle name="Accent1 70 4" xfId="2890" xr:uid="{00000000-0005-0000-0000-00004A0B0000}"/>
    <cellStyle name="Accent1 71" xfId="2891" xr:uid="{00000000-0005-0000-0000-00004B0B0000}"/>
    <cellStyle name="Accent1 71 2" xfId="2892" xr:uid="{00000000-0005-0000-0000-00004C0B0000}"/>
    <cellStyle name="Accent1 71 2 2" xfId="2893" xr:uid="{00000000-0005-0000-0000-00004D0B0000}"/>
    <cellStyle name="Accent1 71 3" xfId="2894" xr:uid="{00000000-0005-0000-0000-00004E0B0000}"/>
    <cellStyle name="Accent1 71 3 2" xfId="2895" xr:uid="{00000000-0005-0000-0000-00004F0B0000}"/>
    <cellStyle name="Accent1 71 3 2 2" xfId="2896" xr:uid="{00000000-0005-0000-0000-0000500B0000}"/>
    <cellStyle name="Accent1 71 3 3" xfId="2897" xr:uid="{00000000-0005-0000-0000-0000510B0000}"/>
    <cellStyle name="Accent1 71 4" xfId="2898" xr:uid="{00000000-0005-0000-0000-0000520B0000}"/>
    <cellStyle name="Accent1 72" xfId="2899" xr:uid="{00000000-0005-0000-0000-0000530B0000}"/>
    <cellStyle name="Accent1 72 2" xfId="2900" xr:uid="{00000000-0005-0000-0000-0000540B0000}"/>
    <cellStyle name="Accent1 72 2 2" xfId="2901" xr:uid="{00000000-0005-0000-0000-0000550B0000}"/>
    <cellStyle name="Accent1 72 3" xfId="2902" xr:uid="{00000000-0005-0000-0000-0000560B0000}"/>
    <cellStyle name="Accent1 72 3 2" xfId="2903" xr:uid="{00000000-0005-0000-0000-0000570B0000}"/>
    <cellStyle name="Accent1 72 3 2 2" xfId="2904" xr:uid="{00000000-0005-0000-0000-0000580B0000}"/>
    <cellStyle name="Accent1 72 3 3" xfId="2905" xr:uid="{00000000-0005-0000-0000-0000590B0000}"/>
    <cellStyle name="Accent1 72 4" xfId="2906" xr:uid="{00000000-0005-0000-0000-00005A0B0000}"/>
    <cellStyle name="Accent1 73" xfId="2907" xr:uid="{00000000-0005-0000-0000-00005B0B0000}"/>
    <cellStyle name="Accent1 73 2" xfId="2908" xr:uid="{00000000-0005-0000-0000-00005C0B0000}"/>
    <cellStyle name="Accent1 73 2 2" xfId="2909" xr:uid="{00000000-0005-0000-0000-00005D0B0000}"/>
    <cellStyle name="Accent1 73 3" xfId="2910" xr:uid="{00000000-0005-0000-0000-00005E0B0000}"/>
    <cellStyle name="Accent1 73 3 2" xfId="2911" xr:uid="{00000000-0005-0000-0000-00005F0B0000}"/>
    <cellStyle name="Accent1 73 3 2 2" xfId="2912" xr:uid="{00000000-0005-0000-0000-0000600B0000}"/>
    <cellStyle name="Accent1 73 3 3" xfId="2913" xr:uid="{00000000-0005-0000-0000-0000610B0000}"/>
    <cellStyle name="Accent1 73 4" xfId="2914" xr:uid="{00000000-0005-0000-0000-0000620B0000}"/>
    <cellStyle name="Accent1 74" xfId="2915" xr:uid="{00000000-0005-0000-0000-0000630B0000}"/>
    <cellStyle name="Accent1 74 2" xfId="2916" xr:uid="{00000000-0005-0000-0000-0000640B0000}"/>
    <cellStyle name="Accent1 74 2 2" xfId="2917" xr:uid="{00000000-0005-0000-0000-0000650B0000}"/>
    <cellStyle name="Accent1 74 3" xfId="2918" xr:uid="{00000000-0005-0000-0000-0000660B0000}"/>
    <cellStyle name="Accent1 74 3 2" xfId="2919" xr:uid="{00000000-0005-0000-0000-0000670B0000}"/>
    <cellStyle name="Accent1 74 3 2 2" xfId="2920" xr:uid="{00000000-0005-0000-0000-0000680B0000}"/>
    <cellStyle name="Accent1 74 3 3" xfId="2921" xr:uid="{00000000-0005-0000-0000-0000690B0000}"/>
    <cellStyle name="Accent1 74 4" xfId="2922" xr:uid="{00000000-0005-0000-0000-00006A0B0000}"/>
    <cellStyle name="Accent1 75" xfId="2923" xr:uid="{00000000-0005-0000-0000-00006B0B0000}"/>
    <cellStyle name="Accent1 75 2" xfId="2924" xr:uid="{00000000-0005-0000-0000-00006C0B0000}"/>
    <cellStyle name="Accent1 75 2 2" xfId="2925" xr:uid="{00000000-0005-0000-0000-00006D0B0000}"/>
    <cellStyle name="Accent1 75 3" xfId="2926" xr:uid="{00000000-0005-0000-0000-00006E0B0000}"/>
    <cellStyle name="Accent1 75 3 2" xfId="2927" xr:uid="{00000000-0005-0000-0000-00006F0B0000}"/>
    <cellStyle name="Accent1 75 3 2 2" xfId="2928" xr:uid="{00000000-0005-0000-0000-0000700B0000}"/>
    <cellStyle name="Accent1 75 3 3" xfId="2929" xr:uid="{00000000-0005-0000-0000-0000710B0000}"/>
    <cellStyle name="Accent1 75 4" xfId="2930" xr:uid="{00000000-0005-0000-0000-0000720B0000}"/>
    <cellStyle name="Accent1 76" xfId="2931" xr:uid="{00000000-0005-0000-0000-0000730B0000}"/>
    <cellStyle name="Accent1 76 2" xfId="2932" xr:uid="{00000000-0005-0000-0000-0000740B0000}"/>
    <cellStyle name="Accent1 76 2 2" xfId="2933" xr:uid="{00000000-0005-0000-0000-0000750B0000}"/>
    <cellStyle name="Accent1 76 3" xfId="2934" xr:uid="{00000000-0005-0000-0000-0000760B0000}"/>
    <cellStyle name="Accent1 76 3 2" xfId="2935" xr:uid="{00000000-0005-0000-0000-0000770B0000}"/>
    <cellStyle name="Accent1 76 3 2 2" xfId="2936" xr:uid="{00000000-0005-0000-0000-0000780B0000}"/>
    <cellStyle name="Accent1 76 3 3" xfId="2937" xr:uid="{00000000-0005-0000-0000-0000790B0000}"/>
    <cellStyle name="Accent1 76 4" xfId="2938" xr:uid="{00000000-0005-0000-0000-00007A0B0000}"/>
    <cellStyle name="Accent1 77" xfId="2939" xr:uid="{00000000-0005-0000-0000-00007B0B0000}"/>
    <cellStyle name="Accent1 77 2" xfId="2940" xr:uid="{00000000-0005-0000-0000-00007C0B0000}"/>
    <cellStyle name="Accent1 77 2 2" xfId="2941" xr:uid="{00000000-0005-0000-0000-00007D0B0000}"/>
    <cellStyle name="Accent1 77 3" xfId="2942" xr:uid="{00000000-0005-0000-0000-00007E0B0000}"/>
    <cellStyle name="Accent1 77 3 2" xfId="2943" xr:uid="{00000000-0005-0000-0000-00007F0B0000}"/>
    <cellStyle name="Accent1 77 3 2 2" xfId="2944" xr:uid="{00000000-0005-0000-0000-0000800B0000}"/>
    <cellStyle name="Accent1 77 3 3" xfId="2945" xr:uid="{00000000-0005-0000-0000-0000810B0000}"/>
    <cellStyle name="Accent1 77 4" xfId="2946" xr:uid="{00000000-0005-0000-0000-0000820B0000}"/>
    <cellStyle name="Accent1 78" xfId="2947" xr:uid="{00000000-0005-0000-0000-0000830B0000}"/>
    <cellStyle name="Accent1 78 2" xfId="2948" xr:uid="{00000000-0005-0000-0000-0000840B0000}"/>
    <cellStyle name="Accent1 78 2 2" xfId="2949" xr:uid="{00000000-0005-0000-0000-0000850B0000}"/>
    <cellStyle name="Accent1 78 3" xfId="2950" xr:uid="{00000000-0005-0000-0000-0000860B0000}"/>
    <cellStyle name="Accent1 78 3 2" xfId="2951" xr:uid="{00000000-0005-0000-0000-0000870B0000}"/>
    <cellStyle name="Accent1 78 3 2 2" xfId="2952" xr:uid="{00000000-0005-0000-0000-0000880B0000}"/>
    <cellStyle name="Accent1 78 3 3" xfId="2953" xr:uid="{00000000-0005-0000-0000-0000890B0000}"/>
    <cellStyle name="Accent1 78 4" xfId="2954" xr:uid="{00000000-0005-0000-0000-00008A0B0000}"/>
    <cellStyle name="Accent1 79" xfId="2955" xr:uid="{00000000-0005-0000-0000-00008B0B0000}"/>
    <cellStyle name="Accent1 79 2" xfId="2956" xr:uid="{00000000-0005-0000-0000-00008C0B0000}"/>
    <cellStyle name="Accent1 79 2 2" xfId="2957" xr:uid="{00000000-0005-0000-0000-00008D0B0000}"/>
    <cellStyle name="Accent1 79 3" xfId="2958" xr:uid="{00000000-0005-0000-0000-00008E0B0000}"/>
    <cellStyle name="Accent1 79 3 2" xfId="2959" xr:uid="{00000000-0005-0000-0000-00008F0B0000}"/>
    <cellStyle name="Accent1 79 3 2 2" xfId="2960" xr:uid="{00000000-0005-0000-0000-0000900B0000}"/>
    <cellStyle name="Accent1 79 3 3" xfId="2961" xr:uid="{00000000-0005-0000-0000-0000910B0000}"/>
    <cellStyle name="Accent1 79 4" xfId="2962" xr:uid="{00000000-0005-0000-0000-0000920B0000}"/>
    <cellStyle name="Accent1 8" xfId="2963" xr:uid="{00000000-0005-0000-0000-0000930B0000}"/>
    <cellStyle name="Accent1 8 2" xfId="2964" xr:uid="{00000000-0005-0000-0000-0000940B0000}"/>
    <cellStyle name="Accent1 8 2 2" xfId="2965" xr:uid="{00000000-0005-0000-0000-0000950B0000}"/>
    <cellStyle name="Accent1 8 3" xfId="2966" xr:uid="{00000000-0005-0000-0000-0000960B0000}"/>
    <cellStyle name="Accent1 80" xfId="2967" xr:uid="{00000000-0005-0000-0000-0000970B0000}"/>
    <cellStyle name="Accent1 80 2" xfId="2968" xr:uid="{00000000-0005-0000-0000-0000980B0000}"/>
    <cellStyle name="Accent1 80 2 2" xfId="2969" xr:uid="{00000000-0005-0000-0000-0000990B0000}"/>
    <cellStyle name="Accent1 80 3" xfId="2970" xr:uid="{00000000-0005-0000-0000-00009A0B0000}"/>
    <cellStyle name="Accent1 80 3 2" xfId="2971" xr:uid="{00000000-0005-0000-0000-00009B0B0000}"/>
    <cellStyle name="Accent1 80 3 2 2" xfId="2972" xr:uid="{00000000-0005-0000-0000-00009C0B0000}"/>
    <cellStyle name="Accent1 80 3 3" xfId="2973" xr:uid="{00000000-0005-0000-0000-00009D0B0000}"/>
    <cellStyle name="Accent1 80 4" xfId="2974" xr:uid="{00000000-0005-0000-0000-00009E0B0000}"/>
    <cellStyle name="Accent1 81" xfId="2975" xr:uid="{00000000-0005-0000-0000-00009F0B0000}"/>
    <cellStyle name="Accent1 81 2" xfId="2976" xr:uid="{00000000-0005-0000-0000-0000A00B0000}"/>
    <cellStyle name="Accent1 81 2 2" xfId="2977" xr:uid="{00000000-0005-0000-0000-0000A10B0000}"/>
    <cellStyle name="Accent1 81 3" xfId="2978" xr:uid="{00000000-0005-0000-0000-0000A20B0000}"/>
    <cellStyle name="Accent1 81 3 2" xfId="2979" xr:uid="{00000000-0005-0000-0000-0000A30B0000}"/>
    <cellStyle name="Accent1 81 3 2 2" xfId="2980" xr:uid="{00000000-0005-0000-0000-0000A40B0000}"/>
    <cellStyle name="Accent1 81 3 3" xfId="2981" xr:uid="{00000000-0005-0000-0000-0000A50B0000}"/>
    <cellStyle name="Accent1 81 4" xfId="2982" xr:uid="{00000000-0005-0000-0000-0000A60B0000}"/>
    <cellStyle name="Accent1 82" xfId="2983" xr:uid="{00000000-0005-0000-0000-0000A70B0000}"/>
    <cellStyle name="Accent1 82 2" xfId="2984" xr:uid="{00000000-0005-0000-0000-0000A80B0000}"/>
    <cellStyle name="Accent1 82 2 2" xfId="2985" xr:uid="{00000000-0005-0000-0000-0000A90B0000}"/>
    <cellStyle name="Accent1 82 3" xfId="2986" xr:uid="{00000000-0005-0000-0000-0000AA0B0000}"/>
    <cellStyle name="Accent1 82 3 2" xfId="2987" xr:uid="{00000000-0005-0000-0000-0000AB0B0000}"/>
    <cellStyle name="Accent1 82 3 2 2" xfId="2988" xr:uid="{00000000-0005-0000-0000-0000AC0B0000}"/>
    <cellStyle name="Accent1 82 3 3" xfId="2989" xr:uid="{00000000-0005-0000-0000-0000AD0B0000}"/>
    <cellStyle name="Accent1 82 4" xfId="2990" xr:uid="{00000000-0005-0000-0000-0000AE0B0000}"/>
    <cellStyle name="Accent1 83" xfId="2991" xr:uid="{00000000-0005-0000-0000-0000AF0B0000}"/>
    <cellStyle name="Accent1 83 2" xfId="2992" xr:uid="{00000000-0005-0000-0000-0000B00B0000}"/>
    <cellStyle name="Accent1 83 2 2" xfId="2993" xr:uid="{00000000-0005-0000-0000-0000B10B0000}"/>
    <cellStyle name="Accent1 83 3" xfId="2994" xr:uid="{00000000-0005-0000-0000-0000B20B0000}"/>
    <cellStyle name="Accent1 83 3 2" xfId="2995" xr:uid="{00000000-0005-0000-0000-0000B30B0000}"/>
    <cellStyle name="Accent1 83 3 2 2" xfId="2996" xr:uid="{00000000-0005-0000-0000-0000B40B0000}"/>
    <cellStyle name="Accent1 83 3 3" xfId="2997" xr:uid="{00000000-0005-0000-0000-0000B50B0000}"/>
    <cellStyle name="Accent1 83 4" xfId="2998" xr:uid="{00000000-0005-0000-0000-0000B60B0000}"/>
    <cellStyle name="Accent1 84" xfId="2999" xr:uid="{00000000-0005-0000-0000-0000B70B0000}"/>
    <cellStyle name="Accent1 84 2" xfId="3000" xr:uid="{00000000-0005-0000-0000-0000B80B0000}"/>
    <cellStyle name="Accent1 84 2 2" xfId="3001" xr:uid="{00000000-0005-0000-0000-0000B90B0000}"/>
    <cellStyle name="Accent1 84 3" xfId="3002" xr:uid="{00000000-0005-0000-0000-0000BA0B0000}"/>
    <cellStyle name="Accent1 85" xfId="3003" xr:uid="{00000000-0005-0000-0000-0000BB0B0000}"/>
    <cellStyle name="Accent1 85 2" xfId="3004" xr:uid="{00000000-0005-0000-0000-0000BC0B0000}"/>
    <cellStyle name="Accent1 85 2 2" xfId="3005" xr:uid="{00000000-0005-0000-0000-0000BD0B0000}"/>
    <cellStyle name="Accent1 85 3" xfId="3006" xr:uid="{00000000-0005-0000-0000-0000BE0B0000}"/>
    <cellStyle name="Accent1 86" xfId="3007" xr:uid="{00000000-0005-0000-0000-0000BF0B0000}"/>
    <cellStyle name="Accent1 86 2" xfId="3008" xr:uid="{00000000-0005-0000-0000-0000C00B0000}"/>
    <cellStyle name="Accent1 86 2 2" xfId="3009" xr:uid="{00000000-0005-0000-0000-0000C10B0000}"/>
    <cellStyle name="Accent1 86 3" xfId="3010" xr:uid="{00000000-0005-0000-0000-0000C20B0000}"/>
    <cellStyle name="Accent1 87" xfId="3011" xr:uid="{00000000-0005-0000-0000-0000C30B0000}"/>
    <cellStyle name="Accent1 87 2" xfId="3012" xr:uid="{00000000-0005-0000-0000-0000C40B0000}"/>
    <cellStyle name="Accent1 87 2 2" xfId="3013" xr:uid="{00000000-0005-0000-0000-0000C50B0000}"/>
    <cellStyle name="Accent1 87 3" xfId="3014" xr:uid="{00000000-0005-0000-0000-0000C60B0000}"/>
    <cellStyle name="Accent1 88" xfId="3015" xr:uid="{00000000-0005-0000-0000-0000C70B0000}"/>
    <cellStyle name="Accent1 88 2" xfId="3016" xr:uid="{00000000-0005-0000-0000-0000C80B0000}"/>
    <cellStyle name="Accent1 88 2 2" xfId="3017" xr:uid="{00000000-0005-0000-0000-0000C90B0000}"/>
    <cellStyle name="Accent1 88 3" xfId="3018" xr:uid="{00000000-0005-0000-0000-0000CA0B0000}"/>
    <cellStyle name="Accent1 89" xfId="3019" xr:uid="{00000000-0005-0000-0000-0000CB0B0000}"/>
    <cellStyle name="Accent1 89 2" xfId="3020" xr:uid="{00000000-0005-0000-0000-0000CC0B0000}"/>
    <cellStyle name="Accent1 89 2 2" xfId="3021" xr:uid="{00000000-0005-0000-0000-0000CD0B0000}"/>
    <cellStyle name="Accent1 89 3" xfId="3022" xr:uid="{00000000-0005-0000-0000-0000CE0B0000}"/>
    <cellStyle name="Accent1 9" xfId="3023" xr:uid="{00000000-0005-0000-0000-0000CF0B0000}"/>
    <cellStyle name="Accent1 9 2" xfId="3024" xr:uid="{00000000-0005-0000-0000-0000D00B0000}"/>
    <cellStyle name="Accent1 9 2 2" xfId="3025" xr:uid="{00000000-0005-0000-0000-0000D10B0000}"/>
    <cellStyle name="Accent1 9 3" xfId="3026" xr:uid="{00000000-0005-0000-0000-0000D20B0000}"/>
    <cellStyle name="Accent1 90" xfId="3027" xr:uid="{00000000-0005-0000-0000-0000D30B0000}"/>
    <cellStyle name="Accent1 90 2" xfId="3028" xr:uid="{00000000-0005-0000-0000-0000D40B0000}"/>
    <cellStyle name="Accent1 90 2 2" xfId="3029" xr:uid="{00000000-0005-0000-0000-0000D50B0000}"/>
    <cellStyle name="Accent1 90 3" xfId="3030" xr:uid="{00000000-0005-0000-0000-0000D60B0000}"/>
    <cellStyle name="Accent1 91" xfId="3031" xr:uid="{00000000-0005-0000-0000-0000D70B0000}"/>
    <cellStyle name="Accent1 91 2" xfId="3032" xr:uid="{00000000-0005-0000-0000-0000D80B0000}"/>
    <cellStyle name="Accent1 91 2 2" xfId="3033" xr:uid="{00000000-0005-0000-0000-0000D90B0000}"/>
    <cellStyle name="Accent1 91 3" xfId="3034" xr:uid="{00000000-0005-0000-0000-0000DA0B0000}"/>
    <cellStyle name="Accent1 92" xfId="3035" xr:uid="{00000000-0005-0000-0000-0000DB0B0000}"/>
    <cellStyle name="Accent1 92 2" xfId="3036" xr:uid="{00000000-0005-0000-0000-0000DC0B0000}"/>
    <cellStyle name="Accent1 92 2 2" xfId="3037" xr:uid="{00000000-0005-0000-0000-0000DD0B0000}"/>
    <cellStyle name="Accent1 92 3" xfId="3038" xr:uid="{00000000-0005-0000-0000-0000DE0B0000}"/>
    <cellStyle name="Accent1 93" xfId="3039" xr:uid="{00000000-0005-0000-0000-0000DF0B0000}"/>
    <cellStyle name="Accent1 93 2" xfId="3040" xr:uid="{00000000-0005-0000-0000-0000E00B0000}"/>
    <cellStyle name="Accent1 93 2 2" xfId="3041" xr:uid="{00000000-0005-0000-0000-0000E10B0000}"/>
    <cellStyle name="Accent1 93 3" xfId="3042" xr:uid="{00000000-0005-0000-0000-0000E20B0000}"/>
    <cellStyle name="Accent1 94" xfId="3043" xr:uid="{00000000-0005-0000-0000-0000E30B0000}"/>
    <cellStyle name="Accent1 94 2" xfId="3044" xr:uid="{00000000-0005-0000-0000-0000E40B0000}"/>
    <cellStyle name="Accent1 94 2 2" xfId="3045" xr:uid="{00000000-0005-0000-0000-0000E50B0000}"/>
    <cellStyle name="Accent1 94 3" xfId="3046" xr:uid="{00000000-0005-0000-0000-0000E60B0000}"/>
    <cellStyle name="Accent1 95" xfId="3047" xr:uid="{00000000-0005-0000-0000-0000E70B0000}"/>
    <cellStyle name="Accent1 95 2" xfId="3048" xr:uid="{00000000-0005-0000-0000-0000E80B0000}"/>
    <cellStyle name="Accent1 95 2 2" xfId="3049" xr:uid="{00000000-0005-0000-0000-0000E90B0000}"/>
    <cellStyle name="Accent1 95 3" xfId="3050" xr:uid="{00000000-0005-0000-0000-0000EA0B0000}"/>
    <cellStyle name="Accent1 96" xfId="3051" xr:uid="{00000000-0005-0000-0000-0000EB0B0000}"/>
    <cellStyle name="Accent1 96 2" xfId="3052" xr:uid="{00000000-0005-0000-0000-0000EC0B0000}"/>
    <cellStyle name="Accent1 96 2 2" xfId="3053" xr:uid="{00000000-0005-0000-0000-0000ED0B0000}"/>
    <cellStyle name="Accent1 96 3" xfId="3054" xr:uid="{00000000-0005-0000-0000-0000EE0B0000}"/>
    <cellStyle name="Accent1 97" xfId="3055" xr:uid="{00000000-0005-0000-0000-0000EF0B0000}"/>
    <cellStyle name="Accent1 97 2" xfId="3056" xr:uid="{00000000-0005-0000-0000-0000F00B0000}"/>
    <cellStyle name="Accent1 97 2 2" xfId="3057" xr:uid="{00000000-0005-0000-0000-0000F10B0000}"/>
    <cellStyle name="Accent1 97 3" xfId="3058" xr:uid="{00000000-0005-0000-0000-0000F20B0000}"/>
    <cellStyle name="Accent1 98" xfId="3059" xr:uid="{00000000-0005-0000-0000-0000F30B0000}"/>
    <cellStyle name="Accent1 98 2" xfId="3060" xr:uid="{00000000-0005-0000-0000-0000F40B0000}"/>
    <cellStyle name="Accent1 98 2 2" xfId="3061" xr:uid="{00000000-0005-0000-0000-0000F50B0000}"/>
    <cellStyle name="Accent1 98 3" xfId="3062" xr:uid="{00000000-0005-0000-0000-0000F60B0000}"/>
    <cellStyle name="Accent1 99" xfId="3063" xr:uid="{00000000-0005-0000-0000-0000F70B0000}"/>
    <cellStyle name="Accent1 99 2" xfId="3064" xr:uid="{00000000-0005-0000-0000-0000F80B0000}"/>
    <cellStyle name="Accent1 99 2 2" xfId="3065" xr:uid="{00000000-0005-0000-0000-0000F90B0000}"/>
    <cellStyle name="Accent1 99 3" xfId="3066" xr:uid="{00000000-0005-0000-0000-0000FA0B0000}"/>
    <cellStyle name="Accent2 - 20%" xfId="3067" xr:uid="{00000000-0005-0000-0000-0000FB0B0000}"/>
    <cellStyle name="Accent2 - 20% 10" xfId="3068" xr:uid="{00000000-0005-0000-0000-0000FC0B0000}"/>
    <cellStyle name="Accent2 - 20% 11" xfId="3069" xr:uid="{00000000-0005-0000-0000-0000FD0B0000}"/>
    <cellStyle name="Accent2 - 20% 2" xfId="3070" xr:uid="{00000000-0005-0000-0000-0000FE0B0000}"/>
    <cellStyle name="Accent2 - 20% 2 2" xfId="3071" xr:uid="{00000000-0005-0000-0000-0000FF0B0000}"/>
    <cellStyle name="Accent2 - 20% 2 2 2" xfId="3072" xr:uid="{00000000-0005-0000-0000-0000000C0000}"/>
    <cellStyle name="Accent2 - 20% 2 2 2 2" xfId="3073" xr:uid="{00000000-0005-0000-0000-0000010C0000}"/>
    <cellStyle name="Accent2 - 20% 2 2 3" xfId="3074" xr:uid="{00000000-0005-0000-0000-0000020C0000}"/>
    <cellStyle name="Accent2 - 20% 2 3" xfId="3075" xr:uid="{00000000-0005-0000-0000-0000030C0000}"/>
    <cellStyle name="Accent2 - 20% 2 3 2" xfId="3076" xr:uid="{00000000-0005-0000-0000-0000040C0000}"/>
    <cellStyle name="Accent2 - 20% 2 3 2 2" xfId="3077" xr:uid="{00000000-0005-0000-0000-0000050C0000}"/>
    <cellStyle name="Accent2 - 20% 2 3 2 2 2" xfId="3078" xr:uid="{00000000-0005-0000-0000-0000060C0000}"/>
    <cellStyle name="Accent2 - 20% 2 3 2 3" xfId="3079" xr:uid="{00000000-0005-0000-0000-0000070C0000}"/>
    <cellStyle name="Accent2 - 20% 2 3 3" xfId="3080" xr:uid="{00000000-0005-0000-0000-0000080C0000}"/>
    <cellStyle name="Accent2 - 20% 2 3 3 2" xfId="3081" xr:uid="{00000000-0005-0000-0000-0000090C0000}"/>
    <cellStyle name="Accent2 - 20% 2 3 4" xfId="3082" xr:uid="{00000000-0005-0000-0000-00000A0C0000}"/>
    <cellStyle name="Accent2 - 20% 2 4" xfId="3083" xr:uid="{00000000-0005-0000-0000-00000B0C0000}"/>
    <cellStyle name="Accent2 - 20% 2 4 2" xfId="3084" xr:uid="{00000000-0005-0000-0000-00000C0C0000}"/>
    <cellStyle name="Accent2 - 20% 2 4 2 2" xfId="3085" xr:uid="{00000000-0005-0000-0000-00000D0C0000}"/>
    <cellStyle name="Accent2 - 20% 2 4 2 2 2" xfId="3086" xr:uid="{00000000-0005-0000-0000-00000E0C0000}"/>
    <cellStyle name="Accent2 - 20% 2 4 2 3" xfId="3087" xr:uid="{00000000-0005-0000-0000-00000F0C0000}"/>
    <cellStyle name="Accent2 - 20% 2 4 3" xfId="3088" xr:uid="{00000000-0005-0000-0000-0000100C0000}"/>
    <cellStyle name="Accent2 - 20% 2 4 3 2" xfId="3089" xr:uid="{00000000-0005-0000-0000-0000110C0000}"/>
    <cellStyle name="Accent2 - 20% 2 4 4" xfId="3090" xr:uid="{00000000-0005-0000-0000-0000120C0000}"/>
    <cellStyle name="Accent2 - 20% 2 5" xfId="3091" xr:uid="{00000000-0005-0000-0000-0000130C0000}"/>
    <cellStyle name="Accent2 - 20% 2 5 2" xfId="3092" xr:uid="{00000000-0005-0000-0000-0000140C0000}"/>
    <cellStyle name="Accent2 - 20% 2 6" xfId="3093" xr:uid="{00000000-0005-0000-0000-0000150C0000}"/>
    <cellStyle name="Accent2 - 20% 2 6 2" xfId="3094" xr:uid="{00000000-0005-0000-0000-0000160C0000}"/>
    <cellStyle name="Accent2 - 20% 2 7" xfId="3095" xr:uid="{00000000-0005-0000-0000-0000170C0000}"/>
    <cellStyle name="Accent2 - 20% 3" xfId="3096" xr:uid="{00000000-0005-0000-0000-0000180C0000}"/>
    <cellStyle name="Accent2 - 20% 3 2" xfId="3097" xr:uid="{00000000-0005-0000-0000-0000190C0000}"/>
    <cellStyle name="Accent2 - 20% 3 2 2" xfId="3098" xr:uid="{00000000-0005-0000-0000-00001A0C0000}"/>
    <cellStyle name="Accent2 - 20% 3 2 2 2" xfId="3099" xr:uid="{00000000-0005-0000-0000-00001B0C0000}"/>
    <cellStyle name="Accent2 - 20% 3 2 3" xfId="3100" xr:uid="{00000000-0005-0000-0000-00001C0C0000}"/>
    <cellStyle name="Accent2 - 20% 3 3" xfId="3101" xr:uid="{00000000-0005-0000-0000-00001D0C0000}"/>
    <cellStyle name="Accent2 - 20% 3 3 2" xfId="3102" xr:uid="{00000000-0005-0000-0000-00001E0C0000}"/>
    <cellStyle name="Accent2 - 20% 3 4" xfId="3103" xr:uid="{00000000-0005-0000-0000-00001F0C0000}"/>
    <cellStyle name="Accent2 - 20% 4" xfId="3104" xr:uid="{00000000-0005-0000-0000-0000200C0000}"/>
    <cellStyle name="Accent2 - 20% 4 2" xfId="3105" xr:uid="{00000000-0005-0000-0000-0000210C0000}"/>
    <cellStyle name="Accent2 - 20% 4 2 2" xfId="3106" xr:uid="{00000000-0005-0000-0000-0000220C0000}"/>
    <cellStyle name="Accent2 - 20% 4 3" xfId="3107" xr:uid="{00000000-0005-0000-0000-0000230C0000}"/>
    <cellStyle name="Accent2 - 20% 5" xfId="3108" xr:uid="{00000000-0005-0000-0000-0000240C0000}"/>
    <cellStyle name="Accent2 - 20% 5 2" xfId="3109" xr:uid="{00000000-0005-0000-0000-0000250C0000}"/>
    <cellStyle name="Accent2 - 20% 5 2 2" xfId="3110" xr:uid="{00000000-0005-0000-0000-0000260C0000}"/>
    <cellStyle name="Accent2 - 20% 5 3" xfId="3111" xr:uid="{00000000-0005-0000-0000-0000270C0000}"/>
    <cellStyle name="Accent2 - 20% 6" xfId="3112" xr:uid="{00000000-0005-0000-0000-0000280C0000}"/>
    <cellStyle name="Accent2 - 20% 6 2" xfId="3113" xr:uid="{00000000-0005-0000-0000-0000290C0000}"/>
    <cellStyle name="Accent2 - 20% 7" xfId="3114" xr:uid="{00000000-0005-0000-0000-00002A0C0000}"/>
    <cellStyle name="Accent2 - 20% 7 2" xfId="3115" xr:uid="{00000000-0005-0000-0000-00002B0C0000}"/>
    <cellStyle name="Accent2 - 20% 8" xfId="3116" xr:uid="{00000000-0005-0000-0000-00002C0C0000}"/>
    <cellStyle name="Accent2 - 20% 8 2" xfId="3117" xr:uid="{00000000-0005-0000-0000-00002D0C0000}"/>
    <cellStyle name="Accent2 - 20% 9" xfId="3118" xr:uid="{00000000-0005-0000-0000-00002E0C0000}"/>
    <cellStyle name="Accent2 - 20% 9 2" xfId="3119" xr:uid="{00000000-0005-0000-0000-00002F0C0000}"/>
    <cellStyle name="Accent2 - 40%" xfId="3120" xr:uid="{00000000-0005-0000-0000-0000300C0000}"/>
    <cellStyle name="Accent2 - 40% 10" xfId="3121" xr:uid="{00000000-0005-0000-0000-0000310C0000}"/>
    <cellStyle name="Accent2 - 40% 11" xfId="3122" xr:uid="{00000000-0005-0000-0000-0000320C0000}"/>
    <cellStyle name="Accent2 - 40% 2" xfId="3123" xr:uid="{00000000-0005-0000-0000-0000330C0000}"/>
    <cellStyle name="Accent2 - 40% 2 2" xfId="3124" xr:uid="{00000000-0005-0000-0000-0000340C0000}"/>
    <cellStyle name="Accent2 - 40% 2 2 2" xfId="3125" xr:uid="{00000000-0005-0000-0000-0000350C0000}"/>
    <cellStyle name="Accent2 - 40% 2 2 2 2" xfId="3126" xr:uid="{00000000-0005-0000-0000-0000360C0000}"/>
    <cellStyle name="Accent2 - 40% 2 2 3" xfId="3127" xr:uid="{00000000-0005-0000-0000-0000370C0000}"/>
    <cellStyle name="Accent2 - 40% 2 3" xfId="3128" xr:uid="{00000000-0005-0000-0000-0000380C0000}"/>
    <cellStyle name="Accent2 - 40% 2 3 2" xfId="3129" xr:uid="{00000000-0005-0000-0000-0000390C0000}"/>
    <cellStyle name="Accent2 - 40% 2 3 2 2" xfId="3130" xr:uid="{00000000-0005-0000-0000-00003A0C0000}"/>
    <cellStyle name="Accent2 - 40% 2 3 2 2 2" xfId="3131" xr:uid="{00000000-0005-0000-0000-00003B0C0000}"/>
    <cellStyle name="Accent2 - 40% 2 3 2 3" xfId="3132" xr:uid="{00000000-0005-0000-0000-00003C0C0000}"/>
    <cellStyle name="Accent2 - 40% 2 3 3" xfId="3133" xr:uid="{00000000-0005-0000-0000-00003D0C0000}"/>
    <cellStyle name="Accent2 - 40% 2 3 3 2" xfId="3134" xr:uid="{00000000-0005-0000-0000-00003E0C0000}"/>
    <cellStyle name="Accent2 - 40% 2 3 4" xfId="3135" xr:uid="{00000000-0005-0000-0000-00003F0C0000}"/>
    <cellStyle name="Accent2 - 40% 2 4" xfId="3136" xr:uid="{00000000-0005-0000-0000-0000400C0000}"/>
    <cellStyle name="Accent2 - 40% 2 4 2" xfId="3137" xr:uid="{00000000-0005-0000-0000-0000410C0000}"/>
    <cellStyle name="Accent2 - 40% 2 4 2 2" xfId="3138" xr:uid="{00000000-0005-0000-0000-0000420C0000}"/>
    <cellStyle name="Accent2 - 40% 2 4 2 2 2" xfId="3139" xr:uid="{00000000-0005-0000-0000-0000430C0000}"/>
    <cellStyle name="Accent2 - 40% 2 4 2 3" xfId="3140" xr:uid="{00000000-0005-0000-0000-0000440C0000}"/>
    <cellStyle name="Accent2 - 40% 2 4 3" xfId="3141" xr:uid="{00000000-0005-0000-0000-0000450C0000}"/>
    <cellStyle name="Accent2 - 40% 2 4 3 2" xfId="3142" xr:uid="{00000000-0005-0000-0000-0000460C0000}"/>
    <cellStyle name="Accent2 - 40% 2 4 4" xfId="3143" xr:uid="{00000000-0005-0000-0000-0000470C0000}"/>
    <cellStyle name="Accent2 - 40% 2 5" xfId="3144" xr:uid="{00000000-0005-0000-0000-0000480C0000}"/>
    <cellStyle name="Accent2 - 40% 2 5 2" xfId="3145" xr:uid="{00000000-0005-0000-0000-0000490C0000}"/>
    <cellStyle name="Accent2 - 40% 2 6" xfId="3146" xr:uid="{00000000-0005-0000-0000-00004A0C0000}"/>
    <cellStyle name="Accent2 - 40% 2 6 2" xfId="3147" xr:uid="{00000000-0005-0000-0000-00004B0C0000}"/>
    <cellStyle name="Accent2 - 40% 2 7" xfId="3148" xr:uid="{00000000-0005-0000-0000-00004C0C0000}"/>
    <cellStyle name="Accent2 - 40% 3" xfId="3149" xr:uid="{00000000-0005-0000-0000-00004D0C0000}"/>
    <cellStyle name="Accent2 - 40% 3 2" xfId="3150" xr:uid="{00000000-0005-0000-0000-00004E0C0000}"/>
    <cellStyle name="Accent2 - 40% 3 2 2" xfId="3151" xr:uid="{00000000-0005-0000-0000-00004F0C0000}"/>
    <cellStyle name="Accent2 - 40% 3 2 2 2" xfId="3152" xr:uid="{00000000-0005-0000-0000-0000500C0000}"/>
    <cellStyle name="Accent2 - 40% 3 2 3" xfId="3153" xr:uid="{00000000-0005-0000-0000-0000510C0000}"/>
    <cellStyle name="Accent2 - 40% 3 3" xfId="3154" xr:uid="{00000000-0005-0000-0000-0000520C0000}"/>
    <cellStyle name="Accent2 - 40% 3 3 2" xfId="3155" xr:uid="{00000000-0005-0000-0000-0000530C0000}"/>
    <cellStyle name="Accent2 - 40% 3 4" xfId="3156" xr:uid="{00000000-0005-0000-0000-0000540C0000}"/>
    <cellStyle name="Accent2 - 40% 4" xfId="3157" xr:uid="{00000000-0005-0000-0000-0000550C0000}"/>
    <cellStyle name="Accent2 - 40% 4 2" xfId="3158" xr:uid="{00000000-0005-0000-0000-0000560C0000}"/>
    <cellStyle name="Accent2 - 40% 4 2 2" xfId="3159" xr:uid="{00000000-0005-0000-0000-0000570C0000}"/>
    <cellStyle name="Accent2 - 40% 4 3" xfId="3160" xr:uid="{00000000-0005-0000-0000-0000580C0000}"/>
    <cellStyle name="Accent2 - 40% 5" xfId="3161" xr:uid="{00000000-0005-0000-0000-0000590C0000}"/>
    <cellStyle name="Accent2 - 40% 5 2" xfId="3162" xr:uid="{00000000-0005-0000-0000-00005A0C0000}"/>
    <cellStyle name="Accent2 - 40% 5 2 2" xfId="3163" xr:uid="{00000000-0005-0000-0000-00005B0C0000}"/>
    <cellStyle name="Accent2 - 40% 5 3" xfId="3164" xr:uid="{00000000-0005-0000-0000-00005C0C0000}"/>
    <cellStyle name="Accent2 - 40% 6" xfId="3165" xr:uid="{00000000-0005-0000-0000-00005D0C0000}"/>
    <cellStyle name="Accent2 - 40% 6 2" xfId="3166" xr:uid="{00000000-0005-0000-0000-00005E0C0000}"/>
    <cellStyle name="Accent2 - 40% 7" xfId="3167" xr:uid="{00000000-0005-0000-0000-00005F0C0000}"/>
    <cellStyle name="Accent2 - 40% 7 2" xfId="3168" xr:uid="{00000000-0005-0000-0000-0000600C0000}"/>
    <cellStyle name="Accent2 - 40% 8" xfId="3169" xr:uid="{00000000-0005-0000-0000-0000610C0000}"/>
    <cellStyle name="Accent2 - 40% 8 2" xfId="3170" xr:uid="{00000000-0005-0000-0000-0000620C0000}"/>
    <cellStyle name="Accent2 - 40% 9" xfId="3171" xr:uid="{00000000-0005-0000-0000-0000630C0000}"/>
    <cellStyle name="Accent2 - 40% 9 2" xfId="3172" xr:uid="{00000000-0005-0000-0000-0000640C0000}"/>
    <cellStyle name="Accent2 - 60%" xfId="3173" xr:uid="{00000000-0005-0000-0000-0000650C0000}"/>
    <cellStyle name="Accent2 - 60% 10" xfId="3174" xr:uid="{00000000-0005-0000-0000-0000660C0000}"/>
    <cellStyle name="Accent2 - 60% 2" xfId="3175" xr:uid="{00000000-0005-0000-0000-0000670C0000}"/>
    <cellStyle name="Accent2 - 60% 2 2" xfId="3176" xr:uid="{00000000-0005-0000-0000-0000680C0000}"/>
    <cellStyle name="Accent2 - 60% 2 2 2" xfId="3177" xr:uid="{00000000-0005-0000-0000-0000690C0000}"/>
    <cellStyle name="Accent2 - 60% 2 3" xfId="3178" xr:uid="{00000000-0005-0000-0000-00006A0C0000}"/>
    <cellStyle name="Accent2 - 60% 2 3 2" xfId="3179" xr:uid="{00000000-0005-0000-0000-00006B0C0000}"/>
    <cellStyle name="Accent2 - 60% 2 3 2 2" xfId="3180" xr:uid="{00000000-0005-0000-0000-00006C0C0000}"/>
    <cellStyle name="Accent2 - 60% 2 3 3" xfId="3181" xr:uid="{00000000-0005-0000-0000-00006D0C0000}"/>
    <cellStyle name="Accent2 - 60% 2 4" xfId="3182" xr:uid="{00000000-0005-0000-0000-00006E0C0000}"/>
    <cellStyle name="Accent2 - 60% 2 4 2" xfId="3183" xr:uid="{00000000-0005-0000-0000-00006F0C0000}"/>
    <cellStyle name="Accent2 - 60% 2 4 2 2" xfId="3184" xr:uid="{00000000-0005-0000-0000-0000700C0000}"/>
    <cellStyle name="Accent2 - 60% 2 4 3" xfId="3185" xr:uid="{00000000-0005-0000-0000-0000710C0000}"/>
    <cellStyle name="Accent2 - 60% 2 5" xfId="3186" xr:uid="{00000000-0005-0000-0000-0000720C0000}"/>
    <cellStyle name="Accent2 - 60% 3" xfId="3187" xr:uid="{00000000-0005-0000-0000-0000730C0000}"/>
    <cellStyle name="Accent2 - 60% 3 2" xfId="3188" xr:uid="{00000000-0005-0000-0000-0000740C0000}"/>
    <cellStyle name="Accent2 - 60% 3 2 2" xfId="3189" xr:uid="{00000000-0005-0000-0000-0000750C0000}"/>
    <cellStyle name="Accent2 - 60% 3 3" xfId="3190" xr:uid="{00000000-0005-0000-0000-0000760C0000}"/>
    <cellStyle name="Accent2 - 60% 4" xfId="3191" xr:uid="{00000000-0005-0000-0000-0000770C0000}"/>
    <cellStyle name="Accent2 - 60% 4 2" xfId="3192" xr:uid="{00000000-0005-0000-0000-0000780C0000}"/>
    <cellStyle name="Accent2 - 60% 5" xfId="3193" xr:uid="{00000000-0005-0000-0000-0000790C0000}"/>
    <cellStyle name="Accent2 - 60% 5 2" xfId="3194" xr:uid="{00000000-0005-0000-0000-00007A0C0000}"/>
    <cellStyle name="Accent2 - 60% 6" xfId="3195" xr:uid="{00000000-0005-0000-0000-00007B0C0000}"/>
    <cellStyle name="Accent2 - 60% 6 2" xfId="3196" xr:uid="{00000000-0005-0000-0000-00007C0C0000}"/>
    <cellStyle name="Accent2 - 60% 6 2 2" xfId="3197" xr:uid="{00000000-0005-0000-0000-00007D0C0000}"/>
    <cellStyle name="Accent2 - 60% 6 3" xfId="3198" xr:uid="{00000000-0005-0000-0000-00007E0C0000}"/>
    <cellStyle name="Accent2 - 60% 7" xfId="3199" xr:uid="{00000000-0005-0000-0000-00007F0C0000}"/>
    <cellStyle name="Accent2 - 60% 7 2" xfId="3200" xr:uid="{00000000-0005-0000-0000-0000800C0000}"/>
    <cellStyle name="Accent2 - 60% 8" xfId="3201" xr:uid="{00000000-0005-0000-0000-0000810C0000}"/>
    <cellStyle name="Accent2 - 60% 8 2" xfId="3202" xr:uid="{00000000-0005-0000-0000-0000820C0000}"/>
    <cellStyle name="Accent2 - 60% 9" xfId="3203" xr:uid="{00000000-0005-0000-0000-0000830C0000}"/>
    <cellStyle name="Accent2 10" xfId="3204" xr:uid="{00000000-0005-0000-0000-0000840C0000}"/>
    <cellStyle name="Accent2 10 2" xfId="3205" xr:uid="{00000000-0005-0000-0000-0000850C0000}"/>
    <cellStyle name="Accent2 10 2 2" xfId="3206" xr:uid="{00000000-0005-0000-0000-0000860C0000}"/>
    <cellStyle name="Accent2 10 3" xfId="3207" xr:uid="{00000000-0005-0000-0000-0000870C0000}"/>
    <cellStyle name="Accent2 100" xfId="3208" xr:uid="{00000000-0005-0000-0000-0000880C0000}"/>
    <cellStyle name="Accent2 100 2" xfId="3209" xr:uid="{00000000-0005-0000-0000-0000890C0000}"/>
    <cellStyle name="Accent2 100 2 2" xfId="3210" xr:uid="{00000000-0005-0000-0000-00008A0C0000}"/>
    <cellStyle name="Accent2 100 3" xfId="3211" xr:uid="{00000000-0005-0000-0000-00008B0C0000}"/>
    <cellStyle name="Accent2 101" xfId="3212" xr:uid="{00000000-0005-0000-0000-00008C0C0000}"/>
    <cellStyle name="Accent2 101 2" xfId="3213" xr:uid="{00000000-0005-0000-0000-00008D0C0000}"/>
    <cellStyle name="Accent2 101 2 2" xfId="3214" xr:uid="{00000000-0005-0000-0000-00008E0C0000}"/>
    <cellStyle name="Accent2 101 3" xfId="3215" xr:uid="{00000000-0005-0000-0000-00008F0C0000}"/>
    <cellStyle name="Accent2 102" xfId="3216" xr:uid="{00000000-0005-0000-0000-0000900C0000}"/>
    <cellStyle name="Accent2 102 2" xfId="3217" xr:uid="{00000000-0005-0000-0000-0000910C0000}"/>
    <cellStyle name="Accent2 103" xfId="3218" xr:uid="{00000000-0005-0000-0000-0000920C0000}"/>
    <cellStyle name="Accent2 103 2" xfId="3219" xr:uid="{00000000-0005-0000-0000-0000930C0000}"/>
    <cellStyle name="Accent2 104" xfId="3220" xr:uid="{00000000-0005-0000-0000-0000940C0000}"/>
    <cellStyle name="Accent2 104 2" xfId="3221" xr:uid="{00000000-0005-0000-0000-0000950C0000}"/>
    <cellStyle name="Accent2 104 2 2" xfId="3222" xr:uid="{00000000-0005-0000-0000-0000960C0000}"/>
    <cellStyle name="Accent2 104 3" xfId="3223" xr:uid="{00000000-0005-0000-0000-0000970C0000}"/>
    <cellStyle name="Accent2 105" xfId="3224" xr:uid="{00000000-0005-0000-0000-0000980C0000}"/>
    <cellStyle name="Accent2 105 2" xfId="3225" xr:uid="{00000000-0005-0000-0000-0000990C0000}"/>
    <cellStyle name="Accent2 105 2 2" xfId="3226" xr:uid="{00000000-0005-0000-0000-00009A0C0000}"/>
    <cellStyle name="Accent2 105 3" xfId="3227" xr:uid="{00000000-0005-0000-0000-00009B0C0000}"/>
    <cellStyle name="Accent2 106" xfId="3228" xr:uid="{00000000-0005-0000-0000-00009C0C0000}"/>
    <cellStyle name="Accent2 106 2" xfId="3229" xr:uid="{00000000-0005-0000-0000-00009D0C0000}"/>
    <cellStyle name="Accent2 106 2 2" xfId="3230" xr:uid="{00000000-0005-0000-0000-00009E0C0000}"/>
    <cellStyle name="Accent2 106 3" xfId="3231" xr:uid="{00000000-0005-0000-0000-00009F0C0000}"/>
    <cellStyle name="Accent2 107" xfId="3232" xr:uid="{00000000-0005-0000-0000-0000A00C0000}"/>
    <cellStyle name="Accent2 107 2" xfId="3233" xr:uid="{00000000-0005-0000-0000-0000A10C0000}"/>
    <cellStyle name="Accent2 107 2 2" xfId="3234" xr:uid="{00000000-0005-0000-0000-0000A20C0000}"/>
    <cellStyle name="Accent2 107 3" xfId="3235" xr:uid="{00000000-0005-0000-0000-0000A30C0000}"/>
    <cellStyle name="Accent2 108" xfId="3236" xr:uid="{00000000-0005-0000-0000-0000A40C0000}"/>
    <cellStyle name="Accent2 108 2" xfId="3237" xr:uid="{00000000-0005-0000-0000-0000A50C0000}"/>
    <cellStyle name="Accent2 108 2 2" xfId="3238" xr:uid="{00000000-0005-0000-0000-0000A60C0000}"/>
    <cellStyle name="Accent2 108 3" xfId="3239" xr:uid="{00000000-0005-0000-0000-0000A70C0000}"/>
    <cellStyle name="Accent2 109" xfId="3240" xr:uid="{00000000-0005-0000-0000-0000A80C0000}"/>
    <cellStyle name="Accent2 109 2" xfId="3241" xr:uid="{00000000-0005-0000-0000-0000A90C0000}"/>
    <cellStyle name="Accent2 109 2 2" xfId="3242" xr:uid="{00000000-0005-0000-0000-0000AA0C0000}"/>
    <cellStyle name="Accent2 109 3" xfId="3243" xr:uid="{00000000-0005-0000-0000-0000AB0C0000}"/>
    <cellStyle name="Accent2 11" xfId="3244" xr:uid="{00000000-0005-0000-0000-0000AC0C0000}"/>
    <cellStyle name="Accent2 11 2" xfId="3245" xr:uid="{00000000-0005-0000-0000-0000AD0C0000}"/>
    <cellStyle name="Accent2 11 2 2" xfId="3246" xr:uid="{00000000-0005-0000-0000-0000AE0C0000}"/>
    <cellStyle name="Accent2 11 3" xfId="3247" xr:uid="{00000000-0005-0000-0000-0000AF0C0000}"/>
    <cellStyle name="Accent2 110" xfId="3248" xr:uid="{00000000-0005-0000-0000-0000B00C0000}"/>
    <cellStyle name="Accent2 110 2" xfId="3249" xr:uid="{00000000-0005-0000-0000-0000B10C0000}"/>
    <cellStyle name="Accent2 110 2 2" xfId="3250" xr:uid="{00000000-0005-0000-0000-0000B20C0000}"/>
    <cellStyle name="Accent2 110 3" xfId="3251" xr:uid="{00000000-0005-0000-0000-0000B30C0000}"/>
    <cellStyle name="Accent2 111" xfId="3252" xr:uid="{00000000-0005-0000-0000-0000B40C0000}"/>
    <cellStyle name="Accent2 111 2" xfId="3253" xr:uid="{00000000-0005-0000-0000-0000B50C0000}"/>
    <cellStyle name="Accent2 111 2 2" xfId="3254" xr:uid="{00000000-0005-0000-0000-0000B60C0000}"/>
    <cellStyle name="Accent2 111 3" xfId="3255" xr:uid="{00000000-0005-0000-0000-0000B70C0000}"/>
    <cellStyle name="Accent2 112" xfId="3256" xr:uid="{00000000-0005-0000-0000-0000B80C0000}"/>
    <cellStyle name="Accent2 112 2" xfId="3257" xr:uid="{00000000-0005-0000-0000-0000B90C0000}"/>
    <cellStyle name="Accent2 112 2 2" xfId="3258" xr:uid="{00000000-0005-0000-0000-0000BA0C0000}"/>
    <cellStyle name="Accent2 112 3" xfId="3259" xr:uid="{00000000-0005-0000-0000-0000BB0C0000}"/>
    <cellStyle name="Accent2 113" xfId="3260" xr:uid="{00000000-0005-0000-0000-0000BC0C0000}"/>
    <cellStyle name="Accent2 113 2" xfId="3261" xr:uid="{00000000-0005-0000-0000-0000BD0C0000}"/>
    <cellStyle name="Accent2 113 2 2" xfId="3262" xr:uid="{00000000-0005-0000-0000-0000BE0C0000}"/>
    <cellStyle name="Accent2 113 3" xfId="3263" xr:uid="{00000000-0005-0000-0000-0000BF0C0000}"/>
    <cellStyle name="Accent2 114" xfId="3264" xr:uid="{00000000-0005-0000-0000-0000C00C0000}"/>
    <cellStyle name="Accent2 114 2" xfId="3265" xr:uid="{00000000-0005-0000-0000-0000C10C0000}"/>
    <cellStyle name="Accent2 115" xfId="3266" xr:uid="{00000000-0005-0000-0000-0000C20C0000}"/>
    <cellStyle name="Accent2 115 2" xfId="3267" xr:uid="{00000000-0005-0000-0000-0000C30C0000}"/>
    <cellStyle name="Accent2 116" xfId="3268" xr:uid="{00000000-0005-0000-0000-0000C40C0000}"/>
    <cellStyle name="Accent2 116 2" xfId="3269" xr:uid="{00000000-0005-0000-0000-0000C50C0000}"/>
    <cellStyle name="Accent2 117" xfId="3270" xr:uid="{00000000-0005-0000-0000-0000C60C0000}"/>
    <cellStyle name="Accent2 117 2" xfId="3271" xr:uid="{00000000-0005-0000-0000-0000C70C0000}"/>
    <cellStyle name="Accent2 118" xfId="3272" xr:uid="{00000000-0005-0000-0000-0000C80C0000}"/>
    <cellStyle name="Accent2 118 2" xfId="3273" xr:uid="{00000000-0005-0000-0000-0000C90C0000}"/>
    <cellStyle name="Accent2 119" xfId="3274" xr:uid="{00000000-0005-0000-0000-0000CA0C0000}"/>
    <cellStyle name="Accent2 119 2" xfId="3275" xr:uid="{00000000-0005-0000-0000-0000CB0C0000}"/>
    <cellStyle name="Accent2 12" xfId="3276" xr:uid="{00000000-0005-0000-0000-0000CC0C0000}"/>
    <cellStyle name="Accent2 12 2" xfId="3277" xr:uid="{00000000-0005-0000-0000-0000CD0C0000}"/>
    <cellStyle name="Accent2 12 2 2" xfId="3278" xr:uid="{00000000-0005-0000-0000-0000CE0C0000}"/>
    <cellStyle name="Accent2 12 3" xfId="3279" xr:uid="{00000000-0005-0000-0000-0000CF0C0000}"/>
    <cellStyle name="Accent2 120" xfId="3280" xr:uid="{00000000-0005-0000-0000-0000D00C0000}"/>
    <cellStyle name="Accent2 120 2" xfId="3281" xr:uid="{00000000-0005-0000-0000-0000D10C0000}"/>
    <cellStyle name="Accent2 121" xfId="3282" xr:uid="{00000000-0005-0000-0000-0000D20C0000}"/>
    <cellStyle name="Accent2 121 2" xfId="3283" xr:uid="{00000000-0005-0000-0000-0000D30C0000}"/>
    <cellStyle name="Accent2 122" xfId="3284" xr:uid="{00000000-0005-0000-0000-0000D40C0000}"/>
    <cellStyle name="Accent2 122 2" xfId="3285" xr:uid="{00000000-0005-0000-0000-0000D50C0000}"/>
    <cellStyle name="Accent2 123" xfId="3286" xr:uid="{00000000-0005-0000-0000-0000D60C0000}"/>
    <cellStyle name="Accent2 123 2" xfId="3287" xr:uid="{00000000-0005-0000-0000-0000D70C0000}"/>
    <cellStyle name="Accent2 124" xfId="3288" xr:uid="{00000000-0005-0000-0000-0000D80C0000}"/>
    <cellStyle name="Accent2 124 2" xfId="3289" xr:uid="{00000000-0005-0000-0000-0000D90C0000}"/>
    <cellStyle name="Accent2 125" xfId="3290" xr:uid="{00000000-0005-0000-0000-0000DA0C0000}"/>
    <cellStyle name="Accent2 125 2" xfId="3291" xr:uid="{00000000-0005-0000-0000-0000DB0C0000}"/>
    <cellStyle name="Accent2 126" xfId="3292" xr:uid="{00000000-0005-0000-0000-0000DC0C0000}"/>
    <cellStyle name="Accent2 127" xfId="3293" xr:uid="{00000000-0005-0000-0000-0000DD0C0000}"/>
    <cellStyle name="Accent2 128" xfId="3294" xr:uid="{00000000-0005-0000-0000-0000DE0C0000}"/>
    <cellStyle name="Accent2 129" xfId="3295" xr:uid="{00000000-0005-0000-0000-0000DF0C0000}"/>
    <cellStyle name="Accent2 13" xfId="3296" xr:uid="{00000000-0005-0000-0000-0000E00C0000}"/>
    <cellStyle name="Accent2 13 2" xfId="3297" xr:uid="{00000000-0005-0000-0000-0000E10C0000}"/>
    <cellStyle name="Accent2 13 2 2" xfId="3298" xr:uid="{00000000-0005-0000-0000-0000E20C0000}"/>
    <cellStyle name="Accent2 13 3" xfId="3299" xr:uid="{00000000-0005-0000-0000-0000E30C0000}"/>
    <cellStyle name="Accent2 130" xfId="3300" xr:uid="{00000000-0005-0000-0000-0000E40C0000}"/>
    <cellStyle name="Accent2 131" xfId="3301" xr:uid="{00000000-0005-0000-0000-0000E50C0000}"/>
    <cellStyle name="Accent2 132" xfId="3302" xr:uid="{00000000-0005-0000-0000-0000E60C0000}"/>
    <cellStyle name="Accent2 133" xfId="3303" xr:uid="{00000000-0005-0000-0000-0000E70C0000}"/>
    <cellStyle name="Accent2 134" xfId="3304" xr:uid="{00000000-0005-0000-0000-0000E80C0000}"/>
    <cellStyle name="Accent2 135" xfId="3305" xr:uid="{00000000-0005-0000-0000-0000E90C0000}"/>
    <cellStyle name="Accent2 136" xfId="3306" xr:uid="{00000000-0005-0000-0000-0000EA0C0000}"/>
    <cellStyle name="Accent2 137" xfId="3307" xr:uid="{00000000-0005-0000-0000-0000EB0C0000}"/>
    <cellStyle name="Accent2 138" xfId="3308" xr:uid="{00000000-0005-0000-0000-0000EC0C0000}"/>
    <cellStyle name="Accent2 139" xfId="3309" xr:uid="{00000000-0005-0000-0000-0000ED0C0000}"/>
    <cellStyle name="Accent2 14" xfId="3310" xr:uid="{00000000-0005-0000-0000-0000EE0C0000}"/>
    <cellStyle name="Accent2 14 2" xfId="3311" xr:uid="{00000000-0005-0000-0000-0000EF0C0000}"/>
    <cellStyle name="Accent2 14 2 2" xfId="3312" xr:uid="{00000000-0005-0000-0000-0000F00C0000}"/>
    <cellStyle name="Accent2 14 3" xfId="3313" xr:uid="{00000000-0005-0000-0000-0000F10C0000}"/>
    <cellStyle name="Accent2 140" xfId="3314" xr:uid="{00000000-0005-0000-0000-0000F20C0000}"/>
    <cellStyle name="Accent2 141" xfId="3315" xr:uid="{00000000-0005-0000-0000-0000F30C0000}"/>
    <cellStyle name="Accent2 142" xfId="3316" xr:uid="{00000000-0005-0000-0000-0000F40C0000}"/>
    <cellStyle name="Accent2 143" xfId="3317" xr:uid="{00000000-0005-0000-0000-0000F50C0000}"/>
    <cellStyle name="Accent2 144" xfId="3318" xr:uid="{00000000-0005-0000-0000-0000F60C0000}"/>
    <cellStyle name="Accent2 145" xfId="3319" xr:uid="{00000000-0005-0000-0000-0000F70C0000}"/>
    <cellStyle name="Accent2 146" xfId="3320" xr:uid="{00000000-0005-0000-0000-0000F80C0000}"/>
    <cellStyle name="Accent2 147" xfId="3321" xr:uid="{00000000-0005-0000-0000-0000F90C0000}"/>
    <cellStyle name="Accent2 148" xfId="3322" xr:uid="{00000000-0005-0000-0000-0000FA0C0000}"/>
    <cellStyle name="Accent2 149" xfId="3323" xr:uid="{00000000-0005-0000-0000-0000FB0C0000}"/>
    <cellStyle name="Accent2 15" xfId="3324" xr:uid="{00000000-0005-0000-0000-0000FC0C0000}"/>
    <cellStyle name="Accent2 15 2" xfId="3325" xr:uid="{00000000-0005-0000-0000-0000FD0C0000}"/>
    <cellStyle name="Accent2 15 2 2" xfId="3326" xr:uid="{00000000-0005-0000-0000-0000FE0C0000}"/>
    <cellStyle name="Accent2 15 3" xfId="3327" xr:uid="{00000000-0005-0000-0000-0000FF0C0000}"/>
    <cellStyle name="Accent2 150" xfId="3328" xr:uid="{00000000-0005-0000-0000-0000000D0000}"/>
    <cellStyle name="Accent2 151" xfId="3329" xr:uid="{00000000-0005-0000-0000-0000010D0000}"/>
    <cellStyle name="Accent2 152" xfId="3330" xr:uid="{00000000-0005-0000-0000-0000020D0000}"/>
    <cellStyle name="Accent2 153" xfId="3331" xr:uid="{00000000-0005-0000-0000-0000030D0000}"/>
    <cellStyle name="Accent2 154" xfId="3332" xr:uid="{00000000-0005-0000-0000-0000040D0000}"/>
    <cellStyle name="Accent2 155" xfId="3333" xr:uid="{00000000-0005-0000-0000-0000050D0000}"/>
    <cellStyle name="Accent2 156" xfId="3334" xr:uid="{00000000-0005-0000-0000-0000060D0000}"/>
    <cellStyle name="Accent2 157" xfId="3335" xr:uid="{00000000-0005-0000-0000-0000070D0000}"/>
    <cellStyle name="Accent2 158" xfId="3336" xr:uid="{00000000-0005-0000-0000-0000080D0000}"/>
    <cellStyle name="Accent2 159" xfId="3337" xr:uid="{00000000-0005-0000-0000-0000090D0000}"/>
    <cellStyle name="Accent2 16" xfId="3338" xr:uid="{00000000-0005-0000-0000-00000A0D0000}"/>
    <cellStyle name="Accent2 16 2" xfId="3339" xr:uid="{00000000-0005-0000-0000-00000B0D0000}"/>
    <cellStyle name="Accent2 16 2 2" xfId="3340" xr:uid="{00000000-0005-0000-0000-00000C0D0000}"/>
    <cellStyle name="Accent2 16 3" xfId="3341" xr:uid="{00000000-0005-0000-0000-00000D0D0000}"/>
    <cellStyle name="Accent2 160" xfId="3342" xr:uid="{00000000-0005-0000-0000-00000E0D0000}"/>
    <cellStyle name="Accent2 161" xfId="3343" xr:uid="{00000000-0005-0000-0000-00000F0D0000}"/>
    <cellStyle name="Accent2 162" xfId="3344" xr:uid="{00000000-0005-0000-0000-0000100D0000}"/>
    <cellStyle name="Accent2 163" xfId="3345" xr:uid="{00000000-0005-0000-0000-0000110D0000}"/>
    <cellStyle name="Accent2 164" xfId="3346" xr:uid="{00000000-0005-0000-0000-0000120D0000}"/>
    <cellStyle name="Accent2 165" xfId="3347" xr:uid="{00000000-0005-0000-0000-0000130D0000}"/>
    <cellStyle name="Accent2 166" xfId="3348" xr:uid="{00000000-0005-0000-0000-0000140D0000}"/>
    <cellStyle name="Accent2 167" xfId="3349" xr:uid="{00000000-0005-0000-0000-0000150D0000}"/>
    <cellStyle name="Accent2 168" xfId="3350" xr:uid="{00000000-0005-0000-0000-0000160D0000}"/>
    <cellStyle name="Accent2 169" xfId="3351" xr:uid="{00000000-0005-0000-0000-0000170D0000}"/>
    <cellStyle name="Accent2 17" xfId="3352" xr:uid="{00000000-0005-0000-0000-0000180D0000}"/>
    <cellStyle name="Accent2 17 2" xfId="3353" xr:uid="{00000000-0005-0000-0000-0000190D0000}"/>
    <cellStyle name="Accent2 17 2 2" xfId="3354" xr:uid="{00000000-0005-0000-0000-00001A0D0000}"/>
    <cellStyle name="Accent2 17 3" xfId="3355" xr:uid="{00000000-0005-0000-0000-00001B0D0000}"/>
    <cellStyle name="Accent2 170" xfId="3356" xr:uid="{00000000-0005-0000-0000-00001C0D0000}"/>
    <cellStyle name="Accent2 171" xfId="3357" xr:uid="{00000000-0005-0000-0000-00001D0D0000}"/>
    <cellStyle name="Accent2 172" xfId="3358" xr:uid="{00000000-0005-0000-0000-00001E0D0000}"/>
    <cellStyle name="Accent2 173" xfId="3359" xr:uid="{00000000-0005-0000-0000-00001F0D0000}"/>
    <cellStyle name="Accent2 174" xfId="3360" xr:uid="{00000000-0005-0000-0000-0000200D0000}"/>
    <cellStyle name="Accent2 175" xfId="3361" xr:uid="{00000000-0005-0000-0000-0000210D0000}"/>
    <cellStyle name="Accent2 176" xfId="3362" xr:uid="{00000000-0005-0000-0000-0000220D0000}"/>
    <cellStyle name="Accent2 177" xfId="3363" xr:uid="{00000000-0005-0000-0000-0000230D0000}"/>
    <cellStyle name="Accent2 178" xfId="3364" xr:uid="{00000000-0005-0000-0000-0000240D0000}"/>
    <cellStyle name="Accent2 179" xfId="3365" xr:uid="{00000000-0005-0000-0000-0000250D0000}"/>
    <cellStyle name="Accent2 18" xfId="3366" xr:uid="{00000000-0005-0000-0000-0000260D0000}"/>
    <cellStyle name="Accent2 18 2" xfId="3367" xr:uid="{00000000-0005-0000-0000-0000270D0000}"/>
    <cellStyle name="Accent2 18 2 2" xfId="3368" xr:uid="{00000000-0005-0000-0000-0000280D0000}"/>
    <cellStyle name="Accent2 18 3" xfId="3369" xr:uid="{00000000-0005-0000-0000-0000290D0000}"/>
    <cellStyle name="Accent2 19" xfId="3370" xr:uid="{00000000-0005-0000-0000-00002A0D0000}"/>
    <cellStyle name="Accent2 19 2" xfId="3371" xr:uid="{00000000-0005-0000-0000-00002B0D0000}"/>
    <cellStyle name="Accent2 19 2 2" xfId="3372" xr:uid="{00000000-0005-0000-0000-00002C0D0000}"/>
    <cellStyle name="Accent2 19 3" xfId="3373" xr:uid="{00000000-0005-0000-0000-00002D0D0000}"/>
    <cellStyle name="Accent2 2" xfId="3374" xr:uid="{00000000-0005-0000-0000-00002E0D0000}"/>
    <cellStyle name="Accent2 2 10" xfId="3375" xr:uid="{00000000-0005-0000-0000-00002F0D0000}"/>
    <cellStyle name="Accent2 2 10 2" xfId="3376" xr:uid="{00000000-0005-0000-0000-0000300D0000}"/>
    <cellStyle name="Accent2 2 11" xfId="3377" xr:uid="{00000000-0005-0000-0000-0000310D0000}"/>
    <cellStyle name="Accent2 2 12" xfId="3378" xr:uid="{00000000-0005-0000-0000-0000320D0000}"/>
    <cellStyle name="Accent2 2 2" xfId="3379" xr:uid="{00000000-0005-0000-0000-0000330D0000}"/>
    <cellStyle name="Accent2 2 2 2" xfId="3380" xr:uid="{00000000-0005-0000-0000-0000340D0000}"/>
    <cellStyle name="Accent2 2 2 2 2" xfId="3381" xr:uid="{00000000-0005-0000-0000-0000350D0000}"/>
    <cellStyle name="Accent2 2 2 3" xfId="3382" xr:uid="{00000000-0005-0000-0000-0000360D0000}"/>
    <cellStyle name="Accent2 2 2 3 2" xfId="3383" xr:uid="{00000000-0005-0000-0000-0000370D0000}"/>
    <cellStyle name="Accent2 2 2 3 2 2" xfId="3384" xr:uid="{00000000-0005-0000-0000-0000380D0000}"/>
    <cellStyle name="Accent2 2 2 3 3" xfId="3385" xr:uid="{00000000-0005-0000-0000-0000390D0000}"/>
    <cellStyle name="Accent2 2 2 4" xfId="3386" xr:uid="{00000000-0005-0000-0000-00003A0D0000}"/>
    <cellStyle name="Accent2 2 3" xfId="3387" xr:uid="{00000000-0005-0000-0000-00003B0D0000}"/>
    <cellStyle name="Accent2 2 3 2" xfId="3388" xr:uid="{00000000-0005-0000-0000-00003C0D0000}"/>
    <cellStyle name="Accent2 2 3 2 2" xfId="3389" xr:uid="{00000000-0005-0000-0000-00003D0D0000}"/>
    <cellStyle name="Accent2 2 3 3" xfId="3390" xr:uid="{00000000-0005-0000-0000-00003E0D0000}"/>
    <cellStyle name="Accent2 2 3 3 2" xfId="3391" xr:uid="{00000000-0005-0000-0000-00003F0D0000}"/>
    <cellStyle name="Accent2 2 3 3 2 2" xfId="3392" xr:uid="{00000000-0005-0000-0000-0000400D0000}"/>
    <cellStyle name="Accent2 2 3 3 3" xfId="3393" xr:uid="{00000000-0005-0000-0000-0000410D0000}"/>
    <cellStyle name="Accent2 2 3 4" xfId="3394" xr:uid="{00000000-0005-0000-0000-0000420D0000}"/>
    <cellStyle name="Accent2 2 4" xfId="3395" xr:uid="{00000000-0005-0000-0000-0000430D0000}"/>
    <cellStyle name="Accent2 2 4 2" xfId="3396" xr:uid="{00000000-0005-0000-0000-0000440D0000}"/>
    <cellStyle name="Accent2 2 4 2 2" xfId="3397" xr:uid="{00000000-0005-0000-0000-0000450D0000}"/>
    <cellStyle name="Accent2 2 4 3" xfId="3398" xr:uid="{00000000-0005-0000-0000-0000460D0000}"/>
    <cellStyle name="Accent2 2 5" xfId="3399" xr:uid="{00000000-0005-0000-0000-0000470D0000}"/>
    <cellStyle name="Accent2 2 5 2" xfId="3400" xr:uid="{00000000-0005-0000-0000-0000480D0000}"/>
    <cellStyle name="Accent2 2 5 2 2" xfId="3401" xr:uid="{00000000-0005-0000-0000-0000490D0000}"/>
    <cellStyle name="Accent2 2 5 3" xfId="3402" xr:uid="{00000000-0005-0000-0000-00004A0D0000}"/>
    <cellStyle name="Accent2 2 5 3 2" xfId="3403" xr:uid="{00000000-0005-0000-0000-00004B0D0000}"/>
    <cellStyle name="Accent2 2 5 3 2 2" xfId="3404" xr:uid="{00000000-0005-0000-0000-00004C0D0000}"/>
    <cellStyle name="Accent2 2 5 3 3" xfId="3405" xr:uid="{00000000-0005-0000-0000-00004D0D0000}"/>
    <cellStyle name="Accent2 2 5 4" xfId="3406" xr:uid="{00000000-0005-0000-0000-00004E0D0000}"/>
    <cellStyle name="Accent2 2 6" xfId="3407" xr:uid="{00000000-0005-0000-0000-00004F0D0000}"/>
    <cellStyle name="Accent2 2 6 2" xfId="3408" xr:uid="{00000000-0005-0000-0000-0000500D0000}"/>
    <cellStyle name="Accent2 2 7" xfId="3409" xr:uid="{00000000-0005-0000-0000-0000510D0000}"/>
    <cellStyle name="Accent2 2 7 2" xfId="3410" xr:uid="{00000000-0005-0000-0000-0000520D0000}"/>
    <cellStyle name="Accent2 2 8" xfId="3411" xr:uid="{00000000-0005-0000-0000-0000530D0000}"/>
    <cellStyle name="Accent2 2 8 2" xfId="3412" xr:uid="{00000000-0005-0000-0000-0000540D0000}"/>
    <cellStyle name="Accent2 2 8 2 2" xfId="3413" xr:uid="{00000000-0005-0000-0000-0000550D0000}"/>
    <cellStyle name="Accent2 2 8 3" xfId="3414" xr:uid="{00000000-0005-0000-0000-0000560D0000}"/>
    <cellStyle name="Accent2 2 9" xfId="3415" xr:uid="{00000000-0005-0000-0000-0000570D0000}"/>
    <cellStyle name="Accent2 2 9 2" xfId="3416" xr:uid="{00000000-0005-0000-0000-0000580D0000}"/>
    <cellStyle name="Accent2 2 9 2 2" xfId="3417" xr:uid="{00000000-0005-0000-0000-0000590D0000}"/>
    <cellStyle name="Accent2 2 9 3" xfId="3418" xr:uid="{00000000-0005-0000-0000-00005A0D0000}"/>
    <cellStyle name="Accent2 20" xfId="3419" xr:uid="{00000000-0005-0000-0000-00005B0D0000}"/>
    <cellStyle name="Accent2 20 2" xfId="3420" xr:uid="{00000000-0005-0000-0000-00005C0D0000}"/>
    <cellStyle name="Accent2 20 2 2" xfId="3421" xr:uid="{00000000-0005-0000-0000-00005D0D0000}"/>
    <cellStyle name="Accent2 20 3" xfId="3422" xr:uid="{00000000-0005-0000-0000-00005E0D0000}"/>
    <cellStyle name="Accent2 21" xfId="3423" xr:uid="{00000000-0005-0000-0000-00005F0D0000}"/>
    <cellStyle name="Accent2 21 2" xfId="3424" xr:uid="{00000000-0005-0000-0000-0000600D0000}"/>
    <cellStyle name="Accent2 21 2 2" xfId="3425" xr:uid="{00000000-0005-0000-0000-0000610D0000}"/>
    <cellStyle name="Accent2 21 3" xfId="3426" xr:uid="{00000000-0005-0000-0000-0000620D0000}"/>
    <cellStyle name="Accent2 22" xfId="3427" xr:uid="{00000000-0005-0000-0000-0000630D0000}"/>
    <cellStyle name="Accent2 22 2" xfId="3428" xr:uid="{00000000-0005-0000-0000-0000640D0000}"/>
    <cellStyle name="Accent2 22 2 2" xfId="3429" xr:uid="{00000000-0005-0000-0000-0000650D0000}"/>
    <cellStyle name="Accent2 22 3" xfId="3430" xr:uid="{00000000-0005-0000-0000-0000660D0000}"/>
    <cellStyle name="Accent2 23" xfId="3431" xr:uid="{00000000-0005-0000-0000-0000670D0000}"/>
    <cellStyle name="Accent2 23 2" xfId="3432" xr:uid="{00000000-0005-0000-0000-0000680D0000}"/>
    <cellStyle name="Accent2 23 2 2" xfId="3433" xr:uid="{00000000-0005-0000-0000-0000690D0000}"/>
    <cellStyle name="Accent2 23 3" xfId="3434" xr:uid="{00000000-0005-0000-0000-00006A0D0000}"/>
    <cellStyle name="Accent2 24" xfId="3435" xr:uid="{00000000-0005-0000-0000-00006B0D0000}"/>
    <cellStyle name="Accent2 24 2" xfId="3436" xr:uid="{00000000-0005-0000-0000-00006C0D0000}"/>
    <cellStyle name="Accent2 24 2 2" xfId="3437" xr:uid="{00000000-0005-0000-0000-00006D0D0000}"/>
    <cellStyle name="Accent2 24 3" xfId="3438" xr:uid="{00000000-0005-0000-0000-00006E0D0000}"/>
    <cellStyle name="Accent2 25" xfId="3439" xr:uid="{00000000-0005-0000-0000-00006F0D0000}"/>
    <cellStyle name="Accent2 25 2" xfId="3440" xr:uid="{00000000-0005-0000-0000-0000700D0000}"/>
    <cellStyle name="Accent2 25 2 2" xfId="3441" xr:uid="{00000000-0005-0000-0000-0000710D0000}"/>
    <cellStyle name="Accent2 25 3" xfId="3442" xr:uid="{00000000-0005-0000-0000-0000720D0000}"/>
    <cellStyle name="Accent2 26" xfId="3443" xr:uid="{00000000-0005-0000-0000-0000730D0000}"/>
    <cellStyle name="Accent2 26 2" xfId="3444" xr:uid="{00000000-0005-0000-0000-0000740D0000}"/>
    <cellStyle name="Accent2 26 2 2" xfId="3445" xr:uid="{00000000-0005-0000-0000-0000750D0000}"/>
    <cellStyle name="Accent2 26 3" xfId="3446" xr:uid="{00000000-0005-0000-0000-0000760D0000}"/>
    <cellStyle name="Accent2 27" xfId="3447" xr:uid="{00000000-0005-0000-0000-0000770D0000}"/>
    <cellStyle name="Accent2 27 2" xfId="3448" xr:uid="{00000000-0005-0000-0000-0000780D0000}"/>
    <cellStyle name="Accent2 27 2 2" xfId="3449" xr:uid="{00000000-0005-0000-0000-0000790D0000}"/>
    <cellStyle name="Accent2 27 3" xfId="3450" xr:uid="{00000000-0005-0000-0000-00007A0D0000}"/>
    <cellStyle name="Accent2 28" xfId="3451" xr:uid="{00000000-0005-0000-0000-00007B0D0000}"/>
    <cellStyle name="Accent2 28 2" xfId="3452" xr:uid="{00000000-0005-0000-0000-00007C0D0000}"/>
    <cellStyle name="Accent2 28 2 2" xfId="3453" xr:uid="{00000000-0005-0000-0000-00007D0D0000}"/>
    <cellStyle name="Accent2 28 3" xfId="3454" xr:uid="{00000000-0005-0000-0000-00007E0D0000}"/>
    <cellStyle name="Accent2 29" xfId="3455" xr:uid="{00000000-0005-0000-0000-00007F0D0000}"/>
    <cellStyle name="Accent2 29 2" xfId="3456" xr:uid="{00000000-0005-0000-0000-0000800D0000}"/>
    <cellStyle name="Accent2 29 2 2" xfId="3457" xr:uid="{00000000-0005-0000-0000-0000810D0000}"/>
    <cellStyle name="Accent2 29 3" xfId="3458" xr:uid="{00000000-0005-0000-0000-0000820D0000}"/>
    <cellStyle name="Accent2 3" xfId="3459" xr:uid="{00000000-0005-0000-0000-0000830D0000}"/>
    <cellStyle name="Accent2 3 10" xfId="3460" xr:uid="{00000000-0005-0000-0000-0000840D0000}"/>
    <cellStyle name="Accent2 3 10 2" xfId="3461" xr:uid="{00000000-0005-0000-0000-0000850D0000}"/>
    <cellStyle name="Accent2 3 11" xfId="3462" xr:uid="{00000000-0005-0000-0000-0000860D0000}"/>
    <cellStyle name="Accent2 3 2" xfId="3463" xr:uid="{00000000-0005-0000-0000-0000870D0000}"/>
    <cellStyle name="Accent2 3 2 2" xfId="3464" xr:uid="{00000000-0005-0000-0000-0000880D0000}"/>
    <cellStyle name="Accent2 3 2 2 2" xfId="3465" xr:uid="{00000000-0005-0000-0000-0000890D0000}"/>
    <cellStyle name="Accent2 3 2 3" xfId="3466" xr:uid="{00000000-0005-0000-0000-00008A0D0000}"/>
    <cellStyle name="Accent2 3 2 3 2" xfId="3467" xr:uid="{00000000-0005-0000-0000-00008B0D0000}"/>
    <cellStyle name="Accent2 3 2 3 2 2" xfId="3468" xr:uid="{00000000-0005-0000-0000-00008C0D0000}"/>
    <cellStyle name="Accent2 3 2 3 3" xfId="3469" xr:uid="{00000000-0005-0000-0000-00008D0D0000}"/>
    <cellStyle name="Accent2 3 2 4" xfId="3470" xr:uid="{00000000-0005-0000-0000-00008E0D0000}"/>
    <cellStyle name="Accent2 3 3" xfId="3471" xr:uid="{00000000-0005-0000-0000-00008F0D0000}"/>
    <cellStyle name="Accent2 3 3 2" xfId="3472" xr:uid="{00000000-0005-0000-0000-0000900D0000}"/>
    <cellStyle name="Accent2 3 3 2 2" xfId="3473" xr:uid="{00000000-0005-0000-0000-0000910D0000}"/>
    <cellStyle name="Accent2 3 3 3" xfId="3474" xr:uid="{00000000-0005-0000-0000-0000920D0000}"/>
    <cellStyle name="Accent2 3 3 3 2" xfId="3475" xr:uid="{00000000-0005-0000-0000-0000930D0000}"/>
    <cellStyle name="Accent2 3 3 3 2 2" xfId="3476" xr:uid="{00000000-0005-0000-0000-0000940D0000}"/>
    <cellStyle name="Accent2 3 3 3 3" xfId="3477" xr:uid="{00000000-0005-0000-0000-0000950D0000}"/>
    <cellStyle name="Accent2 3 3 4" xfId="3478" xr:uid="{00000000-0005-0000-0000-0000960D0000}"/>
    <cellStyle name="Accent2 3 4" xfId="3479" xr:uid="{00000000-0005-0000-0000-0000970D0000}"/>
    <cellStyle name="Accent2 3 4 2" xfId="3480" xr:uid="{00000000-0005-0000-0000-0000980D0000}"/>
    <cellStyle name="Accent2 3 4 2 2" xfId="3481" xr:uid="{00000000-0005-0000-0000-0000990D0000}"/>
    <cellStyle name="Accent2 3 4 3" xfId="3482" xr:uid="{00000000-0005-0000-0000-00009A0D0000}"/>
    <cellStyle name="Accent2 3 5" xfId="3483" xr:uid="{00000000-0005-0000-0000-00009B0D0000}"/>
    <cellStyle name="Accent2 3 5 2" xfId="3484" xr:uid="{00000000-0005-0000-0000-00009C0D0000}"/>
    <cellStyle name="Accent2 3 5 2 2" xfId="3485" xr:uid="{00000000-0005-0000-0000-00009D0D0000}"/>
    <cellStyle name="Accent2 3 5 3" xfId="3486" xr:uid="{00000000-0005-0000-0000-00009E0D0000}"/>
    <cellStyle name="Accent2 3 5 3 2" xfId="3487" xr:uid="{00000000-0005-0000-0000-00009F0D0000}"/>
    <cellStyle name="Accent2 3 5 3 2 2" xfId="3488" xr:uid="{00000000-0005-0000-0000-0000A00D0000}"/>
    <cellStyle name="Accent2 3 5 3 3" xfId="3489" xr:uid="{00000000-0005-0000-0000-0000A10D0000}"/>
    <cellStyle name="Accent2 3 5 4" xfId="3490" xr:uid="{00000000-0005-0000-0000-0000A20D0000}"/>
    <cellStyle name="Accent2 3 6" xfId="3491" xr:uid="{00000000-0005-0000-0000-0000A30D0000}"/>
    <cellStyle name="Accent2 3 6 2" xfId="3492" xr:uid="{00000000-0005-0000-0000-0000A40D0000}"/>
    <cellStyle name="Accent2 3 7" xfId="3493" xr:uid="{00000000-0005-0000-0000-0000A50D0000}"/>
    <cellStyle name="Accent2 3 7 2" xfId="3494" xr:uid="{00000000-0005-0000-0000-0000A60D0000}"/>
    <cellStyle name="Accent2 3 8" xfId="3495" xr:uid="{00000000-0005-0000-0000-0000A70D0000}"/>
    <cellStyle name="Accent2 3 8 2" xfId="3496" xr:uid="{00000000-0005-0000-0000-0000A80D0000}"/>
    <cellStyle name="Accent2 3 8 2 2" xfId="3497" xr:uid="{00000000-0005-0000-0000-0000A90D0000}"/>
    <cellStyle name="Accent2 3 8 3" xfId="3498" xr:uid="{00000000-0005-0000-0000-0000AA0D0000}"/>
    <cellStyle name="Accent2 3 9" xfId="3499" xr:uid="{00000000-0005-0000-0000-0000AB0D0000}"/>
    <cellStyle name="Accent2 3 9 2" xfId="3500" xr:uid="{00000000-0005-0000-0000-0000AC0D0000}"/>
    <cellStyle name="Accent2 3 9 2 2" xfId="3501" xr:uid="{00000000-0005-0000-0000-0000AD0D0000}"/>
    <cellStyle name="Accent2 3 9 3" xfId="3502" xr:uid="{00000000-0005-0000-0000-0000AE0D0000}"/>
    <cellStyle name="Accent2 30" xfId="3503" xr:uid="{00000000-0005-0000-0000-0000AF0D0000}"/>
    <cellStyle name="Accent2 30 2" xfId="3504" xr:uid="{00000000-0005-0000-0000-0000B00D0000}"/>
    <cellStyle name="Accent2 30 2 2" xfId="3505" xr:uid="{00000000-0005-0000-0000-0000B10D0000}"/>
    <cellStyle name="Accent2 30 3" xfId="3506" xr:uid="{00000000-0005-0000-0000-0000B20D0000}"/>
    <cellStyle name="Accent2 31" xfId="3507" xr:uid="{00000000-0005-0000-0000-0000B30D0000}"/>
    <cellStyle name="Accent2 31 2" xfId="3508" xr:uid="{00000000-0005-0000-0000-0000B40D0000}"/>
    <cellStyle name="Accent2 31 2 2" xfId="3509" xr:uid="{00000000-0005-0000-0000-0000B50D0000}"/>
    <cellStyle name="Accent2 31 3" xfId="3510" xr:uid="{00000000-0005-0000-0000-0000B60D0000}"/>
    <cellStyle name="Accent2 32" xfId="3511" xr:uid="{00000000-0005-0000-0000-0000B70D0000}"/>
    <cellStyle name="Accent2 32 2" xfId="3512" xr:uid="{00000000-0005-0000-0000-0000B80D0000}"/>
    <cellStyle name="Accent2 32 2 2" xfId="3513" xr:uid="{00000000-0005-0000-0000-0000B90D0000}"/>
    <cellStyle name="Accent2 32 3" xfId="3514" xr:uid="{00000000-0005-0000-0000-0000BA0D0000}"/>
    <cellStyle name="Accent2 33" xfId="3515" xr:uid="{00000000-0005-0000-0000-0000BB0D0000}"/>
    <cellStyle name="Accent2 33 2" xfId="3516" xr:uid="{00000000-0005-0000-0000-0000BC0D0000}"/>
    <cellStyle name="Accent2 33 2 2" xfId="3517" xr:uid="{00000000-0005-0000-0000-0000BD0D0000}"/>
    <cellStyle name="Accent2 33 3" xfId="3518" xr:uid="{00000000-0005-0000-0000-0000BE0D0000}"/>
    <cellStyle name="Accent2 34" xfId="3519" xr:uid="{00000000-0005-0000-0000-0000BF0D0000}"/>
    <cellStyle name="Accent2 34 2" xfId="3520" xr:uid="{00000000-0005-0000-0000-0000C00D0000}"/>
    <cellStyle name="Accent2 34 2 2" xfId="3521" xr:uid="{00000000-0005-0000-0000-0000C10D0000}"/>
    <cellStyle name="Accent2 34 3" xfId="3522" xr:uid="{00000000-0005-0000-0000-0000C20D0000}"/>
    <cellStyle name="Accent2 35" xfId="3523" xr:uid="{00000000-0005-0000-0000-0000C30D0000}"/>
    <cellStyle name="Accent2 35 2" xfId="3524" xr:uid="{00000000-0005-0000-0000-0000C40D0000}"/>
    <cellStyle name="Accent2 35 2 2" xfId="3525" xr:uid="{00000000-0005-0000-0000-0000C50D0000}"/>
    <cellStyle name="Accent2 35 3" xfId="3526" xr:uid="{00000000-0005-0000-0000-0000C60D0000}"/>
    <cellStyle name="Accent2 36" xfId="3527" xr:uid="{00000000-0005-0000-0000-0000C70D0000}"/>
    <cellStyle name="Accent2 36 2" xfId="3528" xr:uid="{00000000-0005-0000-0000-0000C80D0000}"/>
    <cellStyle name="Accent2 36 2 2" xfId="3529" xr:uid="{00000000-0005-0000-0000-0000C90D0000}"/>
    <cellStyle name="Accent2 36 3" xfId="3530" xr:uid="{00000000-0005-0000-0000-0000CA0D0000}"/>
    <cellStyle name="Accent2 37" xfId="3531" xr:uid="{00000000-0005-0000-0000-0000CB0D0000}"/>
    <cellStyle name="Accent2 37 2" xfId="3532" xr:uid="{00000000-0005-0000-0000-0000CC0D0000}"/>
    <cellStyle name="Accent2 37 2 2" xfId="3533" xr:uid="{00000000-0005-0000-0000-0000CD0D0000}"/>
    <cellStyle name="Accent2 37 3" xfId="3534" xr:uid="{00000000-0005-0000-0000-0000CE0D0000}"/>
    <cellStyle name="Accent2 38" xfId="3535" xr:uid="{00000000-0005-0000-0000-0000CF0D0000}"/>
    <cellStyle name="Accent2 38 2" xfId="3536" xr:uid="{00000000-0005-0000-0000-0000D00D0000}"/>
    <cellStyle name="Accent2 38 2 2" xfId="3537" xr:uid="{00000000-0005-0000-0000-0000D10D0000}"/>
    <cellStyle name="Accent2 38 3" xfId="3538" xr:uid="{00000000-0005-0000-0000-0000D20D0000}"/>
    <cellStyle name="Accent2 39" xfId="3539" xr:uid="{00000000-0005-0000-0000-0000D30D0000}"/>
    <cellStyle name="Accent2 39 2" xfId="3540" xr:uid="{00000000-0005-0000-0000-0000D40D0000}"/>
    <cellStyle name="Accent2 39 2 2" xfId="3541" xr:uid="{00000000-0005-0000-0000-0000D50D0000}"/>
    <cellStyle name="Accent2 39 3" xfId="3542" xr:uid="{00000000-0005-0000-0000-0000D60D0000}"/>
    <cellStyle name="Accent2 4" xfId="3543" xr:uid="{00000000-0005-0000-0000-0000D70D0000}"/>
    <cellStyle name="Accent2 4 2" xfId="3544" xr:uid="{00000000-0005-0000-0000-0000D80D0000}"/>
    <cellStyle name="Accent2 4 2 2" xfId="3545" xr:uid="{00000000-0005-0000-0000-0000D90D0000}"/>
    <cellStyle name="Accent2 4 2 2 2" xfId="3546" xr:uid="{00000000-0005-0000-0000-0000DA0D0000}"/>
    <cellStyle name="Accent2 4 2 3" xfId="3547" xr:uid="{00000000-0005-0000-0000-0000DB0D0000}"/>
    <cellStyle name="Accent2 4 2 3 2" xfId="3548" xr:uid="{00000000-0005-0000-0000-0000DC0D0000}"/>
    <cellStyle name="Accent2 4 2 3 2 2" xfId="3549" xr:uid="{00000000-0005-0000-0000-0000DD0D0000}"/>
    <cellStyle name="Accent2 4 2 3 3" xfId="3550" xr:uid="{00000000-0005-0000-0000-0000DE0D0000}"/>
    <cellStyle name="Accent2 4 2 4" xfId="3551" xr:uid="{00000000-0005-0000-0000-0000DF0D0000}"/>
    <cellStyle name="Accent2 4 3" xfId="3552" xr:uid="{00000000-0005-0000-0000-0000E00D0000}"/>
    <cellStyle name="Accent2 4 3 2" xfId="3553" xr:uid="{00000000-0005-0000-0000-0000E10D0000}"/>
    <cellStyle name="Accent2 4 3 2 2" xfId="3554" xr:uid="{00000000-0005-0000-0000-0000E20D0000}"/>
    <cellStyle name="Accent2 4 3 3" xfId="3555" xr:uid="{00000000-0005-0000-0000-0000E30D0000}"/>
    <cellStyle name="Accent2 4 3 3 2" xfId="3556" xr:uid="{00000000-0005-0000-0000-0000E40D0000}"/>
    <cellStyle name="Accent2 4 3 3 2 2" xfId="3557" xr:uid="{00000000-0005-0000-0000-0000E50D0000}"/>
    <cellStyle name="Accent2 4 3 3 3" xfId="3558" xr:uid="{00000000-0005-0000-0000-0000E60D0000}"/>
    <cellStyle name="Accent2 4 3 4" xfId="3559" xr:uid="{00000000-0005-0000-0000-0000E70D0000}"/>
    <cellStyle name="Accent2 4 4" xfId="3560" xr:uid="{00000000-0005-0000-0000-0000E80D0000}"/>
    <cellStyle name="Accent2 4 4 2" xfId="3561" xr:uid="{00000000-0005-0000-0000-0000E90D0000}"/>
    <cellStyle name="Accent2 4 4 2 2" xfId="3562" xr:uid="{00000000-0005-0000-0000-0000EA0D0000}"/>
    <cellStyle name="Accent2 4 4 3" xfId="3563" xr:uid="{00000000-0005-0000-0000-0000EB0D0000}"/>
    <cellStyle name="Accent2 4 5" xfId="3564" xr:uid="{00000000-0005-0000-0000-0000EC0D0000}"/>
    <cellStyle name="Accent2 4 5 2" xfId="3565" xr:uid="{00000000-0005-0000-0000-0000ED0D0000}"/>
    <cellStyle name="Accent2 4 6" xfId="3566" xr:uid="{00000000-0005-0000-0000-0000EE0D0000}"/>
    <cellStyle name="Accent2 4 6 2" xfId="3567" xr:uid="{00000000-0005-0000-0000-0000EF0D0000}"/>
    <cellStyle name="Accent2 4 7" xfId="3568" xr:uid="{00000000-0005-0000-0000-0000F00D0000}"/>
    <cellStyle name="Accent2 40" xfId="3569" xr:uid="{00000000-0005-0000-0000-0000F10D0000}"/>
    <cellStyle name="Accent2 40 2" xfId="3570" xr:uid="{00000000-0005-0000-0000-0000F20D0000}"/>
    <cellStyle name="Accent2 40 2 2" xfId="3571" xr:uid="{00000000-0005-0000-0000-0000F30D0000}"/>
    <cellStyle name="Accent2 40 3" xfId="3572" xr:uid="{00000000-0005-0000-0000-0000F40D0000}"/>
    <cellStyle name="Accent2 41" xfId="3573" xr:uid="{00000000-0005-0000-0000-0000F50D0000}"/>
    <cellStyle name="Accent2 41 2" xfId="3574" xr:uid="{00000000-0005-0000-0000-0000F60D0000}"/>
    <cellStyle name="Accent2 41 2 2" xfId="3575" xr:uid="{00000000-0005-0000-0000-0000F70D0000}"/>
    <cellStyle name="Accent2 41 3" xfId="3576" xr:uid="{00000000-0005-0000-0000-0000F80D0000}"/>
    <cellStyle name="Accent2 42" xfId="3577" xr:uid="{00000000-0005-0000-0000-0000F90D0000}"/>
    <cellStyle name="Accent2 42 2" xfId="3578" xr:uid="{00000000-0005-0000-0000-0000FA0D0000}"/>
    <cellStyle name="Accent2 42 2 2" xfId="3579" xr:uid="{00000000-0005-0000-0000-0000FB0D0000}"/>
    <cellStyle name="Accent2 42 3" xfId="3580" xr:uid="{00000000-0005-0000-0000-0000FC0D0000}"/>
    <cellStyle name="Accent2 43" xfId="3581" xr:uid="{00000000-0005-0000-0000-0000FD0D0000}"/>
    <cellStyle name="Accent2 43 2" xfId="3582" xr:uid="{00000000-0005-0000-0000-0000FE0D0000}"/>
    <cellStyle name="Accent2 43 2 2" xfId="3583" xr:uid="{00000000-0005-0000-0000-0000FF0D0000}"/>
    <cellStyle name="Accent2 43 3" xfId="3584" xr:uid="{00000000-0005-0000-0000-0000000E0000}"/>
    <cellStyle name="Accent2 44" xfId="3585" xr:uid="{00000000-0005-0000-0000-0000010E0000}"/>
    <cellStyle name="Accent2 44 2" xfId="3586" xr:uid="{00000000-0005-0000-0000-0000020E0000}"/>
    <cellStyle name="Accent2 44 2 2" xfId="3587" xr:uid="{00000000-0005-0000-0000-0000030E0000}"/>
    <cellStyle name="Accent2 44 3" xfId="3588" xr:uid="{00000000-0005-0000-0000-0000040E0000}"/>
    <cellStyle name="Accent2 45" xfId="3589" xr:uid="{00000000-0005-0000-0000-0000050E0000}"/>
    <cellStyle name="Accent2 45 2" xfId="3590" xr:uid="{00000000-0005-0000-0000-0000060E0000}"/>
    <cellStyle name="Accent2 45 2 2" xfId="3591" xr:uid="{00000000-0005-0000-0000-0000070E0000}"/>
    <cellStyle name="Accent2 45 3" xfId="3592" xr:uid="{00000000-0005-0000-0000-0000080E0000}"/>
    <cellStyle name="Accent2 46" xfId="3593" xr:uid="{00000000-0005-0000-0000-0000090E0000}"/>
    <cellStyle name="Accent2 46 2" xfId="3594" xr:uid="{00000000-0005-0000-0000-00000A0E0000}"/>
    <cellStyle name="Accent2 46 2 2" xfId="3595" xr:uid="{00000000-0005-0000-0000-00000B0E0000}"/>
    <cellStyle name="Accent2 46 3" xfId="3596" xr:uid="{00000000-0005-0000-0000-00000C0E0000}"/>
    <cellStyle name="Accent2 47" xfId="3597" xr:uid="{00000000-0005-0000-0000-00000D0E0000}"/>
    <cellStyle name="Accent2 47 2" xfId="3598" xr:uid="{00000000-0005-0000-0000-00000E0E0000}"/>
    <cellStyle name="Accent2 47 2 2" xfId="3599" xr:uid="{00000000-0005-0000-0000-00000F0E0000}"/>
    <cellStyle name="Accent2 47 3" xfId="3600" xr:uid="{00000000-0005-0000-0000-0000100E0000}"/>
    <cellStyle name="Accent2 48" xfId="3601" xr:uid="{00000000-0005-0000-0000-0000110E0000}"/>
    <cellStyle name="Accent2 48 2" xfId="3602" xr:uid="{00000000-0005-0000-0000-0000120E0000}"/>
    <cellStyle name="Accent2 48 2 2" xfId="3603" xr:uid="{00000000-0005-0000-0000-0000130E0000}"/>
    <cellStyle name="Accent2 48 3" xfId="3604" xr:uid="{00000000-0005-0000-0000-0000140E0000}"/>
    <cellStyle name="Accent2 48 3 2" xfId="3605" xr:uid="{00000000-0005-0000-0000-0000150E0000}"/>
    <cellStyle name="Accent2 48 3 2 2" xfId="3606" xr:uid="{00000000-0005-0000-0000-0000160E0000}"/>
    <cellStyle name="Accent2 48 3 3" xfId="3607" xr:uid="{00000000-0005-0000-0000-0000170E0000}"/>
    <cellStyle name="Accent2 48 4" xfId="3608" xr:uid="{00000000-0005-0000-0000-0000180E0000}"/>
    <cellStyle name="Accent2 49" xfId="3609" xr:uid="{00000000-0005-0000-0000-0000190E0000}"/>
    <cellStyle name="Accent2 49 2" xfId="3610" xr:uid="{00000000-0005-0000-0000-00001A0E0000}"/>
    <cellStyle name="Accent2 49 2 2" xfId="3611" xr:uid="{00000000-0005-0000-0000-00001B0E0000}"/>
    <cellStyle name="Accent2 49 3" xfId="3612" xr:uid="{00000000-0005-0000-0000-00001C0E0000}"/>
    <cellStyle name="Accent2 49 3 2" xfId="3613" xr:uid="{00000000-0005-0000-0000-00001D0E0000}"/>
    <cellStyle name="Accent2 49 3 2 2" xfId="3614" xr:uid="{00000000-0005-0000-0000-00001E0E0000}"/>
    <cellStyle name="Accent2 49 3 3" xfId="3615" xr:uid="{00000000-0005-0000-0000-00001F0E0000}"/>
    <cellStyle name="Accent2 49 4" xfId="3616" xr:uid="{00000000-0005-0000-0000-0000200E0000}"/>
    <cellStyle name="Accent2 5" xfId="3617" xr:uid="{00000000-0005-0000-0000-0000210E0000}"/>
    <cellStyle name="Accent2 5 2" xfId="3618" xr:uid="{00000000-0005-0000-0000-0000220E0000}"/>
    <cellStyle name="Accent2 5 2 2" xfId="3619" xr:uid="{00000000-0005-0000-0000-0000230E0000}"/>
    <cellStyle name="Accent2 5 2 2 2" xfId="3620" xr:uid="{00000000-0005-0000-0000-0000240E0000}"/>
    <cellStyle name="Accent2 5 2 3" xfId="3621" xr:uid="{00000000-0005-0000-0000-0000250E0000}"/>
    <cellStyle name="Accent2 5 2 3 2" xfId="3622" xr:uid="{00000000-0005-0000-0000-0000260E0000}"/>
    <cellStyle name="Accent2 5 2 3 2 2" xfId="3623" xr:uid="{00000000-0005-0000-0000-0000270E0000}"/>
    <cellStyle name="Accent2 5 2 3 3" xfId="3624" xr:uid="{00000000-0005-0000-0000-0000280E0000}"/>
    <cellStyle name="Accent2 5 2 4" xfId="3625" xr:uid="{00000000-0005-0000-0000-0000290E0000}"/>
    <cellStyle name="Accent2 5 3" xfId="3626" xr:uid="{00000000-0005-0000-0000-00002A0E0000}"/>
    <cellStyle name="Accent2 5 3 2" xfId="3627" xr:uid="{00000000-0005-0000-0000-00002B0E0000}"/>
    <cellStyle name="Accent2 5 3 2 2" xfId="3628" xr:uid="{00000000-0005-0000-0000-00002C0E0000}"/>
    <cellStyle name="Accent2 5 3 3" xfId="3629" xr:uid="{00000000-0005-0000-0000-00002D0E0000}"/>
    <cellStyle name="Accent2 5 3 3 2" xfId="3630" xr:uid="{00000000-0005-0000-0000-00002E0E0000}"/>
    <cellStyle name="Accent2 5 3 3 2 2" xfId="3631" xr:uid="{00000000-0005-0000-0000-00002F0E0000}"/>
    <cellStyle name="Accent2 5 3 3 3" xfId="3632" xr:uid="{00000000-0005-0000-0000-0000300E0000}"/>
    <cellStyle name="Accent2 5 3 4" xfId="3633" xr:uid="{00000000-0005-0000-0000-0000310E0000}"/>
    <cellStyle name="Accent2 5 4" xfId="3634" xr:uid="{00000000-0005-0000-0000-0000320E0000}"/>
    <cellStyle name="Accent2 5 4 2" xfId="3635" xr:uid="{00000000-0005-0000-0000-0000330E0000}"/>
    <cellStyle name="Accent2 5 5" xfId="3636" xr:uid="{00000000-0005-0000-0000-0000340E0000}"/>
    <cellStyle name="Accent2 5 5 2" xfId="3637" xr:uid="{00000000-0005-0000-0000-0000350E0000}"/>
    <cellStyle name="Accent2 5 6" xfId="3638" xr:uid="{00000000-0005-0000-0000-0000360E0000}"/>
    <cellStyle name="Accent2 50" xfId="3639" xr:uid="{00000000-0005-0000-0000-0000370E0000}"/>
    <cellStyle name="Accent2 50 2" xfId="3640" xr:uid="{00000000-0005-0000-0000-0000380E0000}"/>
    <cellStyle name="Accent2 50 2 2" xfId="3641" xr:uid="{00000000-0005-0000-0000-0000390E0000}"/>
    <cellStyle name="Accent2 50 3" xfId="3642" xr:uid="{00000000-0005-0000-0000-00003A0E0000}"/>
    <cellStyle name="Accent2 50 3 2" xfId="3643" xr:uid="{00000000-0005-0000-0000-00003B0E0000}"/>
    <cellStyle name="Accent2 50 3 2 2" xfId="3644" xr:uid="{00000000-0005-0000-0000-00003C0E0000}"/>
    <cellStyle name="Accent2 50 3 3" xfId="3645" xr:uid="{00000000-0005-0000-0000-00003D0E0000}"/>
    <cellStyle name="Accent2 50 4" xfId="3646" xr:uid="{00000000-0005-0000-0000-00003E0E0000}"/>
    <cellStyle name="Accent2 51" xfId="3647" xr:uid="{00000000-0005-0000-0000-00003F0E0000}"/>
    <cellStyle name="Accent2 51 2" xfId="3648" xr:uid="{00000000-0005-0000-0000-0000400E0000}"/>
    <cellStyle name="Accent2 51 2 2" xfId="3649" xr:uid="{00000000-0005-0000-0000-0000410E0000}"/>
    <cellStyle name="Accent2 51 3" xfId="3650" xr:uid="{00000000-0005-0000-0000-0000420E0000}"/>
    <cellStyle name="Accent2 51 3 2" xfId="3651" xr:uid="{00000000-0005-0000-0000-0000430E0000}"/>
    <cellStyle name="Accent2 51 3 2 2" xfId="3652" xr:uid="{00000000-0005-0000-0000-0000440E0000}"/>
    <cellStyle name="Accent2 51 3 3" xfId="3653" xr:uid="{00000000-0005-0000-0000-0000450E0000}"/>
    <cellStyle name="Accent2 51 4" xfId="3654" xr:uid="{00000000-0005-0000-0000-0000460E0000}"/>
    <cellStyle name="Accent2 52" xfId="3655" xr:uid="{00000000-0005-0000-0000-0000470E0000}"/>
    <cellStyle name="Accent2 52 2" xfId="3656" xr:uid="{00000000-0005-0000-0000-0000480E0000}"/>
    <cellStyle name="Accent2 52 2 2" xfId="3657" xr:uid="{00000000-0005-0000-0000-0000490E0000}"/>
    <cellStyle name="Accent2 52 3" xfId="3658" xr:uid="{00000000-0005-0000-0000-00004A0E0000}"/>
    <cellStyle name="Accent2 53" xfId="3659" xr:uid="{00000000-0005-0000-0000-00004B0E0000}"/>
    <cellStyle name="Accent2 53 2" xfId="3660" xr:uid="{00000000-0005-0000-0000-00004C0E0000}"/>
    <cellStyle name="Accent2 53 2 2" xfId="3661" xr:uid="{00000000-0005-0000-0000-00004D0E0000}"/>
    <cellStyle name="Accent2 53 3" xfId="3662" xr:uid="{00000000-0005-0000-0000-00004E0E0000}"/>
    <cellStyle name="Accent2 54" xfId="3663" xr:uid="{00000000-0005-0000-0000-00004F0E0000}"/>
    <cellStyle name="Accent2 54 2" xfId="3664" xr:uid="{00000000-0005-0000-0000-0000500E0000}"/>
    <cellStyle name="Accent2 54 2 2" xfId="3665" xr:uid="{00000000-0005-0000-0000-0000510E0000}"/>
    <cellStyle name="Accent2 54 3" xfId="3666" xr:uid="{00000000-0005-0000-0000-0000520E0000}"/>
    <cellStyle name="Accent2 55" xfId="3667" xr:uid="{00000000-0005-0000-0000-0000530E0000}"/>
    <cellStyle name="Accent2 55 2" xfId="3668" xr:uid="{00000000-0005-0000-0000-0000540E0000}"/>
    <cellStyle name="Accent2 55 2 2" xfId="3669" xr:uid="{00000000-0005-0000-0000-0000550E0000}"/>
    <cellStyle name="Accent2 55 3" xfId="3670" xr:uid="{00000000-0005-0000-0000-0000560E0000}"/>
    <cellStyle name="Accent2 56" xfId="3671" xr:uid="{00000000-0005-0000-0000-0000570E0000}"/>
    <cellStyle name="Accent2 56 2" xfId="3672" xr:uid="{00000000-0005-0000-0000-0000580E0000}"/>
    <cellStyle name="Accent2 56 2 2" xfId="3673" xr:uid="{00000000-0005-0000-0000-0000590E0000}"/>
    <cellStyle name="Accent2 56 3" xfId="3674" xr:uid="{00000000-0005-0000-0000-00005A0E0000}"/>
    <cellStyle name="Accent2 57" xfId="3675" xr:uid="{00000000-0005-0000-0000-00005B0E0000}"/>
    <cellStyle name="Accent2 57 2" xfId="3676" xr:uid="{00000000-0005-0000-0000-00005C0E0000}"/>
    <cellStyle name="Accent2 57 2 2" xfId="3677" xr:uid="{00000000-0005-0000-0000-00005D0E0000}"/>
    <cellStyle name="Accent2 57 3" xfId="3678" xr:uid="{00000000-0005-0000-0000-00005E0E0000}"/>
    <cellStyle name="Accent2 58" xfId="3679" xr:uid="{00000000-0005-0000-0000-00005F0E0000}"/>
    <cellStyle name="Accent2 58 2" xfId="3680" xr:uid="{00000000-0005-0000-0000-0000600E0000}"/>
    <cellStyle name="Accent2 58 2 2" xfId="3681" xr:uid="{00000000-0005-0000-0000-0000610E0000}"/>
    <cellStyle name="Accent2 58 3" xfId="3682" xr:uid="{00000000-0005-0000-0000-0000620E0000}"/>
    <cellStyle name="Accent2 58 3 2" xfId="3683" xr:uid="{00000000-0005-0000-0000-0000630E0000}"/>
    <cellStyle name="Accent2 58 3 2 2" xfId="3684" xr:uid="{00000000-0005-0000-0000-0000640E0000}"/>
    <cellStyle name="Accent2 58 3 3" xfId="3685" xr:uid="{00000000-0005-0000-0000-0000650E0000}"/>
    <cellStyle name="Accent2 58 4" xfId="3686" xr:uid="{00000000-0005-0000-0000-0000660E0000}"/>
    <cellStyle name="Accent2 59" xfId="3687" xr:uid="{00000000-0005-0000-0000-0000670E0000}"/>
    <cellStyle name="Accent2 59 2" xfId="3688" xr:uid="{00000000-0005-0000-0000-0000680E0000}"/>
    <cellStyle name="Accent2 59 2 2" xfId="3689" xr:uid="{00000000-0005-0000-0000-0000690E0000}"/>
    <cellStyle name="Accent2 59 3" xfId="3690" xr:uid="{00000000-0005-0000-0000-00006A0E0000}"/>
    <cellStyle name="Accent2 59 3 2" xfId="3691" xr:uid="{00000000-0005-0000-0000-00006B0E0000}"/>
    <cellStyle name="Accent2 59 3 2 2" xfId="3692" xr:uid="{00000000-0005-0000-0000-00006C0E0000}"/>
    <cellStyle name="Accent2 59 3 3" xfId="3693" xr:uid="{00000000-0005-0000-0000-00006D0E0000}"/>
    <cellStyle name="Accent2 59 4" xfId="3694" xr:uid="{00000000-0005-0000-0000-00006E0E0000}"/>
    <cellStyle name="Accent2 6" xfId="3695" xr:uid="{00000000-0005-0000-0000-00006F0E0000}"/>
    <cellStyle name="Accent2 6 2" xfId="3696" xr:uid="{00000000-0005-0000-0000-0000700E0000}"/>
    <cellStyle name="Accent2 6 2 2" xfId="3697" xr:uid="{00000000-0005-0000-0000-0000710E0000}"/>
    <cellStyle name="Accent2 6 2 2 2" xfId="3698" xr:uid="{00000000-0005-0000-0000-0000720E0000}"/>
    <cellStyle name="Accent2 6 2 3" xfId="3699" xr:uid="{00000000-0005-0000-0000-0000730E0000}"/>
    <cellStyle name="Accent2 6 2 3 2" xfId="3700" xr:uid="{00000000-0005-0000-0000-0000740E0000}"/>
    <cellStyle name="Accent2 6 2 3 2 2" xfId="3701" xr:uid="{00000000-0005-0000-0000-0000750E0000}"/>
    <cellStyle name="Accent2 6 2 3 3" xfId="3702" xr:uid="{00000000-0005-0000-0000-0000760E0000}"/>
    <cellStyle name="Accent2 6 2 4" xfId="3703" xr:uid="{00000000-0005-0000-0000-0000770E0000}"/>
    <cellStyle name="Accent2 6 3" xfId="3704" xr:uid="{00000000-0005-0000-0000-0000780E0000}"/>
    <cellStyle name="Accent2 6 3 2" xfId="3705" xr:uid="{00000000-0005-0000-0000-0000790E0000}"/>
    <cellStyle name="Accent2 6 4" xfId="3706" xr:uid="{00000000-0005-0000-0000-00007A0E0000}"/>
    <cellStyle name="Accent2 60" xfId="3707" xr:uid="{00000000-0005-0000-0000-00007B0E0000}"/>
    <cellStyle name="Accent2 60 2" xfId="3708" xr:uid="{00000000-0005-0000-0000-00007C0E0000}"/>
    <cellStyle name="Accent2 60 2 2" xfId="3709" xr:uid="{00000000-0005-0000-0000-00007D0E0000}"/>
    <cellStyle name="Accent2 60 3" xfId="3710" xr:uid="{00000000-0005-0000-0000-00007E0E0000}"/>
    <cellStyle name="Accent2 60 3 2" xfId="3711" xr:uid="{00000000-0005-0000-0000-00007F0E0000}"/>
    <cellStyle name="Accent2 60 3 2 2" xfId="3712" xr:uid="{00000000-0005-0000-0000-0000800E0000}"/>
    <cellStyle name="Accent2 60 3 3" xfId="3713" xr:uid="{00000000-0005-0000-0000-0000810E0000}"/>
    <cellStyle name="Accent2 60 4" xfId="3714" xr:uid="{00000000-0005-0000-0000-0000820E0000}"/>
    <cellStyle name="Accent2 61" xfId="3715" xr:uid="{00000000-0005-0000-0000-0000830E0000}"/>
    <cellStyle name="Accent2 61 2" xfId="3716" xr:uid="{00000000-0005-0000-0000-0000840E0000}"/>
    <cellStyle name="Accent2 61 2 2" xfId="3717" xr:uid="{00000000-0005-0000-0000-0000850E0000}"/>
    <cellStyle name="Accent2 61 3" xfId="3718" xr:uid="{00000000-0005-0000-0000-0000860E0000}"/>
    <cellStyle name="Accent2 61 3 2" xfId="3719" xr:uid="{00000000-0005-0000-0000-0000870E0000}"/>
    <cellStyle name="Accent2 61 3 2 2" xfId="3720" xr:uid="{00000000-0005-0000-0000-0000880E0000}"/>
    <cellStyle name="Accent2 61 3 3" xfId="3721" xr:uid="{00000000-0005-0000-0000-0000890E0000}"/>
    <cellStyle name="Accent2 61 4" xfId="3722" xr:uid="{00000000-0005-0000-0000-00008A0E0000}"/>
    <cellStyle name="Accent2 62" xfId="3723" xr:uid="{00000000-0005-0000-0000-00008B0E0000}"/>
    <cellStyle name="Accent2 62 2" xfId="3724" xr:uid="{00000000-0005-0000-0000-00008C0E0000}"/>
    <cellStyle name="Accent2 62 2 2" xfId="3725" xr:uid="{00000000-0005-0000-0000-00008D0E0000}"/>
    <cellStyle name="Accent2 62 3" xfId="3726" xr:uid="{00000000-0005-0000-0000-00008E0E0000}"/>
    <cellStyle name="Accent2 62 3 2" xfId="3727" xr:uid="{00000000-0005-0000-0000-00008F0E0000}"/>
    <cellStyle name="Accent2 62 3 2 2" xfId="3728" xr:uid="{00000000-0005-0000-0000-0000900E0000}"/>
    <cellStyle name="Accent2 62 3 3" xfId="3729" xr:uid="{00000000-0005-0000-0000-0000910E0000}"/>
    <cellStyle name="Accent2 62 4" xfId="3730" xr:uid="{00000000-0005-0000-0000-0000920E0000}"/>
    <cellStyle name="Accent2 63" xfId="3731" xr:uid="{00000000-0005-0000-0000-0000930E0000}"/>
    <cellStyle name="Accent2 63 2" xfId="3732" xr:uid="{00000000-0005-0000-0000-0000940E0000}"/>
    <cellStyle name="Accent2 63 2 2" xfId="3733" xr:uid="{00000000-0005-0000-0000-0000950E0000}"/>
    <cellStyle name="Accent2 63 3" xfId="3734" xr:uid="{00000000-0005-0000-0000-0000960E0000}"/>
    <cellStyle name="Accent2 63 3 2" xfId="3735" xr:uid="{00000000-0005-0000-0000-0000970E0000}"/>
    <cellStyle name="Accent2 63 3 2 2" xfId="3736" xr:uid="{00000000-0005-0000-0000-0000980E0000}"/>
    <cellStyle name="Accent2 63 3 3" xfId="3737" xr:uid="{00000000-0005-0000-0000-0000990E0000}"/>
    <cellStyle name="Accent2 63 4" xfId="3738" xr:uid="{00000000-0005-0000-0000-00009A0E0000}"/>
    <cellStyle name="Accent2 64" xfId="3739" xr:uid="{00000000-0005-0000-0000-00009B0E0000}"/>
    <cellStyle name="Accent2 64 2" xfId="3740" xr:uid="{00000000-0005-0000-0000-00009C0E0000}"/>
    <cellStyle name="Accent2 64 2 2" xfId="3741" xr:uid="{00000000-0005-0000-0000-00009D0E0000}"/>
    <cellStyle name="Accent2 64 3" xfId="3742" xr:uid="{00000000-0005-0000-0000-00009E0E0000}"/>
    <cellStyle name="Accent2 64 3 2" xfId="3743" xr:uid="{00000000-0005-0000-0000-00009F0E0000}"/>
    <cellStyle name="Accent2 64 3 2 2" xfId="3744" xr:uid="{00000000-0005-0000-0000-0000A00E0000}"/>
    <cellStyle name="Accent2 64 3 3" xfId="3745" xr:uid="{00000000-0005-0000-0000-0000A10E0000}"/>
    <cellStyle name="Accent2 64 4" xfId="3746" xr:uid="{00000000-0005-0000-0000-0000A20E0000}"/>
    <cellStyle name="Accent2 65" xfId="3747" xr:uid="{00000000-0005-0000-0000-0000A30E0000}"/>
    <cellStyle name="Accent2 65 2" xfId="3748" xr:uid="{00000000-0005-0000-0000-0000A40E0000}"/>
    <cellStyle name="Accent2 65 2 2" xfId="3749" xr:uid="{00000000-0005-0000-0000-0000A50E0000}"/>
    <cellStyle name="Accent2 65 3" xfId="3750" xr:uid="{00000000-0005-0000-0000-0000A60E0000}"/>
    <cellStyle name="Accent2 65 3 2" xfId="3751" xr:uid="{00000000-0005-0000-0000-0000A70E0000}"/>
    <cellStyle name="Accent2 65 3 2 2" xfId="3752" xr:uid="{00000000-0005-0000-0000-0000A80E0000}"/>
    <cellStyle name="Accent2 65 3 3" xfId="3753" xr:uid="{00000000-0005-0000-0000-0000A90E0000}"/>
    <cellStyle name="Accent2 65 4" xfId="3754" xr:uid="{00000000-0005-0000-0000-0000AA0E0000}"/>
    <cellStyle name="Accent2 66" xfId="3755" xr:uid="{00000000-0005-0000-0000-0000AB0E0000}"/>
    <cellStyle name="Accent2 66 2" xfId="3756" xr:uid="{00000000-0005-0000-0000-0000AC0E0000}"/>
    <cellStyle name="Accent2 66 2 2" xfId="3757" xr:uid="{00000000-0005-0000-0000-0000AD0E0000}"/>
    <cellStyle name="Accent2 66 3" xfId="3758" xr:uid="{00000000-0005-0000-0000-0000AE0E0000}"/>
    <cellStyle name="Accent2 66 3 2" xfId="3759" xr:uid="{00000000-0005-0000-0000-0000AF0E0000}"/>
    <cellStyle name="Accent2 66 3 2 2" xfId="3760" xr:uid="{00000000-0005-0000-0000-0000B00E0000}"/>
    <cellStyle name="Accent2 66 3 3" xfId="3761" xr:uid="{00000000-0005-0000-0000-0000B10E0000}"/>
    <cellStyle name="Accent2 66 4" xfId="3762" xr:uid="{00000000-0005-0000-0000-0000B20E0000}"/>
    <cellStyle name="Accent2 67" xfId="3763" xr:uid="{00000000-0005-0000-0000-0000B30E0000}"/>
    <cellStyle name="Accent2 67 2" xfId="3764" xr:uid="{00000000-0005-0000-0000-0000B40E0000}"/>
    <cellStyle name="Accent2 67 2 2" xfId="3765" xr:uid="{00000000-0005-0000-0000-0000B50E0000}"/>
    <cellStyle name="Accent2 67 3" xfId="3766" xr:uid="{00000000-0005-0000-0000-0000B60E0000}"/>
    <cellStyle name="Accent2 67 3 2" xfId="3767" xr:uid="{00000000-0005-0000-0000-0000B70E0000}"/>
    <cellStyle name="Accent2 67 3 2 2" xfId="3768" xr:uid="{00000000-0005-0000-0000-0000B80E0000}"/>
    <cellStyle name="Accent2 67 3 3" xfId="3769" xr:uid="{00000000-0005-0000-0000-0000B90E0000}"/>
    <cellStyle name="Accent2 67 4" xfId="3770" xr:uid="{00000000-0005-0000-0000-0000BA0E0000}"/>
    <cellStyle name="Accent2 68" xfId="3771" xr:uid="{00000000-0005-0000-0000-0000BB0E0000}"/>
    <cellStyle name="Accent2 68 2" xfId="3772" xr:uid="{00000000-0005-0000-0000-0000BC0E0000}"/>
    <cellStyle name="Accent2 68 2 2" xfId="3773" xr:uid="{00000000-0005-0000-0000-0000BD0E0000}"/>
    <cellStyle name="Accent2 68 3" xfId="3774" xr:uid="{00000000-0005-0000-0000-0000BE0E0000}"/>
    <cellStyle name="Accent2 68 3 2" xfId="3775" xr:uid="{00000000-0005-0000-0000-0000BF0E0000}"/>
    <cellStyle name="Accent2 68 3 2 2" xfId="3776" xr:uid="{00000000-0005-0000-0000-0000C00E0000}"/>
    <cellStyle name="Accent2 68 3 3" xfId="3777" xr:uid="{00000000-0005-0000-0000-0000C10E0000}"/>
    <cellStyle name="Accent2 68 4" xfId="3778" xr:uid="{00000000-0005-0000-0000-0000C20E0000}"/>
    <cellStyle name="Accent2 69" xfId="3779" xr:uid="{00000000-0005-0000-0000-0000C30E0000}"/>
    <cellStyle name="Accent2 69 2" xfId="3780" xr:uid="{00000000-0005-0000-0000-0000C40E0000}"/>
    <cellStyle name="Accent2 69 2 2" xfId="3781" xr:uid="{00000000-0005-0000-0000-0000C50E0000}"/>
    <cellStyle name="Accent2 69 3" xfId="3782" xr:uid="{00000000-0005-0000-0000-0000C60E0000}"/>
    <cellStyle name="Accent2 69 3 2" xfId="3783" xr:uid="{00000000-0005-0000-0000-0000C70E0000}"/>
    <cellStyle name="Accent2 69 3 2 2" xfId="3784" xr:uid="{00000000-0005-0000-0000-0000C80E0000}"/>
    <cellStyle name="Accent2 69 3 3" xfId="3785" xr:uid="{00000000-0005-0000-0000-0000C90E0000}"/>
    <cellStyle name="Accent2 69 4" xfId="3786" xr:uid="{00000000-0005-0000-0000-0000CA0E0000}"/>
    <cellStyle name="Accent2 7" xfId="3787" xr:uid="{00000000-0005-0000-0000-0000CB0E0000}"/>
    <cellStyle name="Accent2 7 2" xfId="3788" xr:uid="{00000000-0005-0000-0000-0000CC0E0000}"/>
    <cellStyle name="Accent2 7 2 2" xfId="3789" xr:uid="{00000000-0005-0000-0000-0000CD0E0000}"/>
    <cellStyle name="Accent2 7 2 2 2" xfId="3790" xr:uid="{00000000-0005-0000-0000-0000CE0E0000}"/>
    <cellStyle name="Accent2 7 2 3" xfId="3791" xr:uid="{00000000-0005-0000-0000-0000CF0E0000}"/>
    <cellStyle name="Accent2 7 2 3 2" xfId="3792" xr:uid="{00000000-0005-0000-0000-0000D00E0000}"/>
    <cellStyle name="Accent2 7 2 3 2 2" xfId="3793" xr:uid="{00000000-0005-0000-0000-0000D10E0000}"/>
    <cellStyle name="Accent2 7 2 3 3" xfId="3794" xr:uid="{00000000-0005-0000-0000-0000D20E0000}"/>
    <cellStyle name="Accent2 7 2 4" xfId="3795" xr:uid="{00000000-0005-0000-0000-0000D30E0000}"/>
    <cellStyle name="Accent2 7 3" xfId="3796" xr:uid="{00000000-0005-0000-0000-0000D40E0000}"/>
    <cellStyle name="Accent2 7 3 2" xfId="3797" xr:uid="{00000000-0005-0000-0000-0000D50E0000}"/>
    <cellStyle name="Accent2 7 4" xfId="3798" xr:uid="{00000000-0005-0000-0000-0000D60E0000}"/>
    <cellStyle name="Accent2 70" xfId="3799" xr:uid="{00000000-0005-0000-0000-0000D70E0000}"/>
    <cellStyle name="Accent2 70 2" xfId="3800" xr:uid="{00000000-0005-0000-0000-0000D80E0000}"/>
    <cellStyle name="Accent2 70 2 2" xfId="3801" xr:uid="{00000000-0005-0000-0000-0000D90E0000}"/>
    <cellStyle name="Accent2 70 3" xfId="3802" xr:uid="{00000000-0005-0000-0000-0000DA0E0000}"/>
    <cellStyle name="Accent2 70 3 2" xfId="3803" xr:uid="{00000000-0005-0000-0000-0000DB0E0000}"/>
    <cellStyle name="Accent2 70 3 2 2" xfId="3804" xr:uid="{00000000-0005-0000-0000-0000DC0E0000}"/>
    <cellStyle name="Accent2 70 3 3" xfId="3805" xr:uid="{00000000-0005-0000-0000-0000DD0E0000}"/>
    <cellStyle name="Accent2 70 4" xfId="3806" xr:uid="{00000000-0005-0000-0000-0000DE0E0000}"/>
    <cellStyle name="Accent2 71" xfId="3807" xr:uid="{00000000-0005-0000-0000-0000DF0E0000}"/>
    <cellStyle name="Accent2 71 2" xfId="3808" xr:uid="{00000000-0005-0000-0000-0000E00E0000}"/>
    <cellStyle name="Accent2 71 2 2" xfId="3809" xr:uid="{00000000-0005-0000-0000-0000E10E0000}"/>
    <cellStyle name="Accent2 71 3" xfId="3810" xr:uid="{00000000-0005-0000-0000-0000E20E0000}"/>
    <cellStyle name="Accent2 71 3 2" xfId="3811" xr:uid="{00000000-0005-0000-0000-0000E30E0000}"/>
    <cellStyle name="Accent2 71 3 2 2" xfId="3812" xr:uid="{00000000-0005-0000-0000-0000E40E0000}"/>
    <cellStyle name="Accent2 71 3 3" xfId="3813" xr:uid="{00000000-0005-0000-0000-0000E50E0000}"/>
    <cellStyle name="Accent2 71 4" xfId="3814" xr:uid="{00000000-0005-0000-0000-0000E60E0000}"/>
    <cellStyle name="Accent2 72" xfId="3815" xr:uid="{00000000-0005-0000-0000-0000E70E0000}"/>
    <cellStyle name="Accent2 72 2" xfId="3816" xr:uid="{00000000-0005-0000-0000-0000E80E0000}"/>
    <cellStyle name="Accent2 72 2 2" xfId="3817" xr:uid="{00000000-0005-0000-0000-0000E90E0000}"/>
    <cellStyle name="Accent2 72 3" xfId="3818" xr:uid="{00000000-0005-0000-0000-0000EA0E0000}"/>
    <cellStyle name="Accent2 72 3 2" xfId="3819" xr:uid="{00000000-0005-0000-0000-0000EB0E0000}"/>
    <cellStyle name="Accent2 72 3 2 2" xfId="3820" xr:uid="{00000000-0005-0000-0000-0000EC0E0000}"/>
    <cellStyle name="Accent2 72 3 3" xfId="3821" xr:uid="{00000000-0005-0000-0000-0000ED0E0000}"/>
    <cellStyle name="Accent2 72 4" xfId="3822" xr:uid="{00000000-0005-0000-0000-0000EE0E0000}"/>
    <cellStyle name="Accent2 73" xfId="3823" xr:uid="{00000000-0005-0000-0000-0000EF0E0000}"/>
    <cellStyle name="Accent2 73 2" xfId="3824" xr:uid="{00000000-0005-0000-0000-0000F00E0000}"/>
    <cellStyle name="Accent2 73 2 2" xfId="3825" xr:uid="{00000000-0005-0000-0000-0000F10E0000}"/>
    <cellStyle name="Accent2 73 3" xfId="3826" xr:uid="{00000000-0005-0000-0000-0000F20E0000}"/>
    <cellStyle name="Accent2 73 3 2" xfId="3827" xr:uid="{00000000-0005-0000-0000-0000F30E0000}"/>
    <cellStyle name="Accent2 73 3 2 2" xfId="3828" xr:uid="{00000000-0005-0000-0000-0000F40E0000}"/>
    <cellStyle name="Accent2 73 3 3" xfId="3829" xr:uid="{00000000-0005-0000-0000-0000F50E0000}"/>
    <cellStyle name="Accent2 73 4" xfId="3830" xr:uid="{00000000-0005-0000-0000-0000F60E0000}"/>
    <cellStyle name="Accent2 74" xfId="3831" xr:uid="{00000000-0005-0000-0000-0000F70E0000}"/>
    <cellStyle name="Accent2 74 2" xfId="3832" xr:uid="{00000000-0005-0000-0000-0000F80E0000}"/>
    <cellStyle name="Accent2 74 2 2" xfId="3833" xr:uid="{00000000-0005-0000-0000-0000F90E0000}"/>
    <cellStyle name="Accent2 74 3" xfId="3834" xr:uid="{00000000-0005-0000-0000-0000FA0E0000}"/>
    <cellStyle name="Accent2 74 3 2" xfId="3835" xr:uid="{00000000-0005-0000-0000-0000FB0E0000}"/>
    <cellStyle name="Accent2 74 3 2 2" xfId="3836" xr:uid="{00000000-0005-0000-0000-0000FC0E0000}"/>
    <cellStyle name="Accent2 74 3 3" xfId="3837" xr:uid="{00000000-0005-0000-0000-0000FD0E0000}"/>
    <cellStyle name="Accent2 74 4" xfId="3838" xr:uid="{00000000-0005-0000-0000-0000FE0E0000}"/>
    <cellStyle name="Accent2 75" xfId="3839" xr:uid="{00000000-0005-0000-0000-0000FF0E0000}"/>
    <cellStyle name="Accent2 75 2" xfId="3840" xr:uid="{00000000-0005-0000-0000-0000000F0000}"/>
    <cellStyle name="Accent2 75 2 2" xfId="3841" xr:uid="{00000000-0005-0000-0000-0000010F0000}"/>
    <cellStyle name="Accent2 75 3" xfId="3842" xr:uid="{00000000-0005-0000-0000-0000020F0000}"/>
    <cellStyle name="Accent2 75 3 2" xfId="3843" xr:uid="{00000000-0005-0000-0000-0000030F0000}"/>
    <cellStyle name="Accent2 75 3 2 2" xfId="3844" xr:uid="{00000000-0005-0000-0000-0000040F0000}"/>
    <cellStyle name="Accent2 75 3 3" xfId="3845" xr:uid="{00000000-0005-0000-0000-0000050F0000}"/>
    <cellStyle name="Accent2 75 4" xfId="3846" xr:uid="{00000000-0005-0000-0000-0000060F0000}"/>
    <cellStyle name="Accent2 76" xfId="3847" xr:uid="{00000000-0005-0000-0000-0000070F0000}"/>
    <cellStyle name="Accent2 76 2" xfId="3848" xr:uid="{00000000-0005-0000-0000-0000080F0000}"/>
    <cellStyle name="Accent2 76 2 2" xfId="3849" xr:uid="{00000000-0005-0000-0000-0000090F0000}"/>
    <cellStyle name="Accent2 76 3" xfId="3850" xr:uid="{00000000-0005-0000-0000-00000A0F0000}"/>
    <cellStyle name="Accent2 76 3 2" xfId="3851" xr:uid="{00000000-0005-0000-0000-00000B0F0000}"/>
    <cellStyle name="Accent2 76 3 2 2" xfId="3852" xr:uid="{00000000-0005-0000-0000-00000C0F0000}"/>
    <cellStyle name="Accent2 76 3 3" xfId="3853" xr:uid="{00000000-0005-0000-0000-00000D0F0000}"/>
    <cellStyle name="Accent2 76 4" xfId="3854" xr:uid="{00000000-0005-0000-0000-00000E0F0000}"/>
    <cellStyle name="Accent2 77" xfId="3855" xr:uid="{00000000-0005-0000-0000-00000F0F0000}"/>
    <cellStyle name="Accent2 77 2" xfId="3856" xr:uid="{00000000-0005-0000-0000-0000100F0000}"/>
    <cellStyle name="Accent2 77 2 2" xfId="3857" xr:uid="{00000000-0005-0000-0000-0000110F0000}"/>
    <cellStyle name="Accent2 77 3" xfId="3858" xr:uid="{00000000-0005-0000-0000-0000120F0000}"/>
    <cellStyle name="Accent2 77 3 2" xfId="3859" xr:uid="{00000000-0005-0000-0000-0000130F0000}"/>
    <cellStyle name="Accent2 77 3 2 2" xfId="3860" xr:uid="{00000000-0005-0000-0000-0000140F0000}"/>
    <cellStyle name="Accent2 77 3 3" xfId="3861" xr:uid="{00000000-0005-0000-0000-0000150F0000}"/>
    <cellStyle name="Accent2 77 4" xfId="3862" xr:uid="{00000000-0005-0000-0000-0000160F0000}"/>
    <cellStyle name="Accent2 78" xfId="3863" xr:uid="{00000000-0005-0000-0000-0000170F0000}"/>
    <cellStyle name="Accent2 78 2" xfId="3864" xr:uid="{00000000-0005-0000-0000-0000180F0000}"/>
    <cellStyle name="Accent2 78 2 2" xfId="3865" xr:uid="{00000000-0005-0000-0000-0000190F0000}"/>
    <cellStyle name="Accent2 78 3" xfId="3866" xr:uid="{00000000-0005-0000-0000-00001A0F0000}"/>
    <cellStyle name="Accent2 78 3 2" xfId="3867" xr:uid="{00000000-0005-0000-0000-00001B0F0000}"/>
    <cellStyle name="Accent2 78 3 2 2" xfId="3868" xr:uid="{00000000-0005-0000-0000-00001C0F0000}"/>
    <cellStyle name="Accent2 78 3 3" xfId="3869" xr:uid="{00000000-0005-0000-0000-00001D0F0000}"/>
    <cellStyle name="Accent2 78 4" xfId="3870" xr:uid="{00000000-0005-0000-0000-00001E0F0000}"/>
    <cellStyle name="Accent2 79" xfId="3871" xr:uid="{00000000-0005-0000-0000-00001F0F0000}"/>
    <cellStyle name="Accent2 79 2" xfId="3872" xr:uid="{00000000-0005-0000-0000-0000200F0000}"/>
    <cellStyle name="Accent2 79 2 2" xfId="3873" xr:uid="{00000000-0005-0000-0000-0000210F0000}"/>
    <cellStyle name="Accent2 79 3" xfId="3874" xr:uid="{00000000-0005-0000-0000-0000220F0000}"/>
    <cellStyle name="Accent2 79 3 2" xfId="3875" xr:uid="{00000000-0005-0000-0000-0000230F0000}"/>
    <cellStyle name="Accent2 79 3 2 2" xfId="3876" xr:uid="{00000000-0005-0000-0000-0000240F0000}"/>
    <cellStyle name="Accent2 79 3 3" xfId="3877" xr:uid="{00000000-0005-0000-0000-0000250F0000}"/>
    <cellStyle name="Accent2 79 4" xfId="3878" xr:uid="{00000000-0005-0000-0000-0000260F0000}"/>
    <cellStyle name="Accent2 8" xfId="3879" xr:uid="{00000000-0005-0000-0000-0000270F0000}"/>
    <cellStyle name="Accent2 8 2" xfId="3880" xr:uid="{00000000-0005-0000-0000-0000280F0000}"/>
    <cellStyle name="Accent2 8 2 2" xfId="3881" xr:uid="{00000000-0005-0000-0000-0000290F0000}"/>
    <cellStyle name="Accent2 8 3" xfId="3882" xr:uid="{00000000-0005-0000-0000-00002A0F0000}"/>
    <cellStyle name="Accent2 80" xfId="3883" xr:uid="{00000000-0005-0000-0000-00002B0F0000}"/>
    <cellStyle name="Accent2 80 2" xfId="3884" xr:uid="{00000000-0005-0000-0000-00002C0F0000}"/>
    <cellStyle name="Accent2 80 2 2" xfId="3885" xr:uid="{00000000-0005-0000-0000-00002D0F0000}"/>
    <cellStyle name="Accent2 80 3" xfId="3886" xr:uid="{00000000-0005-0000-0000-00002E0F0000}"/>
    <cellStyle name="Accent2 80 3 2" xfId="3887" xr:uid="{00000000-0005-0000-0000-00002F0F0000}"/>
    <cellStyle name="Accent2 80 3 2 2" xfId="3888" xr:uid="{00000000-0005-0000-0000-0000300F0000}"/>
    <cellStyle name="Accent2 80 3 3" xfId="3889" xr:uid="{00000000-0005-0000-0000-0000310F0000}"/>
    <cellStyle name="Accent2 80 4" xfId="3890" xr:uid="{00000000-0005-0000-0000-0000320F0000}"/>
    <cellStyle name="Accent2 81" xfId="3891" xr:uid="{00000000-0005-0000-0000-0000330F0000}"/>
    <cellStyle name="Accent2 81 2" xfId="3892" xr:uid="{00000000-0005-0000-0000-0000340F0000}"/>
    <cellStyle name="Accent2 81 2 2" xfId="3893" xr:uid="{00000000-0005-0000-0000-0000350F0000}"/>
    <cellStyle name="Accent2 81 3" xfId="3894" xr:uid="{00000000-0005-0000-0000-0000360F0000}"/>
    <cellStyle name="Accent2 81 3 2" xfId="3895" xr:uid="{00000000-0005-0000-0000-0000370F0000}"/>
    <cellStyle name="Accent2 81 3 2 2" xfId="3896" xr:uid="{00000000-0005-0000-0000-0000380F0000}"/>
    <cellStyle name="Accent2 81 3 3" xfId="3897" xr:uid="{00000000-0005-0000-0000-0000390F0000}"/>
    <cellStyle name="Accent2 81 4" xfId="3898" xr:uid="{00000000-0005-0000-0000-00003A0F0000}"/>
    <cellStyle name="Accent2 82" xfId="3899" xr:uid="{00000000-0005-0000-0000-00003B0F0000}"/>
    <cellStyle name="Accent2 82 2" xfId="3900" xr:uid="{00000000-0005-0000-0000-00003C0F0000}"/>
    <cellStyle name="Accent2 82 2 2" xfId="3901" xr:uid="{00000000-0005-0000-0000-00003D0F0000}"/>
    <cellStyle name="Accent2 82 3" xfId="3902" xr:uid="{00000000-0005-0000-0000-00003E0F0000}"/>
    <cellStyle name="Accent2 82 3 2" xfId="3903" xr:uid="{00000000-0005-0000-0000-00003F0F0000}"/>
    <cellStyle name="Accent2 82 3 2 2" xfId="3904" xr:uid="{00000000-0005-0000-0000-0000400F0000}"/>
    <cellStyle name="Accent2 82 3 3" xfId="3905" xr:uid="{00000000-0005-0000-0000-0000410F0000}"/>
    <cellStyle name="Accent2 82 4" xfId="3906" xr:uid="{00000000-0005-0000-0000-0000420F0000}"/>
    <cellStyle name="Accent2 83" xfId="3907" xr:uid="{00000000-0005-0000-0000-0000430F0000}"/>
    <cellStyle name="Accent2 83 2" xfId="3908" xr:uid="{00000000-0005-0000-0000-0000440F0000}"/>
    <cellStyle name="Accent2 83 2 2" xfId="3909" xr:uid="{00000000-0005-0000-0000-0000450F0000}"/>
    <cellStyle name="Accent2 83 3" xfId="3910" xr:uid="{00000000-0005-0000-0000-0000460F0000}"/>
    <cellStyle name="Accent2 83 3 2" xfId="3911" xr:uid="{00000000-0005-0000-0000-0000470F0000}"/>
    <cellStyle name="Accent2 83 3 2 2" xfId="3912" xr:uid="{00000000-0005-0000-0000-0000480F0000}"/>
    <cellStyle name="Accent2 83 3 3" xfId="3913" xr:uid="{00000000-0005-0000-0000-0000490F0000}"/>
    <cellStyle name="Accent2 83 4" xfId="3914" xr:uid="{00000000-0005-0000-0000-00004A0F0000}"/>
    <cellStyle name="Accent2 84" xfId="3915" xr:uid="{00000000-0005-0000-0000-00004B0F0000}"/>
    <cellStyle name="Accent2 84 2" xfId="3916" xr:uid="{00000000-0005-0000-0000-00004C0F0000}"/>
    <cellStyle name="Accent2 84 2 2" xfId="3917" xr:uid="{00000000-0005-0000-0000-00004D0F0000}"/>
    <cellStyle name="Accent2 84 3" xfId="3918" xr:uid="{00000000-0005-0000-0000-00004E0F0000}"/>
    <cellStyle name="Accent2 85" xfId="3919" xr:uid="{00000000-0005-0000-0000-00004F0F0000}"/>
    <cellStyle name="Accent2 85 2" xfId="3920" xr:uid="{00000000-0005-0000-0000-0000500F0000}"/>
    <cellStyle name="Accent2 85 2 2" xfId="3921" xr:uid="{00000000-0005-0000-0000-0000510F0000}"/>
    <cellStyle name="Accent2 85 3" xfId="3922" xr:uid="{00000000-0005-0000-0000-0000520F0000}"/>
    <cellStyle name="Accent2 86" xfId="3923" xr:uid="{00000000-0005-0000-0000-0000530F0000}"/>
    <cellStyle name="Accent2 86 2" xfId="3924" xr:uid="{00000000-0005-0000-0000-0000540F0000}"/>
    <cellStyle name="Accent2 86 2 2" xfId="3925" xr:uid="{00000000-0005-0000-0000-0000550F0000}"/>
    <cellStyle name="Accent2 86 3" xfId="3926" xr:uid="{00000000-0005-0000-0000-0000560F0000}"/>
    <cellStyle name="Accent2 87" xfId="3927" xr:uid="{00000000-0005-0000-0000-0000570F0000}"/>
    <cellStyle name="Accent2 87 2" xfId="3928" xr:uid="{00000000-0005-0000-0000-0000580F0000}"/>
    <cellStyle name="Accent2 87 2 2" xfId="3929" xr:uid="{00000000-0005-0000-0000-0000590F0000}"/>
    <cellStyle name="Accent2 87 3" xfId="3930" xr:uid="{00000000-0005-0000-0000-00005A0F0000}"/>
    <cellStyle name="Accent2 88" xfId="3931" xr:uid="{00000000-0005-0000-0000-00005B0F0000}"/>
    <cellStyle name="Accent2 88 2" xfId="3932" xr:uid="{00000000-0005-0000-0000-00005C0F0000}"/>
    <cellStyle name="Accent2 88 2 2" xfId="3933" xr:uid="{00000000-0005-0000-0000-00005D0F0000}"/>
    <cellStyle name="Accent2 88 3" xfId="3934" xr:uid="{00000000-0005-0000-0000-00005E0F0000}"/>
    <cellStyle name="Accent2 89" xfId="3935" xr:uid="{00000000-0005-0000-0000-00005F0F0000}"/>
    <cellStyle name="Accent2 89 2" xfId="3936" xr:uid="{00000000-0005-0000-0000-0000600F0000}"/>
    <cellStyle name="Accent2 89 2 2" xfId="3937" xr:uid="{00000000-0005-0000-0000-0000610F0000}"/>
    <cellStyle name="Accent2 89 3" xfId="3938" xr:uid="{00000000-0005-0000-0000-0000620F0000}"/>
    <cellStyle name="Accent2 9" xfId="3939" xr:uid="{00000000-0005-0000-0000-0000630F0000}"/>
    <cellStyle name="Accent2 9 2" xfId="3940" xr:uid="{00000000-0005-0000-0000-0000640F0000}"/>
    <cellStyle name="Accent2 9 2 2" xfId="3941" xr:uid="{00000000-0005-0000-0000-0000650F0000}"/>
    <cellStyle name="Accent2 9 3" xfId="3942" xr:uid="{00000000-0005-0000-0000-0000660F0000}"/>
    <cellStyle name="Accent2 90" xfId="3943" xr:uid="{00000000-0005-0000-0000-0000670F0000}"/>
    <cellStyle name="Accent2 90 2" xfId="3944" xr:uid="{00000000-0005-0000-0000-0000680F0000}"/>
    <cellStyle name="Accent2 90 2 2" xfId="3945" xr:uid="{00000000-0005-0000-0000-0000690F0000}"/>
    <cellStyle name="Accent2 90 3" xfId="3946" xr:uid="{00000000-0005-0000-0000-00006A0F0000}"/>
    <cellStyle name="Accent2 91" xfId="3947" xr:uid="{00000000-0005-0000-0000-00006B0F0000}"/>
    <cellStyle name="Accent2 91 2" xfId="3948" xr:uid="{00000000-0005-0000-0000-00006C0F0000}"/>
    <cellStyle name="Accent2 91 2 2" xfId="3949" xr:uid="{00000000-0005-0000-0000-00006D0F0000}"/>
    <cellStyle name="Accent2 91 3" xfId="3950" xr:uid="{00000000-0005-0000-0000-00006E0F0000}"/>
    <cellStyle name="Accent2 92" xfId="3951" xr:uid="{00000000-0005-0000-0000-00006F0F0000}"/>
    <cellStyle name="Accent2 92 2" xfId="3952" xr:uid="{00000000-0005-0000-0000-0000700F0000}"/>
    <cellStyle name="Accent2 92 2 2" xfId="3953" xr:uid="{00000000-0005-0000-0000-0000710F0000}"/>
    <cellStyle name="Accent2 92 3" xfId="3954" xr:uid="{00000000-0005-0000-0000-0000720F0000}"/>
    <cellStyle name="Accent2 93" xfId="3955" xr:uid="{00000000-0005-0000-0000-0000730F0000}"/>
    <cellStyle name="Accent2 93 2" xfId="3956" xr:uid="{00000000-0005-0000-0000-0000740F0000}"/>
    <cellStyle name="Accent2 93 2 2" xfId="3957" xr:uid="{00000000-0005-0000-0000-0000750F0000}"/>
    <cellStyle name="Accent2 93 3" xfId="3958" xr:uid="{00000000-0005-0000-0000-0000760F0000}"/>
    <cellStyle name="Accent2 94" xfId="3959" xr:uid="{00000000-0005-0000-0000-0000770F0000}"/>
    <cellStyle name="Accent2 94 2" xfId="3960" xr:uid="{00000000-0005-0000-0000-0000780F0000}"/>
    <cellStyle name="Accent2 94 2 2" xfId="3961" xr:uid="{00000000-0005-0000-0000-0000790F0000}"/>
    <cellStyle name="Accent2 94 3" xfId="3962" xr:uid="{00000000-0005-0000-0000-00007A0F0000}"/>
    <cellStyle name="Accent2 95" xfId="3963" xr:uid="{00000000-0005-0000-0000-00007B0F0000}"/>
    <cellStyle name="Accent2 95 2" xfId="3964" xr:uid="{00000000-0005-0000-0000-00007C0F0000}"/>
    <cellStyle name="Accent2 95 2 2" xfId="3965" xr:uid="{00000000-0005-0000-0000-00007D0F0000}"/>
    <cellStyle name="Accent2 95 3" xfId="3966" xr:uid="{00000000-0005-0000-0000-00007E0F0000}"/>
    <cellStyle name="Accent2 96" xfId="3967" xr:uid="{00000000-0005-0000-0000-00007F0F0000}"/>
    <cellStyle name="Accent2 96 2" xfId="3968" xr:uid="{00000000-0005-0000-0000-0000800F0000}"/>
    <cellStyle name="Accent2 96 2 2" xfId="3969" xr:uid="{00000000-0005-0000-0000-0000810F0000}"/>
    <cellStyle name="Accent2 96 3" xfId="3970" xr:uid="{00000000-0005-0000-0000-0000820F0000}"/>
    <cellStyle name="Accent2 97" xfId="3971" xr:uid="{00000000-0005-0000-0000-0000830F0000}"/>
    <cellStyle name="Accent2 97 2" xfId="3972" xr:uid="{00000000-0005-0000-0000-0000840F0000}"/>
    <cellStyle name="Accent2 97 2 2" xfId="3973" xr:uid="{00000000-0005-0000-0000-0000850F0000}"/>
    <cellStyle name="Accent2 97 3" xfId="3974" xr:uid="{00000000-0005-0000-0000-0000860F0000}"/>
    <cellStyle name="Accent2 98" xfId="3975" xr:uid="{00000000-0005-0000-0000-0000870F0000}"/>
    <cellStyle name="Accent2 98 2" xfId="3976" xr:uid="{00000000-0005-0000-0000-0000880F0000}"/>
    <cellStyle name="Accent2 98 2 2" xfId="3977" xr:uid="{00000000-0005-0000-0000-0000890F0000}"/>
    <cellStyle name="Accent2 98 3" xfId="3978" xr:uid="{00000000-0005-0000-0000-00008A0F0000}"/>
    <cellStyle name="Accent2 99" xfId="3979" xr:uid="{00000000-0005-0000-0000-00008B0F0000}"/>
    <cellStyle name="Accent2 99 2" xfId="3980" xr:uid="{00000000-0005-0000-0000-00008C0F0000}"/>
    <cellStyle name="Accent2 99 2 2" xfId="3981" xr:uid="{00000000-0005-0000-0000-00008D0F0000}"/>
    <cellStyle name="Accent2 99 3" xfId="3982" xr:uid="{00000000-0005-0000-0000-00008E0F0000}"/>
    <cellStyle name="Accent3 - 20%" xfId="3983" xr:uid="{00000000-0005-0000-0000-00008F0F0000}"/>
    <cellStyle name="Accent3 - 20% 10" xfId="3984" xr:uid="{00000000-0005-0000-0000-0000900F0000}"/>
    <cellStyle name="Accent3 - 20% 11" xfId="3985" xr:uid="{00000000-0005-0000-0000-0000910F0000}"/>
    <cellStyle name="Accent3 - 20% 2" xfId="3986" xr:uid="{00000000-0005-0000-0000-0000920F0000}"/>
    <cellStyle name="Accent3 - 20% 2 2" xfId="3987" xr:uid="{00000000-0005-0000-0000-0000930F0000}"/>
    <cellStyle name="Accent3 - 20% 2 2 2" xfId="3988" xr:uid="{00000000-0005-0000-0000-0000940F0000}"/>
    <cellStyle name="Accent3 - 20% 2 2 2 2" xfId="3989" xr:uid="{00000000-0005-0000-0000-0000950F0000}"/>
    <cellStyle name="Accent3 - 20% 2 2 3" xfId="3990" xr:uid="{00000000-0005-0000-0000-0000960F0000}"/>
    <cellStyle name="Accent3 - 20% 2 3" xfId="3991" xr:uid="{00000000-0005-0000-0000-0000970F0000}"/>
    <cellStyle name="Accent3 - 20% 2 3 2" xfId="3992" xr:uid="{00000000-0005-0000-0000-0000980F0000}"/>
    <cellStyle name="Accent3 - 20% 2 3 2 2" xfId="3993" xr:uid="{00000000-0005-0000-0000-0000990F0000}"/>
    <cellStyle name="Accent3 - 20% 2 3 2 2 2" xfId="3994" xr:uid="{00000000-0005-0000-0000-00009A0F0000}"/>
    <cellStyle name="Accent3 - 20% 2 3 2 3" xfId="3995" xr:uid="{00000000-0005-0000-0000-00009B0F0000}"/>
    <cellStyle name="Accent3 - 20% 2 3 3" xfId="3996" xr:uid="{00000000-0005-0000-0000-00009C0F0000}"/>
    <cellStyle name="Accent3 - 20% 2 3 3 2" xfId="3997" xr:uid="{00000000-0005-0000-0000-00009D0F0000}"/>
    <cellStyle name="Accent3 - 20% 2 3 4" xfId="3998" xr:uid="{00000000-0005-0000-0000-00009E0F0000}"/>
    <cellStyle name="Accent3 - 20% 2 4" xfId="3999" xr:uid="{00000000-0005-0000-0000-00009F0F0000}"/>
    <cellStyle name="Accent3 - 20% 2 4 2" xfId="4000" xr:uid="{00000000-0005-0000-0000-0000A00F0000}"/>
    <cellStyle name="Accent3 - 20% 2 4 2 2" xfId="4001" xr:uid="{00000000-0005-0000-0000-0000A10F0000}"/>
    <cellStyle name="Accent3 - 20% 2 4 2 2 2" xfId="4002" xr:uid="{00000000-0005-0000-0000-0000A20F0000}"/>
    <cellStyle name="Accent3 - 20% 2 4 2 3" xfId="4003" xr:uid="{00000000-0005-0000-0000-0000A30F0000}"/>
    <cellStyle name="Accent3 - 20% 2 4 3" xfId="4004" xr:uid="{00000000-0005-0000-0000-0000A40F0000}"/>
    <cellStyle name="Accent3 - 20% 2 4 3 2" xfId="4005" xr:uid="{00000000-0005-0000-0000-0000A50F0000}"/>
    <cellStyle name="Accent3 - 20% 2 4 4" xfId="4006" xr:uid="{00000000-0005-0000-0000-0000A60F0000}"/>
    <cellStyle name="Accent3 - 20% 2 5" xfId="4007" xr:uid="{00000000-0005-0000-0000-0000A70F0000}"/>
    <cellStyle name="Accent3 - 20% 2 5 2" xfId="4008" xr:uid="{00000000-0005-0000-0000-0000A80F0000}"/>
    <cellStyle name="Accent3 - 20% 2 6" xfId="4009" xr:uid="{00000000-0005-0000-0000-0000A90F0000}"/>
    <cellStyle name="Accent3 - 20% 2 6 2" xfId="4010" xr:uid="{00000000-0005-0000-0000-0000AA0F0000}"/>
    <cellStyle name="Accent3 - 20% 2 7" xfId="4011" xr:uid="{00000000-0005-0000-0000-0000AB0F0000}"/>
    <cellStyle name="Accent3 - 20% 3" xfId="4012" xr:uid="{00000000-0005-0000-0000-0000AC0F0000}"/>
    <cellStyle name="Accent3 - 20% 3 2" xfId="4013" xr:uid="{00000000-0005-0000-0000-0000AD0F0000}"/>
    <cellStyle name="Accent3 - 20% 3 2 2" xfId="4014" xr:uid="{00000000-0005-0000-0000-0000AE0F0000}"/>
    <cellStyle name="Accent3 - 20% 3 2 2 2" xfId="4015" xr:uid="{00000000-0005-0000-0000-0000AF0F0000}"/>
    <cellStyle name="Accent3 - 20% 3 2 3" xfId="4016" xr:uid="{00000000-0005-0000-0000-0000B00F0000}"/>
    <cellStyle name="Accent3 - 20% 3 3" xfId="4017" xr:uid="{00000000-0005-0000-0000-0000B10F0000}"/>
    <cellStyle name="Accent3 - 20% 3 3 2" xfId="4018" xr:uid="{00000000-0005-0000-0000-0000B20F0000}"/>
    <cellStyle name="Accent3 - 20% 3 4" xfId="4019" xr:uid="{00000000-0005-0000-0000-0000B30F0000}"/>
    <cellStyle name="Accent3 - 20% 4" xfId="4020" xr:uid="{00000000-0005-0000-0000-0000B40F0000}"/>
    <cellStyle name="Accent3 - 20% 4 2" xfId="4021" xr:uid="{00000000-0005-0000-0000-0000B50F0000}"/>
    <cellStyle name="Accent3 - 20% 4 2 2" xfId="4022" xr:uid="{00000000-0005-0000-0000-0000B60F0000}"/>
    <cellStyle name="Accent3 - 20% 4 3" xfId="4023" xr:uid="{00000000-0005-0000-0000-0000B70F0000}"/>
    <cellStyle name="Accent3 - 20% 5" xfId="4024" xr:uid="{00000000-0005-0000-0000-0000B80F0000}"/>
    <cellStyle name="Accent3 - 20% 5 2" xfId="4025" xr:uid="{00000000-0005-0000-0000-0000B90F0000}"/>
    <cellStyle name="Accent3 - 20% 5 2 2" xfId="4026" xr:uid="{00000000-0005-0000-0000-0000BA0F0000}"/>
    <cellStyle name="Accent3 - 20% 5 3" xfId="4027" xr:uid="{00000000-0005-0000-0000-0000BB0F0000}"/>
    <cellStyle name="Accent3 - 20% 6" xfId="4028" xr:uid="{00000000-0005-0000-0000-0000BC0F0000}"/>
    <cellStyle name="Accent3 - 20% 6 2" xfId="4029" xr:uid="{00000000-0005-0000-0000-0000BD0F0000}"/>
    <cellStyle name="Accent3 - 20% 7" xfId="4030" xr:uid="{00000000-0005-0000-0000-0000BE0F0000}"/>
    <cellStyle name="Accent3 - 20% 7 2" xfId="4031" xr:uid="{00000000-0005-0000-0000-0000BF0F0000}"/>
    <cellStyle name="Accent3 - 20% 8" xfId="4032" xr:uid="{00000000-0005-0000-0000-0000C00F0000}"/>
    <cellStyle name="Accent3 - 20% 8 2" xfId="4033" xr:uid="{00000000-0005-0000-0000-0000C10F0000}"/>
    <cellStyle name="Accent3 - 20% 9" xfId="4034" xr:uid="{00000000-0005-0000-0000-0000C20F0000}"/>
    <cellStyle name="Accent3 - 20% 9 2" xfId="4035" xr:uid="{00000000-0005-0000-0000-0000C30F0000}"/>
    <cellStyle name="Accent3 - 40%" xfId="4036" xr:uid="{00000000-0005-0000-0000-0000C40F0000}"/>
    <cellStyle name="Accent3 - 40% 10" xfId="4037" xr:uid="{00000000-0005-0000-0000-0000C50F0000}"/>
    <cellStyle name="Accent3 - 40% 11" xfId="4038" xr:uid="{00000000-0005-0000-0000-0000C60F0000}"/>
    <cellStyle name="Accent3 - 40% 2" xfId="4039" xr:uid="{00000000-0005-0000-0000-0000C70F0000}"/>
    <cellStyle name="Accent3 - 40% 2 2" xfId="4040" xr:uid="{00000000-0005-0000-0000-0000C80F0000}"/>
    <cellStyle name="Accent3 - 40% 2 2 2" xfId="4041" xr:uid="{00000000-0005-0000-0000-0000C90F0000}"/>
    <cellStyle name="Accent3 - 40% 2 2 2 2" xfId="4042" xr:uid="{00000000-0005-0000-0000-0000CA0F0000}"/>
    <cellStyle name="Accent3 - 40% 2 2 3" xfId="4043" xr:uid="{00000000-0005-0000-0000-0000CB0F0000}"/>
    <cellStyle name="Accent3 - 40% 2 3" xfId="4044" xr:uid="{00000000-0005-0000-0000-0000CC0F0000}"/>
    <cellStyle name="Accent3 - 40% 2 3 2" xfId="4045" xr:uid="{00000000-0005-0000-0000-0000CD0F0000}"/>
    <cellStyle name="Accent3 - 40% 2 3 2 2" xfId="4046" xr:uid="{00000000-0005-0000-0000-0000CE0F0000}"/>
    <cellStyle name="Accent3 - 40% 2 3 2 2 2" xfId="4047" xr:uid="{00000000-0005-0000-0000-0000CF0F0000}"/>
    <cellStyle name="Accent3 - 40% 2 3 2 3" xfId="4048" xr:uid="{00000000-0005-0000-0000-0000D00F0000}"/>
    <cellStyle name="Accent3 - 40% 2 3 3" xfId="4049" xr:uid="{00000000-0005-0000-0000-0000D10F0000}"/>
    <cellStyle name="Accent3 - 40% 2 3 3 2" xfId="4050" xr:uid="{00000000-0005-0000-0000-0000D20F0000}"/>
    <cellStyle name="Accent3 - 40% 2 3 4" xfId="4051" xr:uid="{00000000-0005-0000-0000-0000D30F0000}"/>
    <cellStyle name="Accent3 - 40% 2 4" xfId="4052" xr:uid="{00000000-0005-0000-0000-0000D40F0000}"/>
    <cellStyle name="Accent3 - 40% 2 4 2" xfId="4053" xr:uid="{00000000-0005-0000-0000-0000D50F0000}"/>
    <cellStyle name="Accent3 - 40% 2 4 2 2" xfId="4054" xr:uid="{00000000-0005-0000-0000-0000D60F0000}"/>
    <cellStyle name="Accent3 - 40% 2 4 2 2 2" xfId="4055" xr:uid="{00000000-0005-0000-0000-0000D70F0000}"/>
    <cellStyle name="Accent3 - 40% 2 4 2 3" xfId="4056" xr:uid="{00000000-0005-0000-0000-0000D80F0000}"/>
    <cellStyle name="Accent3 - 40% 2 4 3" xfId="4057" xr:uid="{00000000-0005-0000-0000-0000D90F0000}"/>
    <cellStyle name="Accent3 - 40% 2 4 3 2" xfId="4058" xr:uid="{00000000-0005-0000-0000-0000DA0F0000}"/>
    <cellStyle name="Accent3 - 40% 2 4 4" xfId="4059" xr:uid="{00000000-0005-0000-0000-0000DB0F0000}"/>
    <cellStyle name="Accent3 - 40% 2 5" xfId="4060" xr:uid="{00000000-0005-0000-0000-0000DC0F0000}"/>
    <cellStyle name="Accent3 - 40% 2 5 2" xfId="4061" xr:uid="{00000000-0005-0000-0000-0000DD0F0000}"/>
    <cellStyle name="Accent3 - 40% 2 6" xfId="4062" xr:uid="{00000000-0005-0000-0000-0000DE0F0000}"/>
    <cellStyle name="Accent3 - 40% 2 6 2" xfId="4063" xr:uid="{00000000-0005-0000-0000-0000DF0F0000}"/>
    <cellStyle name="Accent3 - 40% 2 7" xfId="4064" xr:uid="{00000000-0005-0000-0000-0000E00F0000}"/>
    <cellStyle name="Accent3 - 40% 3" xfId="4065" xr:uid="{00000000-0005-0000-0000-0000E10F0000}"/>
    <cellStyle name="Accent3 - 40% 3 2" xfId="4066" xr:uid="{00000000-0005-0000-0000-0000E20F0000}"/>
    <cellStyle name="Accent3 - 40% 3 2 2" xfId="4067" xr:uid="{00000000-0005-0000-0000-0000E30F0000}"/>
    <cellStyle name="Accent3 - 40% 3 2 2 2" xfId="4068" xr:uid="{00000000-0005-0000-0000-0000E40F0000}"/>
    <cellStyle name="Accent3 - 40% 3 2 3" xfId="4069" xr:uid="{00000000-0005-0000-0000-0000E50F0000}"/>
    <cellStyle name="Accent3 - 40% 3 3" xfId="4070" xr:uid="{00000000-0005-0000-0000-0000E60F0000}"/>
    <cellStyle name="Accent3 - 40% 3 3 2" xfId="4071" xr:uid="{00000000-0005-0000-0000-0000E70F0000}"/>
    <cellStyle name="Accent3 - 40% 3 4" xfId="4072" xr:uid="{00000000-0005-0000-0000-0000E80F0000}"/>
    <cellStyle name="Accent3 - 40% 4" xfId="4073" xr:uid="{00000000-0005-0000-0000-0000E90F0000}"/>
    <cellStyle name="Accent3 - 40% 4 2" xfId="4074" xr:uid="{00000000-0005-0000-0000-0000EA0F0000}"/>
    <cellStyle name="Accent3 - 40% 4 2 2" xfId="4075" xr:uid="{00000000-0005-0000-0000-0000EB0F0000}"/>
    <cellStyle name="Accent3 - 40% 4 3" xfId="4076" xr:uid="{00000000-0005-0000-0000-0000EC0F0000}"/>
    <cellStyle name="Accent3 - 40% 5" xfId="4077" xr:uid="{00000000-0005-0000-0000-0000ED0F0000}"/>
    <cellStyle name="Accent3 - 40% 5 2" xfId="4078" xr:uid="{00000000-0005-0000-0000-0000EE0F0000}"/>
    <cellStyle name="Accent3 - 40% 5 2 2" xfId="4079" xr:uid="{00000000-0005-0000-0000-0000EF0F0000}"/>
    <cellStyle name="Accent3 - 40% 5 3" xfId="4080" xr:uid="{00000000-0005-0000-0000-0000F00F0000}"/>
    <cellStyle name="Accent3 - 40% 6" xfId="4081" xr:uid="{00000000-0005-0000-0000-0000F10F0000}"/>
    <cellStyle name="Accent3 - 40% 6 2" xfId="4082" xr:uid="{00000000-0005-0000-0000-0000F20F0000}"/>
    <cellStyle name="Accent3 - 40% 7" xfId="4083" xr:uid="{00000000-0005-0000-0000-0000F30F0000}"/>
    <cellStyle name="Accent3 - 40% 7 2" xfId="4084" xr:uid="{00000000-0005-0000-0000-0000F40F0000}"/>
    <cellStyle name="Accent3 - 40% 8" xfId="4085" xr:uid="{00000000-0005-0000-0000-0000F50F0000}"/>
    <cellStyle name="Accent3 - 40% 8 2" xfId="4086" xr:uid="{00000000-0005-0000-0000-0000F60F0000}"/>
    <cellStyle name="Accent3 - 40% 9" xfId="4087" xr:uid="{00000000-0005-0000-0000-0000F70F0000}"/>
    <cellStyle name="Accent3 - 40% 9 2" xfId="4088" xr:uid="{00000000-0005-0000-0000-0000F80F0000}"/>
    <cellStyle name="Accent3 - 60%" xfId="4089" xr:uid="{00000000-0005-0000-0000-0000F90F0000}"/>
    <cellStyle name="Accent3 - 60% 10" xfId="4090" xr:uid="{00000000-0005-0000-0000-0000FA0F0000}"/>
    <cellStyle name="Accent3 - 60% 2" xfId="4091" xr:uid="{00000000-0005-0000-0000-0000FB0F0000}"/>
    <cellStyle name="Accent3 - 60% 2 2" xfId="4092" xr:uid="{00000000-0005-0000-0000-0000FC0F0000}"/>
    <cellStyle name="Accent3 - 60% 2 2 2" xfId="4093" xr:uid="{00000000-0005-0000-0000-0000FD0F0000}"/>
    <cellStyle name="Accent3 - 60% 2 3" xfId="4094" xr:uid="{00000000-0005-0000-0000-0000FE0F0000}"/>
    <cellStyle name="Accent3 - 60% 2 3 2" xfId="4095" xr:uid="{00000000-0005-0000-0000-0000FF0F0000}"/>
    <cellStyle name="Accent3 - 60% 2 3 2 2" xfId="4096" xr:uid="{00000000-0005-0000-0000-000000100000}"/>
    <cellStyle name="Accent3 - 60% 2 3 3" xfId="4097" xr:uid="{00000000-0005-0000-0000-000001100000}"/>
    <cellStyle name="Accent3 - 60% 2 4" xfId="4098" xr:uid="{00000000-0005-0000-0000-000002100000}"/>
    <cellStyle name="Accent3 - 60% 2 4 2" xfId="4099" xr:uid="{00000000-0005-0000-0000-000003100000}"/>
    <cellStyle name="Accent3 - 60% 2 4 2 2" xfId="4100" xr:uid="{00000000-0005-0000-0000-000004100000}"/>
    <cellStyle name="Accent3 - 60% 2 4 3" xfId="4101" xr:uid="{00000000-0005-0000-0000-000005100000}"/>
    <cellStyle name="Accent3 - 60% 2 5" xfId="4102" xr:uid="{00000000-0005-0000-0000-000006100000}"/>
    <cellStyle name="Accent3 - 60% 3" xfId="4103" xr:uid="{00000000-0005-0000-0000-000007100000}"/>
    <cellStyle name="Accent3 - 60% 3 2" xfId="4104" xr:uid="{00000000-0005-0000-0000-000008100000}"/>
    <cellStyle name="Accent3 - 60% 3 2 2" xfId="4105" xr:uid="{00000000-0005-0000-0000-000009100000}"/>
    <cellStyle name="Accent3 - 60% 3 3" xfId="4106" xr:uid="{00000000-0005-0000-0000-00000A100000}"/>
    <cellStyle name="Accent3 - 60% 4" xfId="4107" xr:uid="{00000000-0005-0000-0000-00000B100000}"/>
    <cellStyle name="Accent3 - 60% 4 2" xfId="4108" xr:uid="{00000000-0005-0000-0000-00000C100000}"/>
    <cellStyle name="Accent3 - 60% 5" xfId="4109" xr:uid="{00000000-0005-0000-0000-00000D100000}"/>
    <cellStyle name="Accent3 - 60% 5 2" xfId="4110" xr:uid="{00000000-0005-0000-0000-00000E100000}"/>
    <cellStyle name="Accent3 - 60% 6" xfId="4111" xr:uid="{00000000-0005-0000-0000-00000F100000}"/>
    <cellStyle name="Accent3 - 60% 6 2" xfId="4112" xr:uid="{00000000-0005-0000-0000-000010100000}"/>
    <cellStyle name="Accent3 - 60% 6 2 2" xfId="4113" xr:uid="{00000000-0005-0000-0000-000011100000}"/>
    <cellStyle name="Accent3 - 60% 6 3" xfId="4114" xr:uid="{00000000-0005-0000-0000-000012100000}"/>
    <cellStyle name="Accent3 - 60% 7" xfId="4115" xr:uid="{00000000-0005-0000-0000-000013100000}"/>
    <cellStyle name="Accent3 - 60% 7 2" xfId="4116" xr:uid="{00000000-0005-0000-0000-000014100000}"/>
    <cellStyle name="Accent3 - 60% 8" xfId="4117" xr:uid="{00000000-0005-0000-0000-000015100000}"/>
    <cellStyle name="Accent3 - 60% 8 2" xfId="4118" xr:uid="{00000000-0005-0000-0000-000016100000}"/>
    <cellStyle name="Accent3 - 60% 9" xfId="4119" xr:uid="{00000000-0005-0000-0000-000017100000}"/>
    <cellStyle name="Accent3 10" xfId="4120" xr:uid="{00000000-0005-0000-0000-000018100000}"/>
    <cellStyle name="Accent3 10 2" xfId="4121" xr:uid="{00000000-0005-0000-0000-000019100000}"/>
    <cellStyle name="Accent3 10 2 2" xfId="4122" xr:uid="{00000000-0005-0000-0000-00001A100000}"/>
    <cellStyle name="Accent3 10 3" xfId="4123" xr:uid="{00000000-0005-0000-0000-00001B100000}"/>
    <cellStyle name="Accent3 100" xfId="4124" xr:uid="{00000000-0005-0000-0000-00001C100000}"/>
    <cellStyle name="Accent3 100 2" xfId="4125" xr:uid="{00000000-0005-0000-0000-00001D100000}"/>
    <cellStyle name="Accent3 100 2 2" xfId="4126" xr:uid="{00000000-0005-0000-0000-00001E100000}"/>
    <cellStyle name="Accent3 100 3" xfId="4127" xr:uid="{00000000-0005-0000-0000-00001F100000}"/>
    <cellStyle name="Accent3 101" xfId="4128" xr:uid="{00000000-0005-0000-0000-000020100000}"/>
    <cellStyle name="Accent3 101 2" xfId="4129" xr:uid="{00000000-0005-0000-0000-000021100000}"/>
    <cellStyle name="Accent3 101 2 2" xfId="4130" xr:uid="{00000000-0005-0000-0000-000022100000}"/>
    <cellStyle name="Accent3 101 3" xfId="4131" xr:uid="{00000000-0005-0000-0000-000023100000}"/>
    <cellStyle name="Accent3 102" xfId="4132" xr:uid="{00000000-0005-0000-0000-000024100000}"/>
    <cellStyle name="Accent3 102 2" xfId="4133" xr:uid="{00000000-0005-0000-0000-000025100000}"/>
    <cellStyle name="Accent3 103" xfId="4134" xr:uid="{00000000-0005-0000-0000-000026100000}"/>
    <cellStyle name="Accent3 103 2" xfId="4135" xr:uid="{00000000-0005-0000-0000-000027100000}"/>
    <cellStyle name="Accent3 104" xfId="4136" xr:uid="{00000000-0005-0000-0000-000028100000}"/>
    <cellStyle name="Accent3 104 2" xfId="4137" xr:uid="{00000000-0005-0000-0000-000029100000}"/>
    <cellStyle name="Accent3 104 2 2" xfId="4138" xr:uid="{00000000-0005-0000-0000-00002A100000}"/>
    <cellStyle name="Accent3 104 3" xfId="4139" xr:uid="{00000000-0005-0000-0000-00002B100000}"/>
    <cellStyle name="Accent3 105" xfId="4140" xr:uid="{00000000-0005-0000-0000-00002C100000}"/>
    <cellStyle name="Accent3 105 2" xfId="4141" xr:uid="{00000000-0005-0000-0000-00002D100000}"/>
    <cellStyle name="Accent3 105 2 2" xfId="4142" xr:uid="{00000000-0005-0000-0000-00002E100000}"/>
    <cellStyle name="Accent3 105 3" xfId="4143" xr:uid="{00000000-0005-0000-0000-00002F100000}"/>
    <cellStyle name="Accent3 106" xfId="4144" xr:uid="{00000000-0005-0000-0000-000030100000}"/>
    <cellStyle name="Accent3 106 2" xfId="4145" xr:uid="{00000000-0005-0000-0000-000031100000}"/>
    <cellStyle name="Accent3 106 2 2" xfId="4146" xr:uid="{00000000-0005-0000-0000-000032100000}"/>
    <cellStyle name="Accent3 106 3" xfId="4147" xr:uid="{00000000-0005-0000-0000-000033100000}"/>
    <cellStyle name="Accent3 107" xfId="4148" xr:uid="{00000000-0005-0000-0000-000034100000}"/>
    <cellStyle name="Accent3 107 2" xfId="4149" xr:uid="{00000000-0005-0000-0000-000035100000}"/>
    <cellStyle name="Accent3 107 2 2" xfId="4150" xr:uid="{00000000-0005-0000-0000-000036100000}"/>
    <cellStyle name="Accent3 107 3" xfId="4151" xr:uid="{00000000-0005-0000-0000-000037100000}"/>
    <cellStyle name="Accent3 108" xfId="4152" xr:uid="{00000000-0005-0000-0000-000038100000}"/>
    <cellStyle name="Accent3 108 2" xfId="4153" xr:uid="{00000000-0005-0000-0000-000039100000}"/>
    <cellStyle name="Accent3 108 2 2" xfId="4154" xr:uid="{00000000-0005-0000-0000-00003A100000}"/>
    <cellStyle name="Accent3 108 3" xfId="4155" xr:uid="{00000000-0005-0000-0000-00003B100000}"/>
    <cellStyle name="Accent3 109" xfId="4156" xr:uid="{00000000-0005-0000-0000-00003C100000}"/>
    <cellStyle name="Accent3 109 2" xfId="4157" xr:uid="{00000000-0005-0000-0000-00003D100000}"/>
    <cellStyle name="Accent3 109 2 2" xfId="4158" xr:uid="{00000000-0005-0000-0000-00003E100000}"/>
    <cellStyle name="Accent3 109 3" xfId="4159" xr:uid="{00000000-0005-0000-0000-00003F100000}"/>
    <cellStyle name="Accent3 11" xfId="4160" xr:uid="{00000000-0005-0000-0000-000040100000}"/>
    <cellStyle name="Accent3 11 2" xfId="4161" xr:uid="{00000000-0005-0000-0000-000041100000}"/>
    <cellStyle name="Accent3 11 2 2" xfId="4162" xr:uid="{00000000-0005-0000-0000-000042100000}"/>
    <cellStyle name="Accent3 11 3" xfId="4163" xr:uid="{00000000-0005-0000-0000-000043100000}"/>
    <cellStyle name="Accent3 110" xfId="4164" xr:uid="{00000000-0005-0000-0000-000044100000}"/>
    <cellStyle name="Accent3 110 2" xfId="4165" xr:uid="{00000000-0005-0000-0000-000045100000}"/>
    <cellStyle name="Accent3 110 2 2" xfId="4166" xr:uid="{00000000-0005-0000-0000-000046100000}"/>
    <cellStyle name="Accent3 110 3" xfId="4167" xr:uid="{00000000-0005-0000-0000-000047100000}"/>
    <cellStyle name="Accent3 111" xfId="4168" xr:uid="{00000000-0005-0000-0000-000048100000}"/>
    <cellStyle name="Accent3 111 2" xfId="4169" xr:uid="{00000000-0005-0000-0000-000049100000}"/>
    <cellStyle name="Accent3 111 2 2" xfId="4170" xr:uid="{00000000-0005-0000-0000-00004A100000}"/>
    <cellStyle name="Accent3 111 3" xfId="4171" xr:uid="{00000000-0005-0000-0000-00004B100000}"/>
    <cellStyle name="Accent3 112" xfId="4172" xr:uid="{00000000-0005-0000-0000-00004C100000}"/>
    <cellStyle name="Accent3 112 2" xfId="4173" xr:uid="{00000000-0005-0000-0000-00004D100000}"/>
    <cellStyle name="Accent3 112 2 2" xfId="4174" xr:uid="{00000000-0005-0000-0000-00004E100000}"/>
    <cellStyle name="Accent3 112 3" xfId="4175" xr:uid="{00000000-0005-0000-0000-00004F100000}"/>
    <cellStyle name="Accent3 113" xfId="4176" xr:uid="{00000000-0005-0000-0000-000050100000}"/>
    <cellStyle name="Accent3 113 2" xfId="4177" xr:uid="{00000000-0005-0000-0000-000051100000}"/>
    <cellStyle name="Accent3 113 2 2" xfId="4178" xr:uid="{00000000-0005-0000-0000-000052100000}"/>
    <cellStyle name="Accent3 113 3" xfId="4179" xr:uid="{00000000-0005-0000-0000-000053100000}"/>
    <cellStyle name="Accent3 114" xfId="4180" xr:uid="{00000000-0005-0000-0000-000054100000}"/>
    <cellStyle name="Accent3 114 2" xfId="4181" xr:uid="{00000000-0005-0000-0000-000055100000}"/>
    <cellStyle name="Accent3 115" xfId="4182" xr:uid="{00000000-0005-0000-0000-000056100000}"/>
    <cellStyle name="Accent3 115 2" xfId="4183" xr:uid="{00000000-0005-0000-0000-000057100000}"/>
    <cellStyle name="Accent3 116" xfId="4184" xr:uid="{00000000-0005-0000-0000-000058100000}"/>
    <cellStyle name="Accent3 116 2" xfId="4185" xr:uid="{00000000-0005-0000-0000-000059100000}"/>
    <cellStyle name="Accent3 117" xfId="4186" xr:uid="{00000000-0005-0000-0000-00005A100000}"/>
    <cellStyle name="Accent3 117 2" xfId="4187" xr:uid="{00000000-0005-0000-0000-00005B100000}"/>
    <cellStyle name="Accent3 118" xfId="4188" xr:uid="{00000000-0005-0000-0000-00005C100000}"/>
    <cellStyle name="Accent3 118 2" xfId="4189" xr:uid="{00000000-0005-0000-0000-00005D100000}"/>
    <cellStyle name="Accent3 119" xfId="4190" xr:uid="{00000000-0005-0000-0000-00005E100000}"/>
    <cellStyle name="Accent3 119 2" xfId="4191" xr:uid="{00000000-0005-0000-0000-00005F100000}"/>
    <cellStyle name="Accent3 12" xfId="4192" xr:uid="{00000000-0005-0000-0000-000060100000}"/>
    <cellStyle name="Accent3 12 2" xfId="4193" xr:uid="{00000000-0005-0000-0000-000061100000}"/>
    <cellStyle name="Accent3 12 2 2" xfId="4194" xr:uid="{00000000-0005-0000-0000-000062100000}"/>
    <cellStyle name="Accent3 12 3" xfId="4195" xr:uid="{00000000-0005-0000-0000-000063100000}"/>
    <cellStyle name="Accent3 120" xfId="4196" xr:uid="{00000000-0005-0000-0000-000064100000}"/>
    <cellStyle name="Accent3 120 2" xfId="4197" xr:uid="{00000000-0005-0000-0000-000065100000}"/>
    <cellStyle name="Accent3 121" xfId="4198" xr:uid="{00000000-0005-0000-0000-000066100000}"/>
    <cellStyle name="Accent3 121 2" xfId="4199" xr:uid="{00000000-0005-0000-0000-000067100000}"/>
    <cellStyle name="Accent3 122" xfId="4200" xr:uid="{00000000-0005-0000-0000-000068100000}"/>
    <cellStyle name="Accent3 122 2" xfId="4201" xr:uid="{00000000-0005-0000-0000-000069100000}"/>
    <cellStyle name="Accent3 123" xfId="4202" xr:uid="{00000000-0005-0000-0000-00006A100000}"/>
    <cellStyle name="Accent3 123 2" xfId="4203" xr:uid="{00000000-0005-0000-0000-00006B100000}"/>
    <cellStyle name="Accent3 124" xfId="4204" xr:uid="{00000000-0005-0000-0000-00006C100000}"/>
    <cellStyle name="Accent3 124 2" xfId="4205" xr:uid="{00000000-0005-0000-0000-00006D100000}"/>
    <cellStyle name="Accent3 125" xfId="4206" xr:uid="{00000000-0005-0000-0000-00006E100000}"/>
    <cellStyle name="Accent3 125 2" xfId="4207" xr:uid="{00000000-0005-0000-0000-00006F100000}"/>
    <cellStyle name="Accent3 126" xfId="4208" xr:uid="{00000000-0005-0000-0000-000070100000}"/>
    <cellStyle name="Accent3 127" xfId="4209" xr:uid="{00000000-0005-0000-0000-000071100000}"/>
    <cellStyle name="Accent3 128" xfId="4210" xr:uid="{00000000-0005-0000-0000-000072100000}"/>
    <cellStyle name="Accent3 129" xfId="4211" xr:uid="{00000000-0005-0000-0000-000073100000}"/>
    <cellStyle name="Accent3 13" xfId="4212" xr:uid="{00000000-0005-0000-0000-000074100000}"/>
    <cellStyle name="Accent3 13 2" xfId="4213" xr:uid="{00000000-0005-0000-0000-000075100000}"/>
    <cellStyle name="Accent3 13 2 2" xfId="4214" xr:uid="{00000000-0005-0000-0000-000076100000}"/>
    <cellStyle name="Accent3 13 3" xfId="4215" xr:uid="{00000000-0005-0000-0000-000077100000}"/>
    <cellStyle name="Accent3 130" xfId="4216" xr:uid="{00000000-0005-0000-0000-000078100000}"/>
    <cellStyle name="Accent3 131" xfId="4217" xr:uid="{00000000-0005-0000-0000-000079100000}"/>
    <cellStyle name="Accent3 132" xfId="4218" xr:uid="{00000000-0005-0000-0000-00007A100000}"/>
    <cellStyle name="Accent3 133" xfId="4219" xr:uid="{00000000-0005-0000-0000-00007B100000}"/>
    <cellStyle name="Accent3 134" xfId="4220" xr:uid="{00000000-0005-0000-0000-00007C100000}"/>
    <cellStyle name="Accent3 135" xfId="4221" xr:uid="{00000000-0005-0000-0000-00007D100000}"/>
    <cellStyle name="Accent3 136" xfId="4222" xr:uid="{00000000-0005-0000-0000-00007E100000}"/>
    <cellStyle name="Accent3 137" xfId="4223" xr:uid="{00000000-0005-0000-0000-00007F100000}"/>
    <cellStyle name="Accent3 138" xfId="4224" xr:uid="{00000000-0005-0000-0000-000080100000}"/>
    <cellStyle name="Accent3 139" xfId="4225" xr:uid="{00000000-0005-0000-0000-000081100000}"/>
    <cellStyle name="Accent3 14" xfId="4226" xr:uid="{00000000-0005-0000-0000-000082100000}"/>
    <cellStyle name="Accent3 14 2" xfId="4227" xr:uid="{00000000-0005-0000-0000-000083100000}"/>
    <cellStyle name="Accent3 14 2 2" xfId="4228" xr:uid="{00000000-0005-0000-0000-000084100000}"/>
    <cellStyle name="Accent3 14 3" xfId="4229" xr:uid="{00000000-0005-0000-0000-000085100000}"/>
    <cellStyle name="Accent3 140" xfId="4230" xr:uid="{00000000-0005-0000-0000-000086100000}"/>
    <cellStyle name="Accent3 141" xfId="4231" xr:uid="{00000000-0005-0000-0000-000087100000}"/>
    <cellStyle name="Accent3 142" xfId="4232" xr:uid="{00000000-0005-0000-0000-000088100000}"/>
    <cellStyle name="Accent3 143" xfId="4233" xr:uid="{00000000-0005-0000-0000-000089100000}"/>
    <cellStyle name="Accent3 144" xfId="4234" xr:uid="{00000000-0005-0000-0000-00008A100000}"/>
    <cellStyle name="Accent3 145" xfId="4235" xr:uid="{00000000-0005-0000-0000-00008B100000}"/>
    <cellStyle name="Accent3 146" xfId="4236" xr:uid="{00000000-0005-0000-0000-00008C100000}"/>
    <cellStyle name="Accent3 147" xfId="4237" xr:uid="{00000000-0005-0000-0000-00008D100000}"/>
    <cellStyle name="Accent3 148" xfId="4238" xr:uid="{00000000-0005-0000-0000-00008E100000}"/>
    <cellStyle name="Accent3 149" xfId="4239" xr:uid="{00000000-0005-0000-0000-00008F100000}"/>
    <cellStyle name="Accent3 15" xfId="4240" xr:uid="{00000000-0005-0000-0000-000090100000}"/>
    <cellStyle name="Accent3 15 2" xfId="4241" xr:uid="{00000000-0005-0000-0000-000091100000}"/>
    <cellStyle name="Accent3 15 2 2" xfId="4242" xr:uid="{00000000-0005-0000-0000-000092100000}"/>
    <cellStyle name="Accent3 15 3" xfId="4243" xr:uid="{00000000-0005-0000-0000-000093100000}"/>
    <cellStyle name="Accent3 150" xfId="4244" xr:uid="{00000000-0005-0000-0000-000094100000}"/>
    <cellStyle name="Accent3 151" xfId="4245" xr:uid="{00000000-0005-0000-0000-000095100000}"/>
    <cellStyle name="Accent3 152" xfId="4246" xr:uid="{00000000-0005-0000-0000-000096100000}"/>
    <cellStyle name="Accent3 153" xfId="4247" xr:uid="{00000000-0005-0000-0000-000097100000}"/>
    <cellStyle name="Accent3 154" xfId="4248" xr:uid="{00000000-0005-0000-0000-000098100000}"/>
    <cellStyle name="Accent3 155" xfId="4249" xr:uid="{00000000-0005-0000-0000-000099100000}"/>
    <cellStyle name="Accent3 156" xfId="4250" xr:uid="{00000000-0005-0000-0000-00009A100000}"/>
    <cellStyle name="Accent3 157" xfId="4251" xr:uid="{00000000-0005-0000-0000-00009B100000}"/>
    <cellStyle name="Accent3 158" xfId="4252" xr:uid="{00000000-0005-0000-0000-00009C100000}"/>
    <cellStyle name="Accent3 159" xfId="4253" xr:uid="{00000000-0005-0000-0000-00009D100000}"/>
    <cellStyle name="Accent3 16" xfId="4254" xr:uid="{00000000-0005-0000-0000-00009E100000}"/>
    <cellStyle name="Accent3 16 2" xfId="4255" xr:uid="{00000000-0005-0000-0000-00009F100000}"/>
    <cellStyle name="Accent3 16 2 2" xfId="4256" xr:uid="{00000000-0005-0000-0000-0000A0100000}"/>
    <cellStyle name="Accent3 16 3" xfId="4257" xr:uid="{00000000-0005-0000-0000-0000A1100000}"/>
    <cellStyle name="Accent3 160" xfId="4258" xr:uid="{00000000-0005-0000-0000-0000A2100000}"/>
    <cellStyle name="Accent3 161" xfId="4259" xr:uid="{00000000-0005-0000-0000-0000A3100000}"/>
    <cellStyle name="Accent3 162" xfId="4260" xr:uid="{00000000-0005-0000-0000-0000A4100000}"/>
    <cellStyle name="Accent3 163" xfId="4261" xr:uid="{00000000-0005-0000-0000-0000A5100000}"/>
    <cellStyle name="Accent3 164" xfId="4262" xr:uid="{00000000-0005-0000-0000-0000A6100000}"/>
    <cellStyle name="Accent3 165" xfId="4263" xr:uid="{00000000-0005-0000-0000-0000A7100000}"/>
    <cellStyle name="Accent3 166" xfId="4264" xr:uid="{00000000-0005-0000-0000-0000A8100000}"/>
    <cellStyle name="Accent3 167" xfId="4265" xr:uid="{00000000-0005-0000-0000-0000A9100000}"/>
    <cellStyle name="Accent3 168" xfId="4266" xr:uid="{00000000-0005-0000-0000-0000AA100000}"/>
    <cellStyle name="Accent3 169" xfId="4267" xr:uid="{00000000-0005-0000-0000-0000AB100000}"/>
    <cellStyle name="Accent3 17" xfId="4268" xr:uid="{00000000-0005-0000-0000-0000AC100000}"/>
    <cellStyle name="Accent3 17 2" xfId="4269" xr:uid="{00000000-0005-0000-0000-0000AD100000}"/>
    <cellStyle name="Accent3 17 2 2" xfId="4270" xr:uid="{00000000-0005-0000-0000-0000AE100000}"/>
    <cellStyle name="Accent3 17 3" xfId="4271" xr:uid="{00000000-0005-0000-0000-0000AF100000}"/>
    <cellStyle name="Accent3 170" xfId="4272" xr:uid="{00000000-0005-0000-0000-0000B0100000}"/>
    <cellStyle name="Accent3 171" xfId="4273" xr:uid="{00000000-0005-0000-0000-0000B1100000}"/>
    <cellStyle name="Accent3 172" xfId="4274" xr:uid="{00000000-0005-0000-0000-0000B2100000}"/>
    <cellStyle name="Accent3 173" xfId="4275" xr:uid="{00000000-0005-0000-0000-0000B3100000}"/>
    <cellStyle name="Accent3 174" xfId="4276" xr:uid="{00000000-0005-0000-0000-0000B4100000}"/>
    <cellStyle name="Accent3 175" xfId="4277" xr:uid="{00000000-0005-0000-0000-0000B5100000}"/>
    <cellStyle name="Accent3 176" xfId="4278" xr:uid="{00000000-0005-0000-0000-0000B6100000}"/>
    <cellStyle name="Accent3 177" xfId="4279" xr:uid="{00000000-0005-0000-0000-0000B7100000}"/>
    <cellStyle name="Accent3 178" xfId="4280" xr:uid="{00000000-0005-0000-0000-0000B8100000}"/>
    <cellStyle name="Accent3 179" xfId="4281" xr:uid="{00000000-0005-0000-0000-0000B9100000}"/>
    <cellStyle name="Accent3 18" xfId="4282" xr:uid="{00000000-0005-0000-0000-0000BA100000}"/>
    <cellStyle name="Accent3 18 2" xfId="4283" xr:uid="{00000000-0005-0000-0000-0000BB100000}"/>
    <cellStyle name="Accent3 18 2 2" xfId="4284" xr:uid="{00000000-0005-0000-0000-0000BC100000}"/>
    <cellStyle name="Accent3 18 3" xfId="4285" xr:uid="{00000000-0005-0000-0000-0000BD100000}"/>
    <cellStyle name="Accent3 19" xfId="4286" xr:uid="{00000000-0005-0000-0000-0000BE100000}"/>
    <cellStyle name="Accent3 19 2" xfId="4287" xr:uid="{00000000-0005-0000-0000-0000BF100000}"/>
    <cellStyle name="Accent3 19 2 2" xfId="4288" xr:uid="{00000000-0005-0000-0000-0000C0100000}"/>
    <cellStyle name="Accent3 19 3" xfId="4289" xr:uid="{00000000-0005-0000-0000-0000C1100000}"/>
    <cellStyle name="Accent3 2" xfId="4290" xr:uid="{00000000-0005-0000-0000-0000C2100000}"/>
    <cellStyle name="Accent3 2 10" xfId="4291" xr:uid="{00000000-0005-0000-0000-0000C3100000}"/>
    <cellStyle name="Accent3 2 10 2" xfId="4292" xr:uid="{00000000-0005-0000-0000-0000C4100000}"/>
    <cellStyle name="Accent3 2 11" xfId="4293" xr:uid="{00000000-0005-0000-0000-0000C5100000}"/>
    <cellStyle name="Accent3 2 12" xfId="4294" xr:uid="{00000000-0005-0000-0000-0000C6100000}"/>
    <cellStyle name="Accent3 2 2" xfId="4295" xr:uid="{00000000-0005-0000-0000-0000C7100000}"/>
    <cellStyle name="Accent3 2 2 2" xfId="4296" xr:uid="{00000000-0005-0000-0000-0000C8100000}"/>
    <cellStyle name="Accent3 2 2 2 2" xfId="4297" xr:uid="{00000000-0005-0000-0000-0000C9100000}"/>
    <cellStyle name="Accent3 2 2 3" xfId="4298" xr:uid="{00000000-0005-0000-0000-0000CA100000}"/>
    <cellStyle name="Accent3 2 2 3 2" xfId="4299" xr:uid="{00000000-0005-0000-0000-0000CB100000}"/>
    <cellStyle name="Accent3 2 2 3 2 2" xfId="4300" xr:uid="{00000000-0005-0000-0000-0000CC100000}"/>
    <cellStyle name="Accent3 2 2 3 3" xfId="4301" xr:uid="{00000000-0005-0000-0000-0000CD100000}"/>
    <cellStyle name="Accent3 2 2 4" xfId="4302" xr:uid="{00000000-0005-0000-0000-0000CE100000}"/>
    <cellStyle name="Accent3 2 3" xfId="4303" xr:uid="{00000000-0005-0000-0000-0000CF100000}"/>
    <cellStyle name="Accent3 2 3 2" xfId="4304" xr:uid="{00000000-0005-0000-0000-0000D0100000}"/>
    <cellStyle name="Accent3 2 3 2 2" xfId="4305" xr:uid="{00000000-0005-0000-0000-0000D1100000}"/>
    <cellStyle name="Accent3 2 3 3" xfId="4306" xr:uid="{00000000-0005-0000-0000-0000D2100000}"/>
    <cellStyle name="Accent3 2 3 3 2" xfId="4307" xr:uid="{00000000-0005-0000-0000-0000D3100000}"/>
    <cellStyle name="Accent3 2 3 3 2 2" xfId="4308" xr:uid="{00000000-0005-0000-0000-0000D4100000}"/>
    <cellStyle name="Accent3 2 3 3 3" xfId="4309" xr:uid="{00000000-0005-0000-0000-0000D5100000}"/>
    <cellStyle name="Accent3 2 3 4" xfId="4310" xr:uid="{00000000-0005-0000-0000-0000D6100000}"/>
    <cellStyle name="Accent3 2 4" xfId="4311" xr:uid="{00000000-0005-0000-0000-0000D7100000}"/>
    <cellStyle name="Accent3 2 4 2" xfId="4312" xr:uid="{00000000-0005-0000-0000-0000D8100000}"/>
    <cellStyle name="Accent3 2 4 2 2" xfId="4313" xr:uid="{00000000-0005-0000-0000-0000D9100000}"/>
    <cellStyle name="Accent3 2 4 3" xfId="4314" xr:uid="{00000000-0005-0000-0000-0000DA100000}"/>
    <cellStyle name="Accent3 2 5" xfId="4315" xr:uid="{00000000-0005-0000-0000-0000DB100000}"/>
    <cellStyle name="Accent3 2 5 2" xfId="4316" xr:uid="{00000000-0005-0000-0000-0000DC100000}"/>
    <cellStyle name="Accent3 2 5 2 2" xfId="4317" xr:uid="{00000000-0005-0000-0000-0000DD100000}"/>
    <cellStyle name="Accent3 2 5 3" xfId="4318" xr:uid="{00000000-0005-0000-0000-0000DE100000}"/>
    <cellStyle name="Accent3 2 5 3 2" xfId="4319" xr:uid="{00000000-0005-0000-0000-0000DF100000}"/>
    <cellStyle name="Accent3 2 5 3 2 2" xfId="4320" xr:uid="{00000000-0005-0000-0000-0000E0100000}"/>
    <cellStyle name="Accent3 2 5 3 3" xfId="4321" xr:uid="{00000000-0005-0000-0000-0000E1100000}"/>
    <cellStyle name="Accent3 2 5 4" xfId="4322" xr:uid="{00000000-0005-0000-0000-0000E2100000}"/>
    <cellStyle name="Accent3 2 6" xfId="4323" xr:uid="{00000000-0005-0000-0000-0000E3100000}"/>
    <cellStyle name="Accent3 2 6 2" xfId="4324" xr:uid="{00000000-0005-0000-0000-0000E4100000}"/>
    <cellStyle name="Accent3 2 6 2 2" xfId="4325" xr:uid="{00000000-0005-0000-0000-0000E5100000}"/>
    <cellStyle name="Accent3 2 6 3" xfId="4326" xr:uid="{00000000-0005-0000-0000-0000E6100000}"/>
    <cellStyle name="Accent3 2 6 3 2" xfId="4327" xr:uid="{00000000-0005-0000-0000-0000E7100000}"/>
    <cellStyle name="Accent3 2 6 4" xfId="4328" xr:uid="{00000000-0005-0000-0000-0000E8100000}"/>
    <cellStyle name="Accent3 2 7" xfId="4329" xr:uid="{00000000-0005-0000-0000-0000E9100000}"/>
    <cellStyle name="Accent3 2 7 2" xfId="4330" xr:uid="{00000000-0005-0000-0000-0000EA100000}"/>
    <cellStyle name="Accent3 2 8" xfId="4331" xr:uid="{00000000-0005-0000-0000-0000EB100000}"/>
    <cellStyle name="Accent3 2 8 2" xfId="4332" xr:uid="{00000000-0005-0000-0000-0000EC100000}"/>
    <cellStyle name="Accent3 2 8 2 2" xfId="4333" xr:uid="{00000000-0005-0000-0000-0000ED100000}"/>
    <cellStyle name="Accent3 2 8 3" xfId="4334" xr:uid="{00000000-0005-0000-0000-0000EE100000}"/>
    <cellStyle name="Accent3 2 9" xfId="4335" xr:uid="{00000000-0005-0000-0000-0000EF100000}"/>
    <cellStyle name="Accent3 2 9 2" xfId="4336" xr:uid="{00000000-0005-0000-0000-0000F0100000}"/>
    <cellStyle name="Accent3 2 9 2 2" xfId="4337" xr:uid="{00000000-0005-0000-0000-0000F1100000}"/>
    <cellStyle name="Accent3 2 9 3" xfId="4338" xr:uid="{00000000-0005-0000-0000-0000F2100000}"/>
    <cellStyle name="Accent3 20" xfId="4339" xr:uid="{00000000-0005-0000-0000-0000F3100000}"/>
    <cellStyle name="Accent3 20 2" xfId="4340" xr:uid="{00000000-0005-0000-0000-0000F4100000}"/>
    <cellStyle name="Accent3 20 2 2" xfId="4341" xr:uid="{00000000-0005-0000-0000-0000F5100000}"/>
    <cellStyle name="Accent3 20 3" xfId="4342" xr:uid="{00000000-0005-0000-0000-0000F6100000}"/>
    <cellStyle name="Accent3 21" xfId="4343" xr:uid="{00000000-0005-0000-0000-0000F7100000}"/>
    <cellStyle name="Accent3 21 2" xfId="4344" xr:uid="{00000000-0005-0000-0000-0000F8100000}"/>
    <cellStyle name="Accent3 21 2 2" xfId="4345" xr:uid="{00000000-0005-0000-0000-0000F9100000}"/>
    <cellStyle name="Accent3 21 3" xfId="4346" xr:uid="{00000000-0005-0000-0000-0000FA100000}"/>
    <cellStyle name="Accent3 22" xfId="4347" xr:uid="{00000000-0005-0000-0000-0000FB100000}"/>
    <cellStyle name="Accent3 22 2" xfId="4348" xr:uid="{00000000-0005-0000-0000-0000FC100000}"/>
    <cellStyle name="Accent3 22 2 2" xfId="4349" xr:uid="{00000000-0005-0000-0000-0000FD100000}"/>
    <cellStyle name="Accent3 22 3" xfId="4350" xr:uid="{00000000-0005-0000-0000-0000FE100000}"/>
    <cellStyle name="Accent3 23" xfId="4351" xr:uid="{00000000-0005-0000-0000-0000FF100000}"/>
    <cellStyle name="Accent3 23 2" xfId="4352" xr:uid="{00000000-0005-0000-0000-000000110000}"/>
    <cellStyle name="Accent3 23 2 2" xfId="4353" xr:uid="{00000000-0005-0000-0000-000001110000}"/>
    <cellStyle name="Accent3 23 3" xfId="4354" xr:uid="{00000000-0005-0000-0000-000002110000}"/>
    <cellStyle name="Accent3 24" xfId="4355" xr:uid="{00000000-0005-0000-0000-000003110000}"/>
    <cellStyle name="Accent3 24 2" xfId="4356" xr:uid="{00000000-0005-0000-0000-000004110000}"/>
    <cellStyle name="Accent3 24 2 2" xfId="4357" xr:uid="{00000000-0005-0000-0000-000005110000}"/>
    <cellStyle name="Accent3 24 3" xfId="4358" xr:uid="{00000000-0005-0000-0000-000006110000}"/>
    <cellStyle name="Accent3 25" xfId="4359" xr:uid="{00000000-0005-0000-0000-000007110000}"/>
    <cellStyle name="Accent3 25 2" xfId="4360" xr:uid="{00000000-0005-0000-0000-000008110000}"/>
    <cellStyle name="Accent3 25 2 2" xfId="4361" xr:uid="{00000000-0005-0000-0000-000009110000}"/>
    <cellStyle name="Accent3 25 3" xfId="4362" xr:uid="{00000000-0005-0000-0000-00000A110000}"/>
    <cellStyle name="Accent3 26" xfId="4363" xr:uid="{00000000-0005-0000-0000-00000B110000}"/>
    <cellStyle name="Accent3 26 2" xfId="4364" xr:uid="{00000000-0005-0000-0000-00000C110000}"/>
    <cellStyle name="Accent3 26 2 2" xfId="4365" xr:uid="{00000000-0005-0000-0000-00000D110000}"/>
    <cellStyle name="Accent3 26 3" xfId="4366" xr:uid="{00000000-0005-0000-0000-00000E110000}"/>
    <cellStyle name="Accent3 27" xfId="4367" xr:uid="{00000000-0005-0000-0000-00000F110000}"/>
    <cellStyle name="Accent3 27 2" xfId="4368" xr:uid="{00000000-0005-0000-0000-000010110000}"/>
    <cellStyle name="Accent3 27 2 2" xfId="4369" xr:uid="{00000000-0005-0000-0000-000011110000}"/>
    <cellStyle name="Accent3 27 3" xfId="4370" xr:uid="{00000000-0005-0000-0000-000012110000}"/>
    <cellStyle name="Accent3 28" xfId="4371" xr:uid="{00000000-0005-0000-0000-000013110000}"/>
    <cellStyle name="Accent3 28 2" xfId="4372" xr:uid="{00000000-0005-0000-0000-000014110000}"/>
    <cellStyle name="Accent3 28 2 2" xfId="4373" xr:uid="{00000000-0005-0000-0000-000015110000}"/>
    <cellStyle name="Accent3 28 3" xfId="4374" xr:uid="{00000000-0005-0000-0000-000016110000}"/>
    <cellStyle name="Accent3 29" xfId="4375" xr:uid="{00000000-0005-0000-0000-000017110000}"/>
    <cellStyle name="Accent3 29 2" xfId="4376" xr:uid="{00000000-0005-0000-0000-000018110000}"/>
    <cellStyle name="Accent3 29 2 2" xfId="4377" xr:uid="{00000000-0005-0000-0000-000019110000}"/>
    <cellStyle name="Accent3 29 3" xfId="4378" xr:uid="{00000000-0005-0000-0000-00001A110000}"/>
    <cellStyle name="Accent3 3" xfId="4379" xr:uid="{00000000-0005-0000-0000-00001B110000}"/>
    <cellStyle name="Accent3 3 10" xfId="4380" xr:uid="{00000000-0005-0000-0000-00001C110000}"/>
    <cellStyle name="Accent3 3 10 2" xfId="4381" xr:uid="{00000000-0005-0000-0000-00001D110000}"/>
    <cellStyle name="Accent3 3 10 2 2" xfId="4382" xr:uid="{00000000-0005-0000-0000-00001E110000}"/>
    <cellStyle name="Accent3 3 10 3" xfId="4383" xr:uid="{00000000-0005-0000-0000-00001F110000}"/>
    <cellStyle name="Accent3 3 11" xfId="4384" xr:uid="{00000000-0005-0000-0000-000020110000}"/>
    <cellStyle name="Accent3 3 11 2" xfId="4385" xr:uid="{00000000-0005-0000-0000-000021110000}"/>
    <cellStyle name="Accent3 3 12" xfId="4386" xr:uid="{00000000-0005-0000-0000-000022110000}"/>
    <cellStyle name="Accent3 3 2" xfId="4387" xr:uid="{00000000-0005-0000-0000-000023110000}"/>
    <cellStyle name="Accent3 3 2 2" xfId="4388" xr:uid="{00000000-0005-0000-0000-000024110000}"/>
    <cellStyle name="Accent3 3 2 2 2" xfId="4389" xr:uid="{00000000-0005-0000-0000-000025110000}"/>
    <cellStyle name="Accent3 3 2 3" xfId="4390" xr:uid="{00000000-0005-0000-0000-000026110000}"/>
    <cellStyle name="Accent3 3 2 3 2" xfId="4391" xr:uid="{00000000-0005-0000-0000-000027110000}"/>
    <cellStyle name="Accent3 3 2 3 2 2" xfId="4392" xr:uid="{00000000-0005-0000-0000-000028110000}"/>
    <cellStyle name="Accent3 3 2 3 3" xfId="4393" xr:uid="{00000000-0005-0000-0000-000029110000}"/>
    <cellStyle name="Accent3 3 2 4" xfId="4394" xr:uid="{00000000-0005-0000-0000-00002A110000}"/>
    <cellStyle name="Accent3 3 3" xfId="4395" xr:uid="{00000000-0005-0000-0000-00002B110000}"/>
    <cellStyle name="Accent3 3 3 2" xfId="4396" xr:uid="{00000000-0005-0000-0000-00002C110000}"/>
    <cellStyle name="Accent3 3 3 2 2" xfId="4397" xr:uid="{00000000-0005-0000-0000-00002D110000}"/>
    <cellStyle name="Accent3 3 3 3" xfId="4398" xr:uid="{00000000-0005-0000-0000-00002E110000}"/>
    <cellStyle name="Accent3 3 3 3 2" xfId="4399" xr:uid="{00000000-0005-0000-0000-00002F110000}"/>
    <cellStyle name="Accent3 3 3 3 2 2" xfId="4400" xr:uid="{00000000-0005-0000-0000-000030110000}"/>
    <cellStyle name="Accent3 3 3 3 3" xfId="4401" xr:uid="{00000000-0005-0000-0000-000031110000}"/>
    <cellStyle name="Accent3 3 3 4" xfId="4402" xr:uid="{00000000-0005-0000-0000-000032110000}"/>
    <cellStyle name="Accent3 3 4" xfId="4403" xr:uid="{00000000-0005-0000-0000-000033110000}"/>
    <cellStyle name="Accent3 3 4 2" xfId="4404" xr:uid="{00000000-0005-0000-0000-000034110000}"/>
    <cellStyle name="Accent3 3 4 2 2" xfId="4405" xr:uid="{00000000-0005-0000-0000-000035110000}"/>
    <cellStyle name="Accent3 3 4 3" xfId="4406" xr:uid="{00000000-0005-0000-0000-000036110000}"/>
    <cellStyle name="Accent3 3 5" xfId="4407" xr:uid="{00000000-0005-0000-0000-000037110000}"/>
    <cellStyle name="Accent3 3 5 2" xfId="4408" xr:uid="{00000000-0005-0000-0000-000038110000}"/>
    <cellStyle name="Accent3 3 5 2 2" xfId="4409" xr:uid="{00000000-0005-0000-0000-000039110000}"/>
    <cellStyle name="Accent3 3 5 3" xfId="4410" xr:uid="{00000000-0005-0000-0000-00003A110000}"/>
    <cellStyle name="Accent3 3 5 3 2" xfId="4411" xr:uid="{00000000-0005-0000-0000-00003B110000}"/>
    <cellStyle name="Accent3 3 5 3 2 2" xfId="4412" xr:uid="{00000000-0005-0000-0000-00003C110000}"/>
    <cellStyle name="Accent3 3 5 3 3" xfId="4413" xr:uid="{00000000-0005-0000-0000-00003D110000}"/>
    <cellStyle name="Accent3 3 5 4" xfId="4414" xr:uid="{00000000-0005-0000-0000-00003E110000}"/>
    <cellStyle name="Accent3 3 6" xfId="4415" xr:uid="{00000000-0005-0000-0000-00003F110000}"/>
    <cellStyle name="Accent3 3 6 2" xfId="4416" xr:uid="{00000000-0005-0000-0000-000040110000}"/>
    <cellStyle name="Accent3 3 7" xfId="4417" xr:uid="{00000000-0005-0000-0000-000041110000}"/>
    <cellStyle name="Accent3 3 7 2" xfId="4418" xr:uid="{00000000-0005-0000-0000-000042110000}"/>
    <cellStyle name="Accent3 3 8" xfId="4419" xr:uid="{00000000-0005-0000-0000-000043110000}"/>
    <cellStyle name="Accent3 3 8 2" xfId="4420" xr:uid="{00000000-0005-0000-0000-000044110000}"/>
    <cellStyle name="Accent3 3 8 2 2" xfId="4421" xr:uid="{00000000-0005-0000-0000-000045110000}"/>
    <cellStyle name="Accent3 3 8 3" xfId="4422" xr:uid="{00000000-0005-0000-0000-000046110000}"/>
    <cellStyle name="Accent3 3 9" xfId="4423" xr:uid="{00000000-0005-0000-0000-000047110000}"/>
    <cellStyle name="Accent3 3 9 2" xfId="4424" xr:uid="{00000000-0005-0000-0000-000048110000}"/>
    <cellStyle name="Accent3 3 9 2 2" xfId="4425" xr:uid="{00000000-0005-0000-0000-000049110000}"/>
    <cellStyle name="Accent3 3 9 3" xfId="4426" xr:uid="{00000000-0005-0000-0000-00004A110000}"/>
    <cellStyle name="Accent3 30" xfId="4427" xr:uid="{00000000-0005-0000-0000-00004B110000}"/>
    <cellStyle name="Accent3 30 2" xfId="4428" xr:uid="{00000000-0005-0000-0000-00004C110000}"/>
    <cellStyle name="Accent3 30 2 2" xfId="4429" xr:uid="{00000000-0005-0000-0000-00004D110000}"/>
    <cellStyle name="Accent3 30 3" xfId="4430" xr:uid="{00000000-0005-0000-0000-00004E110000}"/>
    <cellStyle name="Accent3 31" xfId="4431" xr:uid="{00000000-0005-0000-0000-00004F110000}"/>
    <cellStyle name="Accent3 31 2" xfId="4432" xr:uid="{00000000-0005-0000-0000-000050110000}"/>
    <cellStyle name="Accent3 31 2 2" xfId="4433" xr:uid="{00000000-0005-0000-0000-000051110000}"/>
    <cellStyle name="Accent3 31 3" xfId="4434" xr:uid="{00000000-0005-0000-0000-000052110000}"/>
    <cellStyle name="Accent3 32" xfId="4435" xr:uid="{00000000-0005-0000-0000-000053110000}"/>
    <cellStyle name="Accent3 32 2" xfId="4436" xr:uid="{00000000-0005-0000-0000-000054110000}"/>
    <cellStyle name="Accent3 32 2 2" xfId="4437" xr:uid="{00000000-0005-0000-0000-000055110000}"/>
    <cellStyle name="Accent3 32 3" xfId="4438" xr:uid="{00000000-0005-0000-0000-000056110000}"/>
    <cellStyle name="Accent3 33" xfId="4439" xr:uid="{00000000-0005-0000-0000-000057110000}"/>
    <cellStyle name="Accent3 33 2" xfId="4440" xr:uid="{00000000-0005-0000-0000-000058110000}"/>
    <cellStyle name="Accent3 33 2 2" xfId="4441" xr:uid="{00000000-0005-0000-0000-000059110000}"/>
    <cellStyle name="Accent3 33 3" xfId="4442" xr:uid="{00000000-0005-0000-0000-00005A110000}"/>
    <cellStyle name="Accent3 34" xfId="4443" xr:uid="{00000000-0005-0000-0000-00005B110000}"/>
    <cellStyle name="Accent3 34 2" xfId="4444" xr:uid="{00000000-0005-0000-0000-00005C110000}"/>
    <cellStyle name="Accent3 34 2 2" xfId="4445" xr:uid="{00000000-0005-0000-0000-00005D110000}"/>
    <cellStyle name="Accent3 34 3" xfId="4446" xr:uid="{00000000-0005-0000-0000-00005E110000}"/>
    <cellStyle name="Accent3 35" xfId="4447" xr:uid="{00000000-0005-0000-0000-00005F110000}"/>
    <cellStyle name="Accent3 35 2" xfId="4448" xr:uid="{00000000-0005-0000-0000-000060110000}"/>
    <cellStyle name="Accent3 35 2 2" xfId="4449" xr:uid="{00000000-0005-0000-0000-000061110000}"/>
    <cellStyle name="Accent3 35 3" xfId="4450" xr:uid="{00000000-0005-0000-0000-000062110000}"/>
    <cellStyle name="Accent3 36" xfId="4451" xr:uid="{00000000-0005-0000-0000-000063110000}"/>
    <cellStyle name="Accent3 36 2" xfId="4452" xr:uid="{00000000-0005-0000-0000-000064110000}"/>
    <cellStyle name="Accent3 36 2 2" xfId="4453" xr:uid="{00000000-0005-0000-0000-000065110000}"/>
    <cellStyle name="Accent3 36 3" xfId="4454" xr:uid="{00000000-0005-0000-0000-000066110000}"/>
    <cellStyle name="Accent3 37" xfId="4455" xr:uid="{00000000-0005-0000-0000-000067110000}"/>
    <cellStyle name="Accent3 37 2" xfId="4456" xr:uid="{00000000-0005-0000-0000-000068110000}"/>
    <cellStyle name="Accent3 37 2 2" xfId="4457" xr:uid="{00000000-0005-0000-0000-000069110000}"/>
    <cellStyle name="Accent3 37 3" xfId="4458" xr:uid="{00000000-0005-0000-0000-00006A110000}"/>
    <cellStyle name="Accent3 38" xfId="4459" xr:uid="{00000000-0005-0000-0000-00006B110000}"/>
    <cellStyle name="Accent3 38 2" xfId="4460" xr:uid="{00000000-0005-0000-0000-00006C110000}"/>
    <cellStyle name="Accent3 38 2 2" xfId="4461" xr:uid="{00000000-0005-0000-0000-00006D110000}"/>
    <cellStyle name="Accent3 38 3" xfId="4462" xr:uid="{00000000-0005-0000-0000-00006E110000}"/>
    <cellStyle name="Accent3 39" xfId="4463" xr:uid="{00000000-0005-0000-0000-00006F110000}"/>
    <cellStyle name="Accent3 39 2" xfId="4464" xr:uid="{00000000-0005-0000-0000-000070110000}"/>
    <cellStyle name="Accent3 39 2 2" xfId="4465" xr:uid="{00000000-0005-0000-0000-000071110000}"/>
    <cellStyle name="Accent3 39 3" xfId="4466" xr:uid="{00000000-0005-0000-0000-000072110000}"/>
    <cellStyle name="Accent3 4" xfId="4467" xr:uid="{00000000-0005-0000-0000-000073110000}"/>
    <cellStyle name="Accent3 4 2" xfId="4468" xr:uid="{00000000-0005-0000-0000-000074110000}"/>
    <cellStyle name="Accent3 4 2 2" xfId="4469" xr:uid="{00000000-0005-0000-0000-000075110000}"/>
    <cellStyle name="Accent3 4 2 2 2" xfId="4470" xr:uid="{00000000-0005-0000-0000-000076110000}"/>
    <cellStyle name="Accent3 4 2 3" xfId="4471" xr:uid="{00000000-0005-0000-0000-000077110000}"/>
    <cellStyle name="Accent3 4 2 3 2" xfId="4472" xr:uid="{00000000-0005-0000-0000-000078110000}"/>
    <cellStyle name="Accent3 4 2 3 2 2" xfId="4473" xr:uid="{00000000-0005-0000-0000-000079110000}"/>
    <cellStyle name="Accent3 4 2 3 3" xfId="4474" xr:uid="{00000000-0005-0000-0000-00007A110000}"/>
    <cellStyle name="Accent3 4 2 4" xfId="4475" xr:uid="{00000000-0005-0000-0000-00007B110000}"/>
    <cellStyle name="Accent3 4 3" xfId="4476" xr:uid="{00000000-0005-0000-0000-00007C110000}"/>
    <cellStyle name="Accent3 4 3 2" xfId="4477" xr:uid="{00000000-0005-0000-0000-00007D110000}"/>
    <cellStyle name="Accent3 4 3 2 2" xfId="4478" xr:uid="{00000000-0005-0000-0000-00007E110000}"/>
    <cellStyle name="Accent3 4 3 3" xfId="4479" xr:uid="{00000000-0005-0000-0000-00007F110000}"/>
    <cellStyle name="Accent3 4 3 3 2" xfId="4480" xr:uid="{00000000-0005-0000-0000-000080110000}"/>
    <cellStyle name="Accent3 4 3 3 2 2" xfId="4481" xr:uid="{00000000-0005-0000-0000-000081110000}"/>
    <cellStyle name="Accent3 4 3 3 3" xfId="4482" xr:uid="{00000000-0005-0000-0000-000082110000}"/>
    <cellStyle name="Accent3 4 3 4" xfId="4483" xr:uid="{00000000-0005-0000-0000-000083110000}"/>
    <cellStyle name="Accent3 4 4" xfId="4484" xr:uid="{00000000-0005-0000-0000-000084110000}"/>
    <cellStyle name="Accent3 4 4 2" xfId="4485" xr:uid="{00000000-0005-0000-0000-000085110000}"/>
    <cellStyle name="Accent3 4 4 2 2" xfId="4486" xr:uid="{00000000-0005-0000-0000-000086110000}"/>
    <cellStyle name="Accent3 4 4 3" xfId="4487" xr:uid="{00000000-0005-0000-0000-000087110000}"/>
    <cellStyle name="Accent3 4 5" xfId="4488" xr:uid="{00000000-0005-0000-0000-000088110000}"/>
    <cellStyle name="Accent3 4 5 2" xfId="4489" xr:uid="{00000000-0005-0000-0000-000089110000}"/>
    <cellStyle name="Accent3 4 6" xfId="4490" xr:uid="{00000000-0005-0000-0000-00008A110000}"/>
    <cellStyle name="Accent3 4 6 2" xfId="4491" xr:uid="{00000000-0005-0000-0000-00008B110000}"/>
    <cellStyle name="Accent3 4 6 2 2" xfId="4492" xr:uid="{00000000-0005-0000-0000-00008C110000}"/>
    <cellStyle name="Accent3 4 6 3" xfId="4493" xr:uid="{00000000-0005-0000-0000-00008D110000}"/>
    <cellStyle name="Accent3 4 7" xfId="4494" xr:uid="{00000000-0005-0000-0000-00008E110000}"/>
    <cellStyle name="Accent3 4 7 2" xfId="4495" xr:uid="{00000000-0005-0000-0000-00008F110000}"/>
    <cellStyle name="Accent3 4 7 2 2" xfId="4496" xr:uid="{00000000-0005-0000-0000-000090110000}"/>
    <cellStyle name="Accent3 4 7 3" xfId="4497" xr:uid="{00000000-0005-0000-0000-000091110000}"/>
    <cellStyle name="Accent3 4 8" xfId="4498" xr:uid="{00000000-0005-0000-0000-000092110000}"/>
    <cellStyle name="Accent3 40" xfId="4499" xr:uid="{00000000-0005-0000-0000-000093110000}"/>
    <cellStyle name="Accent3 40 2" xfId="4500" xr:uid="{00000000-0005-0000-0000-000094110000}"/>
    <cellStyle name="Accent3 40 2 2" xfId="4501" xr:uid="{00000000-0005-0000-0000-000095110000}"/>
    <cellStyle name="Accent3 40 3" xfId="4502" xr:uid="{00000000-0005-0000-0000-000096110000}"/>
    <cellStyle name="Accent3 41" xfId="4503" xr:uid="{00000000-0005-0000-0000-000097110000}"/>
    <cellStyle name="Accent3 41 2" xfId="4504" xr:uid="{00000000-0005-0000-0000-000098110000}"/>
    <cellStyle name="Accent3 41 2 2" xfId="4505" xr:uid="{00000000-0005-0000-0000-000099110000}"/>
    <cellStyle name="Accent3 41 3" xfId="4506" xr:uid="{00000000-0005-0000-0000-00009A110000}"/>
    <cellStyle name="Accent3 42" xfId="4507" xr:uid="{00000000-0005-0000-0000-00009B110000}"/>
    <cellStyle name="Accent3 42 2" xfId="4508" xr:uid="{00000000-0005-0000-0000-00009C110000}"/>
    <cellStyle name="Accent3 42 2 2" xfId="4509" xr:uid="{00000000-0005-0000-0000-00009D110000}"/>
    <cellStyle name="Accent3 42 3" xfId="4510" xr:uid="{00000000-0005-0000-0000-00009E110000}"/>
    <cellStyle name="Accent3 43" xfId="4511" xr:uid="{00000000-0005-0000-0000-00009F110000}"/>
    <cellStyle name="Accent3 43 2" xfId="4512" xr:uid="{00000000-0005-0000-0000-0000A0110000}"/>
    <cellStyle name="Accent3 43 2 2" xfId="4513" xr:uid="{00000000-0005-0000-0000-0000A1110000}"/>
    <cellStyle name="Accent3 43 3" xfId="4514" xr:uid="{00000000-0005-0000-0000-0000A2110000}"/>
    <cellStyle name="Accent3 44" xfId="4515" xr:uid="{00000000-0005-0000-0000-0000A3110000}"/>
    <cellStyle name="Accent3 44 2" xfId="4516" xr:uid="{00000000-0005-0000-0000-0000A4110000}"/>
    <cellStyle name="Accent3 44 2 2" xfId="4517" xr:uid="{00000000-0005-0000-0000-0000A5110000}"/>
    <cellStyle name="Accent3 44 3" xfId="4518" xr:uid="{00000000-0005-0000-0000-0000A6110000}"/>
    <cellStyle name="Accent3 45" xfId="4519" xr:uid="{00000000-0005-0000-0000-0000A7110000}"/>
    <cellStyle name="Accent3 45 2" xfId="4520" xr:uid="{00000000-0005-0000-0000-0000A8110000}"/>
    <cellStyle name="Accent3 45 2 2" xfId="4521" xr:uid="{00000000-0005-0000-0000-0000A9110000}"/>
    <cellStyle name="Accent3 45 3" xfId="4522" xr:uid="{00000000-0005-0000-0000-0000AA110000}"/>
    <cellStyle name="Accent3 46" xfId="4523" xr:uid="{00000000-0005-0000-0000-0000AB110000}"/>
    <cellStyle name="Accent3 46 2" xfId="4524" xr:uid="{00000000-0005-0000-0000-0000AC110000}"/>
    <cellStyle name="Accent3 46 2 2" xfId="4525" xr:uid="{00000000-0005-0000-0000-0000AD110000}"/>
    <cellStyle name="Accent3 46 3" xfId="4526" xr:uid="{00000000-0005-0000-0000-0000AE110000}"/>
    <cellStyle name="Accent3 47" xfId="4527" xr:uid="{00000000-0005-0000-0000-0000AF110000}"/>
    <cellStyle name="Accent3 47 2" xfId="4528" xr:uid="{00000000-0005-0000-0000-0000B0110000}"/>
    <cellStyle name="Accent3 47 2 2" xfId="4529" xr:uid="{00000000-0005-0000-0000-0000B1110000}"/>
    <cellStyle name="Accent3 47 3" xfId="4530" xr:uid="{00000000-0005-0000-0000-0000B2110000}"/>
    <cellStyle name="Accent3 48" xfId="4531" xr:uid="{00000000-0005-0000-0000-0000B3110000}"/>
    <cellStyle name="Accent3 48 2" xfId="4532" xr:uid="{00000000-0005-0000-0000-0000B4110000}"/>
    <cellStyle name="Accent3 48 2 2" xfId="4533" xr:uid="{00000000-0005-0000-0000-0000B5110000}"/>
    <cellStyle name="Accent3 48 3" xfId="4534" xr:uid="{00000000-0005-0000-0000-0000B6110000}"/>
    <cellStyle name="Accent3 48 3 2" xfId="4535" xr:uid="{00000000-0005-0000-0000-0000B7110000}"/>
    <cellStyle name="Accent3 48 3 2 2" xfId="4536" xr:uid="{00000000-0005-0000-0000-0000B8110000}"/>
    <cellStyle name="Accent3 48 3 3" xfId="4537" xr:uid="{00000000-0005-0000-0000-0000B9110000}"/>
    <cellStyle name="Accent3 48 4" xfId="4538" xr:uid="{00000000-0005-0000-0000-0000BA110000}"/>
    <cellStyle name="Accent3 49" xfId="4539" xr:uid="{00000000-0005-0000-0000-0000BB110000}"/>
    <cellStyle name="Accent3 49 2" xfId="4540" xr:uid="{00000000-0005-0000-0000-0000BC110000}"/>
    <cellStyle name="Accent3 49 2 2" xfId="4541" xr:uid="{00000000-0005-0000-0000-0000BD110000}"/>
    <cellStyle name="Accent3 49 3" xfId="4542" xr:uid="{00000000-0005-0000-0000-0000BE110000}"/>
    <cellStyle name="Accent3 49 3 2" xfId="4543" xr:uid="{00000000-0005-0000-0000-0000BF110000}"/>
    <cellStyle name="Accent3 49 3 2 2" xfId="4544" xr:uid="{00000000-0005-0000-0000-0000C0110000}"/>
    <cellStyle name="Accent3 49 3 3" xfId="4545" xr:uid="{00000000-0005-0000-0000-0000C1110000}"/>
    <cellStyle name="Accent3 49 4" xfId="4546" xr:uid="{00000000-0005-0000-0000-0000C2110000}"/>
    <cellStyle name="Accent3 5" xfId="4547" xr:uid="{00000000-0005-0000-0000-0000C3110000}"/>
    <cellStyle name="Accent3 5 2" xfId="4548" xr:uid="{00000000-0005-0000-0000-0000C4110000}"/>
    <cellStyle name="Accent3 5 2 2" xfId="4549" xr:uid="{00000000-0005-0000-0000-0000C5110000}"/>
    <cellStyle name="Accent3 5 2 2 2" xfId="4550" xr:uid="{00000000-0005-0000-0000-0000C6110000}"/>
    <cellStyle name="Accent3 5 2 3" xfId="4551" xr:uid="{00000000-0005-0000-0000-0000C7110000}"/>
    <cellStyle name="Accent3 5 2 3 2" xfId="4552" xr:uid="{00000000-0005-0000-0000-0000C8110000}"/>
    <cellStyle name="Accent3 5 2 3 2 2" xfId="4553" xr:uid="{00000000-0005-0000-0000-0000C9110000}"/>
    <cellStyle name="Accent3 5 2 3 3" xfId="4554" xr:uid="{00000000-0005-0000-0000-0000CA110000}"/>
    <cellStyle name="Accent3 5 2 4" xfId="4555" xr:uid="{00000000-0005-0000-0000-0000CB110000}"/>
    <cellStyle name="Accent3 5 3" xfId="4556" xr:uid="{00000000-0005-0000-0000-0000CC110000}"/>
    <cellStyle name="Accent3 5 3 2" xfId="4557" xr:uid="{00000000-0005-0000-0000-0000CD110000}"/>
    <cellStyle name="Accent3 5 3 2 2" xfId="4558" xr:uid="{00000000-0005-0000-0000-0000CE110000}"/>
    <cellStyle name="Accent3 5 3 3" xfId="4559" xr:uid="{00000000-0005-0000-0000-0000CF110000}"/>
    <cellStyle name="Accent3 5 3 3 2" xfId="4560" xr:uid="{00000000-0005-0000-0000-0000D0110000}"/>
    <cellStyle name="Accent3 5 3 3 2 2" xfId="4561" xr:uid="{00000000-0005-0000-0000-0000D1110000}"/>
    <cellStyle name="Accent3 5 3 3 3" xfId="4562" xr:uid="{00000000-0005-0000-0000-0000D2110000}"/>
    <cellStyle name="Accent3 5 3 4" xfId="4563" xr:uid="{00000000-0005-0000-0000-0000D3110000}"/>
    <cellStyle name="Accent3 5 4" xfId="4564" xr:uid="{00000000-0005-0000-0000-0000D4110000}"/>
    <cellStyle name="Accent3 5 4 2" xfId="4565" xr:uid="{00000000-0005-0000-0000-0000D5110000}"/>
    <cellStyle name="Accent3 5 5" xfId="4566" xr:uid="{00000000-0005-0000-0000-0000D6110000}"/>
    <cellStyle name="Accent3 5 5 2" xfId="4567" xr:uid="{00000000-0005-0000-0000-0000D7110000}"/>
    <cellStyle name="Accent3 5 5 2 2" xfId="4568" xr:uid="{00000000-0005-0000-0000-0000D8110000}"/>
    <cellStyle name="Accent3 5 5 3" xfId="4569" xr:uid="{00000000-0005-0000-0000-0000D9110000}"/>
    <cellStyle name="Accent3 5 6" xfId="4570" xr:uid="{00000000-0005-0000-0000-0000DA110000}"/>
    <cellStyle name="Accent3 5 6 2" xfId="4571" xr:uid="{00000000-0005-0000-0000-0000DB110000}"/>
    <cellStyle name="Accent3 5 7" xfId="4572" xr:uid="{00000000-0005-0000-0000-0000DC110000}"/>
    <cellStyle name="Accent3 50" xfId="4573" xr:uid="{00000000-0005-0000-0000-0000DD110000}"/>
    <cellStyle name="Accent3 50 2" xfId="4574" xr:uid="{00000000-0005-0000-0000-0000DE110000}"/>
    <cellStyle name="Accent3 50 2 2" xfId="4575" xr:uid="{00000000-0005-0000-0000-0000DF110000}"/>
    <cellStyle name="Accent3 50 3" xfId="4576" xr:uid="{00000000-0005-0000-0000-0000E0110000}"/>
    <cellStyle name="Accent3 50 3 2" xfId="4577" xr:uid="{00000000-0005-0000-0000-0000E1110000}"/>
    <cellStyle name="Accent3 50 3 2 2" xfId="4578" xr:uid="{00000000-0005-0000-0000-0000E2110000}"/>
    <cellStyle name="Accent3 50 3 3" xfId="4579" xr:uid="{00000000-0005-0000-0000-0000E3110000}"/>
    <cellStyle name="Accent3 50 4" xfId="4580" xr:uid="{00000000-0005-0000-0000-0000E4110000}"/>
    <cellStyle name="Accent3 51" xfId="4581" xr:uid="{00000000-0005-0000-0000-0000E5110000}"/>
    <cellStyle name="Accent3 51 2" xfId="4582" xr:uid="{00000000-0005-0000-0000-0000E6110000}"/>
    <cellStyle name="Accent3 51 2 2" xfId="4583" xr:uid="{00000000-0005-0000-0000-0000E7110000}"/>
    <cellStyle name="Accent3 51 3" xfId="4584" xr:uid="{00000000-0005-0000-0000-0000E8110000}"/>
    <cellStyle name="Accent3 51 3 2" xfId="4585" xr:uid="{00000000-0005-0000-0000-0000E9110000}"/>
    <cellStyle name="Accent3 51 3 2 2" xfId="4586" xr:uid="{00000000-0005-0000-0000-0000EA110000}"/>
    <cellStyle name="Accent3 51 3 3" xfId="4587" xr:uid="{00000000-0005-0000-0000-0000EB110000}"/>
    <cellStyle name="Accent3 51 4" xfId="4588" xr:uid="{00000000-0005-0000-0000-0000EC110000}"/>
    <cellStyle name="Accent3 52" xfId="4589" xr:uid="{00000000-0005-0000-0000-0000ED110000}"/>
    <cellStyle name="Accent3 52 2" xfId="4590" xr:uid="{00000000-0005-0000-0000-0000EE110000}"/>
    <cellStyle name="Accent3 52 2 2" xfId="4591" xr:uid="{00000000-0005-0000-0000-0000EF110000}"/>
    <cellStyle name="Accent3 52 3" xfId="4592" xr:uid="{00000000-0005-0000-0000-0000F0110000}"/>
    <cellStyle name="Accent3 53" xfId="4593" xr:uid="{00000000-0005-0000-0000-0000F1110000}"/>
    <cellStyle name="Accent3 53 2" xfId="4594" xr:uid="{00000000-0005-0000-0000-0000F2110000}"/>
    <cellStyle name="Accent3 53 2 2" xfId="4595" xr:uid="{00000000-0005-0000-0000-0000F3110000}"/>
    <cellStyle name="Accent3 53 3" xfId="4596" xr:uid="{00000000-0005-0000-0000-0000F4110000}"/>
    <cellStyle name="Accent3 54" xfId="4597" xr:uid="{00000000-0005-0000-0000-0000F5110000}"/>
    <cellStyle name="Accent3 54 2" xfId="4598" xr:uid="{00000000-0005-0000-0000-0000F6110000}"/>
    <cellStyle name="Accent3 54 2 2" xfId="4599" xr:uid="{00000000-0005-0000-0000-0000F7110000}"/>
    <cellStyle name="Accent3 54 3" xfId="4600" xr:uid="{00000000-0005-0000-0000-0000F8110000}"/>
    <cellStyle name="Accent3 55" xfId="4601" xr:uid="{00000000-0005-0000-0000-0000F9110000}"/>
    <cellStyle name="Accent3 55 2" xfId="4602" xr:uid="{00000000-0005-0000-0000-0000FA110000}"/>
    <cellStyle name="Accent3 55 2 2" xfId="4603" xr:uid="{00000000-0005-0000-0000-0000FB110000}"/>
    <cellStyle name="Accent3 55 3" xfId="4604" xr:uid="{00000000-0005-0000-0000-0000FC110000}"/>
    <cellStyle name="Accent3 56" xfId="4605" xr:uid="{00000000-0005-0000-0000-0000FD110000}"/>
    <cellStyle name="Accent3 56 2" xfId="4606" xr:uid="{00000000-0005-0000-0000-0000FE110000}"/>
    <cellStyle name="Accent3 56 2 2" xfId="4607" xr:uid="{00000000-0005-0000-0000-0000FF110000}"/>
    <cellStyle name="Accent3 56 3" xfId="4608" xr:uid="{00000000-0005-0000-0000-000000120000}"/>
    <cellStyle name="Accent3 57" xfId="4609" xr:uid="{00000000-0005-0000-0000-000001120000}"/>
    <cellStyle name="Accent3 57 2" xfId="4610" xr:uid="{00000000-0005-0000-0000-000002120000}"/>
    <cellStyle name="Accent3 57 2 2" xfId="4611" xr:uid="{00000000-0005-0000-0000-000003120000}"/>
    <cellStyle name="Accent3 57 3" xfId="4612" xr:uid="{00000000-0005-0000-0000-000004120000}"/>
    <cellStyle name="Accent3 58" xfId="4613" xr:uid="{00000000-0005-0000-0000-000005120000}"/>
    <cellStyle name="Accent3 58 2" xfId="4614" xr:uid="{00000000-0005-0000-0000-000006120000}"/>
    <cellStyle name="Accent3 58 2 2" xfId="4615" xr:uid="{00000000-0005-0000-0000-000007120000}"/>
    <cellStyle name="Accent3 58 3" xfId="4616" xr:uid="{00000000-0005-0000-0000-000008120000}"/>
    <cellStyle name="Accent3 58 3 2" xfId="4617" xr:uid="{00000000-0005-0000-0000-000009120000}"/>
    <cellStyle name="Accent3 58 3 2 2" xfId="4618" xr:uid="{00000000-0005-0000-0000-00000A120000}"/>
    <cellStyle name="Accent3 58 3 3" xfId="4619" xr:uid="{00000000-0005-0000-0000-00000B120000}"/>
    <cellStyle name="Accent3 58 4" xfId="4620" xr:uid="{00000000-0005-0000-0000-00000C120000}"/>
    <cellStyle name="Accent3 59" xfId="4621" xr:uid="{00000000-0005-0000-0000-00000D120000}"/>
    <cellStyle name="Accent3 59 2" xfId="4622" xr:uid="{00000000-0005-0000-0000-00000E120000}"/>
    <cellStyle name="Accent3 59 2 2" xfId="4623" xr:uid="{00000000-0005-0000-0000-00000F120000}"/>
    <cellStyle name="Accent3 59 3" xfId="4624" xr:uid="{00000000-0005-0000-0000-000010120000}"/>
    <cellStyle name="Accent3 59 3 2" xfId="4625" xr:uid="{00000000-0005-0000-0000-000011120000}"/>
    <cellStyle name="Accent3 59 3 2 2" xfId="4626" xr:uid="{00000000-0005-0000-0000-000012120000}"/>
    <cellStyle name="Accent3 59 3 3" xfId="4627" xr:uid="{00000000-0005-0000-0000-000013120000}"/>
    <cellStyle name="Accent3 59 4" xfId="4628" xr:uid="{00000000-0005-0000-0000-000014120000}"/>
    <cellStyle name="Accent3 6" xfId="4629" xr:uid="{00000000-0005-0000-0000-000015120000}"/>
    <cellStyle name="Accent3 6 2" xfId="4630" xr:uid="{00000000-0005-0000-0000-000016120000}"/>
    <cellStyle name="Accent3 6 2 2" xfId="4631" xr:uid="{00000000-0005-0000-0000-000017120000}"/>
    <cellStyle name="Accent3 6 2 2 2" xfId="4632" xr:uid="{00000000-0005-0000-0000-000018120000}"/>
    <cellStyle name="Accent3 6 2 3" xfId="4633" xr:uid="{00000000-0005-0000-0000-000019120000}"/>
    <cellStyle name="Accent3 6 2 3 2" xfId="4634" xr:uid="{00000000-0005-0000-0000-00001A120000}"/>
    <cellStyle name="Accent3 6 2 3 2 2" xfId="4635" xr:uid="{00000000-0005-0000-0000-00001B120000}"/>
    <cellStyle name="Accent3 6 2 3 3" xfId="4636" xr:uid="{00000000-0005-0000-0000-00001C120000}"/>
    <cellStyle name="Accent3 6 2 4" xfId="4637" xr:uid="{00000000-0005-0000-0000-00001D120000}"/>
    <cellStyle name="Accent3 6 3" xfId="4638" xr:uid="{00000000-0005-0000-0000-00001E120000}"/>
    <cellStyle name="Accent3 6 3 2" xfId="4639" xr:uid="{00000000-0005-0000-0000-00001F120000}"/>
    <cellStyle name="Accent3 6 4" xfId="4640" xr:uid="{00000000-0005-0000-0000-000020120000}"/>
    <cellStyle name="Accent3 6 4 2" xfId="4641" xr:uid="{00000000-0005-0000-0000-000021120000}"/>
    <cellStyle name="Accent3 6 4 2 2" xfId="4642" xr:uid="{00000000-0005-0000-0000-000022120000}"/>
    <cellStyle name="Accent3 6 4 3" xfId="4643" xr:uid="{00000000-0005-0000-0000-000023120000}"/>
    <cellStyle name="Accent3 6 5" xfId="4644" xr:uid="{00000000-0005-0000-0000-000024120000}"/>
    <cellStyle name="Accent3 60" xfId="4645" xr:uid="{00000000-0005-0000-0000-000025120000}"/>
    <cellStyle name="Accent3 60 2" xfId="4646" xr:uid="{00000000-0005-0000-0000-000026120000}"/>
    <cellStyle name="Accent3 60 2 2" xfId="4647" xr:uid="{00000000-0005-0000-0000-000027120000}"/>
    <cellStyle name="Accent3 60 3" xfId="4648" xr:uid="{00000000-0005-0000-0000-000028120000}"/>
    <cellStyle name="Accent3 60 3 2" xfId="4649" xr:uid="{00000000-0005-0000-0000-000029120000}"/>
    <cellStyle name="Accent3 60 3 2 2" xfId="4650" xr:uid="{00000000-0005-0000-0000-00002A120000}"/>
    <cellStyle name="Accent3 60 3 3" xfId="4651" xr:uid="{00000000-0005-0000-0000-00002B120000}"/>
    <cellStyle name="Accent3 60 4" xfId="4652" xr:uid="{00000000-0005-0000-0000-00002C120000}"/>
    <cellStyle name="Accent3 61" xfId="4653" xr:uid="{00000000-0005-0000-0000-00002D120000}"/>
    <cellStyle name="Accent3 61 2" xfId="4654" xr:uid="{00000000-0005-0000-0000-00002E120000}"/>
    <cellStyle name="Accent3 61 2 2" xfId="4655" xr:uid="{00000000-0005-0000-0000-00002F120000}"/>
    <cellStyle name="Accent3 61 3" xfId="4656" xr:uid="{00000000-0005-0000-0000-000030120000}"/>
    <cellStyle name="Accent3 61 3 2" xfId="4657" xr:uid="{00000000-0005-0000-0000-000031120000}"/>
    <cellStyle name="Accent3 61 3 2 2" xfId="4658" xr:uid="{00000000-0005-0000-0000-000032120000}"/>
    <cellStyle name="Accent3 61 3 3" xfId="4659" xr:uid="{00000000-0005-0000-0000-000033120000}"/>
    <cellStyle name="Accent3 61 4" xfId="4660" xr:uid="{00000000-0005-0000-0000-000034120000}"/>
    <cellStyle name="Accent3 62" xfId="4661" xr:uid="{00000000-0005-0000-0000-000035120000}"/>
    <cellStyle name="Accent3 62 2" xfId="4662" xr:uid="{00000000-0005-0000-0000-000036120000}"/>
    <cellStyle name="Accent3 62 2 2" xfId="4663" xr:uid="{00000000-0005-0000-0000-000037120000}"/>
    <cellStyle name="Accent3 62 3" xfId="4664" xr:uid="{00000000-0005-0000-0000-000038120000}"/>
    <cellStyle name="Accent3 62 3 2" xfId="4665" xr:uid="{00000000-0005-0000-0000-000039120000}"/>
    <cellStyle name="Accent3 62 3 2 2" xfId="4666" xr:uid="{00000000-0005-0000-0000-00003A120000}"/>
    <cellStyle name="Accent3 62 3 3" xfId="4667" xr:uid="{00000000-0005-0000-0000-00003B120000}"/>
    <cellStyle name="Accent3 62 4" xfId="4668" xr:uid="{00000000-0005-0000-0000-00003C120000}"/>
    <cellStyle name="Accent3 63" xfId="4669" xr:uid="{00000000-0005-0000-0000-00003D120000}"/>
    <cellStyle name="Accent3 63 2" xfId="4670" xr:uid="{00000000-0005-0000-0000-00003E120000}"/>
    <cellStyle name="Accent3 63 2 2" xfId="4671" xr:uid="{00000000-0005-0000-0000-00003F120000}"/>
    <cellStyle name="Accent3 63 3" xfId="4672" xr:uid="{00000000-0005-0000-0000-000040120000}"/>
    <cellStyle name="Accent3 63 3 2" xfId="4673" xr:uid="{00000000-0005-0000-0000-000041120000}"/>
    <cellStyle name="Accent3 63 3 2 2" xfId="4674" xr:uid="{00000000-0005-0000-0000-000042120000}"/>
    <cellStyle name="Accent3 63 3 3" xfId="4675" xr:uid="{00000000-0005-0000-0000-000043120000}"/>
    <cellStyle name="Accent3 63 4" xfId="4676" xr:uid="{00000000-0005-0000-0000-000044120000}"/>
    <cellStyle name="Accent3 64" xfId="4677" xr:uid="{00000000-0005-0000-0000-000045120000}"/>
    <cellStyle name="Accent3 64 2" xfId="4678" xr:uid="{00000000-0005-0000-0000-000046120000}"/>
    <cellStyle name="Accent3 64 2 2" xfId="4679" xr:uid="{00000000-0005-0000-0000-000047120000}"/>
    <cellStyle name="Accent3 64 3" xfId="4680" xr:uid="{00000000-0005-0000-0000-000048120000}"/>
    <cellStyle name="Accent3 64 3 2" xfId="4681" xr:uid="{00000000-0005-0000-0000-000049120000}"/>
    <cellStyle name="Accent3 64 3 2 2" xfId="4682" xr:uid="{00000000-0005-0000-0000-00004A120000}"/>
    <cellStyle name="Accent3 64 3 3" xfId="4683" xr:uid="{00000000-0005-0000-0000-00004B120000}"/>
    <cellStyle name="Accent3 64 4" xfId="4684" xr:uid="{00000000-0005-0000-0000-00004C120000}"/>
    <cellStyle name="Accent3 65" xfId="4685" xr:uid="{00000000-0005-0000-0000-00004D120000}"/>
    <cellStyle name="Accent3 65 2" xfId="4686" xr:uid="{00000000-0005-0000-0000-00004E120000}"/>
    <cellStyle name="Accent3 65 2 2" xfId="4687" xr:uid="{00000000-0005-0000-0000-00004F120000}"/>
    <cellStyle name="Accent3 65 3" xfId="4688" xr:uid="{00000000-0005-0000-0000-000050120000}"/>
    <cellStyle name="Accent3 65 3 2" xfId="4689" xr:uid="{00000000-0005-0000-0000-000051120000}"/>
    <cellStyle name="Accent3 65 3 2 2" xfId="4690" xr:uid="{00000000-0005-0000-0000-000052120000}"/>
    <cellStyle name="Accent3 65 3 3" xfId="4691" xr:uid="{00000000-0005-0000-0000-000053120000}"/>
    <cellStyle name="Accent3 65 4" xfId="4692" xr:uid="{00000000-0005-0000-0000-000054120000}"/>
    <cellStyle name="Accent3 66" xfId="4693" xr:uid="{00000000-0005-0000-0000-000055120000}"/>
    <cellStyle name="Accent3 66 2" xfId="4694" xr:uid="{00000000-0005-0000-0000-000056120000}"/>
    <cellStyle name="Accent3 66 2 2" xfId="4695" xr:uid="{00000000-0005-0000-0000-000057120000}"/>
    <cellStyle name="Accent3 66 3" xfId="4696" xr:uid="{00000000-0005-0000-0000-000058120000}"/>
    <cellStyle name="Accent3 66 3 2" xfId="4697" xr:uid="{00000000-0005-0000-0000-000059120000}"/>
    <cellStyle name="Accent3 66 3 2 2" xfId="4698" xr:uid="{00000000-0005-0000-0000-00005A120000}"/>
    <cellStyle name="Accent3 66 3 3" xfId="4699" xr:uid="{00000000-0005-0000-0000-00005B120000}"/>
    <cellStyle name="Accent3 66 4" xfId="4700" xr:uid="{00000000-0005-0000-0000-00005C120000}"/>
    <cellStyle name="Accent3 67" xfId="4701" xr:uid="{00000000-0005-0000-0000-00005D120000}"/>
    <cellStyle name="Accent3 67 2" xfId="4702" xr:uid="{00000000-0005-0000-0000-00005E120000}"/>
    <cellStyle name="Accent3 67 2 2" xfId="4703" xr:uid="{00000000-0005-0000-0000-00005F120000}"/>
    <cellStyle name="Accent3 67 3" xfId="4704" xr:uid="{00000000-0005-0000-0000-000060120000}"/>
    <cellStyle name="Accent3 67 3 2" xfId="4705" xr:uid="{00000000-0005-0000-0000-000061120000}"/>
    <cellStyle name="Accent3 67 3 2 2" xfId="4706" xr:uid="{00000000-0005-0000-0000-000062120000}"/>
    <cellStyle name="Accent3 67 3 3" xfId="4707" xr:uid="{00000000-0005-0000-0000-000063120000}"/>
    <cellStyle name="Accent3 67 4" xfId="4708" xr:uid="{00000000-0005-0000-0000-000064120000}"/>
    <cellStyle name="Accent3 68" xfId="4709" xr:uid="{00000000-0005-0000-0000-000065120000}"/>
    <cellStyle name="Accent3 68 2" xfId="4710" xr:uid="{00000000-0005-0000-0000-000066120000}"/>
    <cellStyle name="Accent3 68 2 2" xfId="4711" xr:uid="{00000000-0005-0000-0000-000067120000}"/>
    <cellStyle name="Accent3 68 3" xfId="4712" xr:uid="{00000000-0005-0000-0000-000068120000}"/>
    <cellStyle name="Accent3 68 3 2" xfId="4713" xr:uid="{00000000-0005-0000-0000-000069120000}"/>
    <cellStyle name="Accent3 68 3 2 2" xfId="4714" xr:uid="{00000000-0005-0000-0000-00006A120000}"/>
    <cellStyle name="Accent3 68 3 3" xfId="4715" xr:uid="{00000000-0005-0000-0000-00006B120000}"/>
    <cellStyle name="Accent3 68 4" xfId="4716" xr:uid="{00000000-0005-0000-0000-00006C120000}"/>
    <cellStyle name="Accent3 69" xfId="4717" xr:uid="{00000000-0005-0000-0000-00006D120000}"/>
    <cellStyle name="Accent3 69 2" xfId="4718" xr:uid="{00000000-0005-0000-0000-00006E120000}"/>
    <cellStyle name="Accent3 69 2 2" xfId="4719" xr:uid="{00000000-0005-0000-0000-00006F120000}"/>
    <cellStyle name="Accent3 69 3" xfId="4720" xr:uid="{00000000-0005-0000-0000-000070120000}"/>
    <cellStyle name="Accent3 69 3 2" xfId="4721" xr:uid="{00000000-0005-0000-0000-000071120000}"/>
    <cellStyle name="Accent3 69 3 2 2" xfId="4722" xr:uid="{00000000-0005-0000-0000-000072120000}"/>
    <cellStyle name="Accent3 69 3 3" xfId="4723" xr:uid="{00000000-0005-0000-0000-000073120000}"/>
    <cellStyle name="Accent3 69 4" xfId="4724" xr:uid="{00000000-0005-0000-0000-000074120000}"/>
    <cellStyle name="Accent3 7" xfId="4725" xr:uid="{00000000-0005-0000-0000-000075120000}"/>
    <cellStyle name="Accent3 7 2" xfId="4726" xr:uid="{00000000-0005-0000-0000-000076120000}"/>
    <cellStyle name="Accent3 7 2 2" xfId="4727" xr:uid="{00000000-0005-0000-0000-000077120000}"/>
    <cellStyle name="Accent3 7 2 2 2" xfId="4728" xr:uid="{00000000-0005-0000-0000-000078120000}"/>
    <cellStyle name="Accent3 7 2 3" xfId="4729" xr:uid="{00000000-0005-0000-0000-000079120000}"/>
    <cellStyle name="Accent3 7 2 3 2" xfId="4730" xr:uid="{00000000-0005-0000-0000-00007A120000}"/>
    <cellStyle name="Accent3 7 2 3 2 2" xfId="4731" xr:uid="{00000000-0005-0000-0000-00007B120000}"/>
    <cellStyle name="Accent3 7 2 3 3" xfId="4732" xr:uid="{00000000-0005-0000-0000-00007C120000}"/>
    <cellStyle name="Accent3 7 2 4" xfId="4733" xr:uid="{00000000-0005-0000-0000-00007D120000}"/>
    <cellStyle name="Accent3 7 3" xfId="4734" xr:uid="{00000000-0005-0000-0000-00007E120000}"/>
    <cellStyle name="Accent3 7 3 2" xfId="4735" xr:uid="{00000000-0005-0000-0000-00007F120000}"/>
    <cellStyle name="Accent3 7 4" xfId="4736" xr:uid="{00000000-0005-0000-0000-000080120000}"/>
    <cellStyle name="Accent3 7 4 2" xfId="4737" xr:uid="{00000000-0005-0000-0000-000081120000}"/>
    <cellStyle name="Accent3 7 4 2 2" xfId="4738" xr:uid="{00000000-0005-0000-0000-000082120000}"/>
    <cellStyle name="Accent3 7 4 3" xfId="4739" xr:uid="{00000000-0005-0000-0000-000083120000}"/>
    <cellStyle name="Accent3 7 5" xfId="4740" xr:uid="{00000000-0005-0000-0000-000084120000}"/>
    <cellStyle name="Accent3 70" xfId="4741" xr:uid="{00000000-0005-0000-0000-000085120000}"/>
    <cellStyle name="Accent3 70 2" xfId="4742" xr:uid="{00000000-0005-0000-0000-000086120000}"/>
    <cellStyle name="Accent3 70 2 2" xfId="4743" xr:uid="{00000000-0005-0000-0000-000087120000}"/>
    <cellStyle name="Accent3 70 3" xfId="4744" xr:uid="{00000000-0005-0000-0000-000088120000}"/>
    <cellStyle name="Accent3 70 3 2" xfId="4745" xr:uid="{00000000-0005-0000-0000-000089120000}"/>
    <cellStyle name="Accent3 70 3 2 2" xfId="4746" xr:uid="{00000000-0005-0000-0000-00008A120000}"/>
    <cellStyle name="Accent3 70 3 3" xfId="4747" xr:uid="{00000000-0005-0000-0000-00008B120000}"/>
    <cellStyle name="Accent3 70 4" xfId="4748" xr:uid="{00000000-0005-0000-0000-00008C120000}"/>
    <cellStyle name="Accent3 71" xfId="4749" xr:uid="{00000000-0005-0000-0000-00008D120000}"/>
    <cellStyle name="Accent3 71 2" xfId="4750" xr:uid="{00000000-0005-0000-0000-00008E120000}"/>
    <cellStyle name="Accent3 71 2 2" xfId="4751" xr:uid="{00000000-0005-0000-0000-00008F120000}"/>
    <cellStyle name="Accent3 71 3" xfId="4752" xr:uid="{00000000-0005-0000-0000-000090120000}"/>
    <cellStyle name="Accent3 71 3 2" xfId="4753" xr:uid="{00000000-0005-0000-0000-000091120000}"/>
    <cellStyle name="Accent3 71 3 2 2" xfId="4754" xr:uid="{00000000-0005-0000-0000-000092120000}"/>
    <cellStyle name="Accent3 71 3 3" xfId="4755" xr:uid="{00000000-0005-0000-0000-000093120000}"/>
    <cellStyle name="Accent3 71 4" xfId="4756" xr:uid="{00000000-0005-0000-0000-000094120000}"/>
    <cellStyle name="Accent3 72" xfId="4757" xr:uid="{00000000-0005-0000-0000-000095120000}"/>
    <cellStyle name="Accent3 72 2" xfId="4758" xr:uid="{00000000-0005-0000-0000-000096120000}"/>
    <cellStyle name="Accent3 72 2 2" xfId="4759" xr:uid="{00000000-0005-0000-0000-000097120000}"/>
    <cellStyle name="Accent3 72 3" xfId="4760" xr:uid="{00000000-0005-0000-0000-000098120000}"/>
    <cellStyle name="Accent3 72 3 2" xfId="4761" xr:uid="{00000000-0005-0000-0000-000099120000}"/>
    <cellStyle name="Accent3 72 3 2 2" xfId="4762" xr:uid="{00000000-0005-0000-0000-00009A120000}"/>
    <cellStyle name="Accent3 72 3 3" xfId="4763" xr:uid="{00000000-0005-0000-0000-00009B120000}"/>
    <cellStyle name="Accent3 72 4" xfId="4764" xr:uid="{00000000-0005-0000-0000-00009C120000}"/>
    <cellStyle name="Accent3 73" xfId="4765" xr:uid="{00000000-0005-0000-0000-00009D120000}"/>
    <cellStyle name="Accent3 73 2" xfId="4766" xr:uid="{00000000-0005-0000-0000-00009E120000}"/>
    <cellStyle name="Accent3 73 2 2" xfId="4767" xr:uid="{00000000-0005-0000-0000-00009F120000}"/>
    <cellStyle name="Accent3 73 3" xfId="4768" xr:uid="{00000000-0005-0000-0000-0000A0120000}"/>
    <cellStyle name="Accent3 73 3 2" xfId="4769" xr:uid="{00000000-0005-0000-0000-0000A1120000}"/>
    <cellStyle name="Accent3 73 3 2 2" xfId="4770" xr:uid="{00000000-0005-0000-0000-0000A2120000}"/>
    <cellStyle name="Accent3 73 3 3" xfId="4771" xr:uid="{00000000-0005-0000-0000-0000A3120000}"/>
    <cellStyle name="Accent3 73 4" xfId="4772" xr:uid="{00000000-0005-0000-0000-0000A4120000}"/>
    <cellStyle name="Accent3 74" xfId="4773" xr:uid="{00000000-0005-0000-0000-0000A5120000}"/>
    <cellStyle name="Accent3 74 2" xfId="4774" xr:uid="{00000000-0005-0000-0000-0000A6120000}"/>
    <cellStyle name="Accent3 74 2 2" xfId="4775" xr:uid="{00000000-0005-0000-0000-0000A7120000}"/>
    <cellStyle name="Accent3 74 3" xfId="4776" xr:uid="{00000000-0005-0000-0000-0000A8120000}"/>
    <cellStyle name="Accent3 74 3 2" xfId="4777" xr:uid="{00000000-0005-0000-0000-0000A9120000}"/>
    <cellStyle name="Accent3 74 3 2 2" xfId="4778" xr:uid="{00000000-0005-0000-0000-0000AA120000}"/>
    <cellStyle name="Accent3 74 3 3" xfId="4779" xr:uid="{00000000-0005-0000-0000-0000AB120000}"/>
    <cellStyle name="Accent3 74 4" xfId="4780" xr:uid="{00000000-0005-0000-0000-0000AC120000}"/>
    <cellStyle name="Accent3 75" xfId="4781" xr:uid="{00000000-0005-0000-0000-0000AD120000}"/>
    <cellStyle name="Accent3 75 2" xfId="4782" xr:uid="{00000000-0005-0000-0000-0000AE120000}"/>
    <cellStyle name="Accent3 75 2 2" xfId="4783" xr:uid="{00000000-0005-0000-0000-0000AF120000}"/>
    <cellStyle name="Accent3 75 3" xfId="4784" xr:uid="{00000000-0005-0000-0000-0000B0120000}"/>
    <cellStyle name="Accent3 75 3 2" xfId="4785" xr:uid="{00000000-0005-0000-0000-0000B1120000}"/>
    <cellStyle name="Accent3 75 3 2 2" xfId="4786" xr:uid="{00000000-0005-0000-0000-0000B2120000}"/>
    <cellStyle name="Accent3 75 3 3" xfId="4787" xr:uid="{00000000-0005-0000-0000-0000B3120000}"/>
    <cellStyle name="Accent3 75 4" xfId="4788" xr:uid="{00000000-0005-0000-0000-0000B4120000}"/>
    <cellStyle name="Accent3 76" xfId="4789" xr:uid="{00000000-0005-0000-0000-0000B5120000}"/>
    <cellStyle name="Accent3 76 2" xfId="4790" xr:uid="{00000000-0005-0000-0000-0000B6120000}"/>
    <cellStyle name="Accent3 76 2 2" xfId="4791" xr:uid="{00000000-0005-0000-0000-0000B7120000}"/>
    <cellStyle name="Accent3 76 3" xfId="4792" xr:uid="{00000000-0005-0000-0000-0000B8120000}"/>
    <cellStyle name="Accent3 76 3 2" xfId="4793" xr:uid="{00000000-0005-0000-0000-0000B9120000}"/>
    <cellStyle name="Accent3 76 3 2 2" xfId="4794" xr:uid="{00000000-0005-0000-0000-0000BA120000}"/>
    <cellStyle name="Accent3 76 3 3" xfId="4795" xr:uid="{00000000-0005-0000-0000-0000BB120000}"/>
    <cellStyle name="Accent3 76 4" xfId="4796" xr:uid="{00000000-0005-0000-0000-0000BC120000}"/>
    <cellStyle name="Accent3 77" xfId="4797" xr:uid="{00000000-0005-0000-0000-0000BD120000}"/>
    <cellStyle name="Accent3 77 2" xfId="4798" xr:uid="{00000000-0005-0000-0000-0000BE120000}"/>
    <cellStyle name="Accent3 77 2 2" xfId="4799" xr:uid="{00000000-0005-0000-0000-0000BF120000}"/>
    <cellStyle name="Accent3 77 3" xfId="4800" xr:uid="{00000000-0005-0000-0000-0000C0120000}"/>
    <cellStyle name="Accent3 77 3 2" xfId="4801" xr:uid="{00000000-0005-0000-0000-0000C1120000}"/>
    <cellStyle name="Accent3 77 3 2 2" xfId="4802" xr:uid="{00000000-0005-0000-0000-0000C2120000}"/>
    <cellStyle name="Accent3 77 3 3" xfId="4803" xr:uid="{00000000-0005-0000-0000-0000C3120000}"/>
    <cellStyle name="Accent3 77 4" xfId="4804" xr:uid="{00000000-0005-0000-0000-0000C4120000}"/>
    <cellStyle name="Accent3 78" xfId="4805" xr:uid="{00000000-0005-0000-0000-0000C5120000}"/>
    <cellStyle name="Accent3 78 2" xfId="4806" xr:uid="{00000000-0005-0000-0000-0000C6120000}"/>
    <cellStyle name="Accent3 78 2 2" xfId="4807" xr:uid="{00000000-0005-0000-0000-0000C7120000}"/>
    <cellStyle name="Accent3 78 3" xfId="4808" xr:uid="{00000000-0005-0000-0000-0000C8120000}"/>
    <cellStyle name="Accent3 78 3 2" xfId="4809" xr:uid="{00000000-0005-0000-0000-0000C9120000}"/>
    <cellStyle name="Accent3 78 3 2 2" xfId="4810" xr:uid="{00000000-0005-0000-0000-0000CA120000}"/>
    <cellStyle name="Accent3 78 3 3" xfId="4811" xr:uid="{00000000-0005-0000-0000-0000CB120000}"/>
    <cellStyle name="Accent3 78 4" xfId="4812" xr:uid="{00000000-0005-0000-0000-0000CC120000}"/>
    <cellStyle name="Accent3 79" xfId="4813" xr:uid="{00000000-0005-0000-0000-0000CD120000}"/>
    <cellStyle name="Accent3 79 2" xfId="4814" xr:uid="{00000000-0005-0000-0000-0000CE120000}"/>
    <cellStyle name="Accent3 79 2 2" xfId="4815" xr:uid="{00000000-0005-0000-0000-0000CF120000}"/>
    <cellStyle name="Accent3 79 3" xfId="4816" xr:uid="{00000000-0005-0000-0000-0000D0120000}"/>
    <cellStyle name="Accent3 79 3 2" xfId="4817" xr:uid="{00000000-0005-0000-0000-0000D1120000}"/>
    <cellStyle name="Accent3 79 3 2 2" xfId="4818" xr:uid="{00000000-0005-0000-0000-0000D2120000}"/>
    <cellStyle name="Accent3 79 3 3" xfId="4819" xr:uid="{00000000-0005-0000-0000-0000D3120000}"/>
    <cellStyle name="Accent3 79 4" xfId="4820" xr:uid="{00000000-0005-0000-0000-0000D4120000}"/>
    <cellStyle name="Accent3 8" xfId="4821" xr:uid="{00000000-0005-0000-0000-0000D5120000}"/>
    <cellStyle name="Accent3 8 2" xfId="4822" xr:uid="{00000000-0005-0000-0000-0000D6120000}"/>
    <cellStyle name="Accent3 8 2 2" xfId="4823" xr:uid="{00000000-0005-0000-0000-0000D7120000}"/>
    <cellStyle name="Accent3 8 3" xfId="4824" xr:uid="{00000000-0005-0000-0000-0000D8120000}"/>
    <cellStyle name="Accent3 80" xfId="4825" xr:uid="{00000000-0005-0000-0000-0000D9120000}"/>
    <cellStyle name="Accent3 80 2" xfId="4826" xr:uid="{00000000-0005-0000-0000-0000DA120000}"/>
    <cellStyle name="Accent3 80 2 2" xfId="4827" xr:uid="{00000000-0005-0000-0000-0000DB120000}"/>
    <cellStyle name="Accent3 80 3" xfId="4828" xr:uid="{00000000-0005-0000-0000-0000DC120000}"/>
    <cellStyle name="Accent3 80 3 2" xfId="4829" xr:uid="{00000000-0005-0000-0000-0000DD120000}"/>
    <cellStyle name="Accent3 80 3 2 2" xfId="4830" xr:uid="{00000000-0005-0000-0000-0000DE120000}"/>
    <cellStyle name="Accent3 80 3 3" xfId="4831" xr:uid="{00000000-0005-0000-0000-0000DF120000}"/>
    <cellStyle name="Accent3 80 4" xfId="4832" xr:uid="{00000000-0005-0000-0000-0000E0120000}"/>
    <cellStyle name="Accent3 81" xfId="4833" xr:uid="{00000000-0005-0000-0000-0000E1120000}"/>
    <cellStyle name="Accent3 81 2" xfId="4834" xr:uid="{00000000-0005-0000-0000-0000E2120000}"/>
    <cellStyle name="Accent3 81 2 2" xfId="4835" xr:uid="{00000000-0005-0000-0000-0000E3120000}"/>
    <cellStyle name="Accent3 81 3" xfId="4836" xr:uid="{00000000-0005-0000-0000-0000E4120000}"/>
    <cellStyle name="Accent3 81 3 2" xfId="4837" xr:uid="{00000000-0005-0000-0000-0000E5120000}"/>
    <cellStyle name="Accent3 81 3 2 2" xfId="4838" xr:uid="{00000000-0005-0000-0000-0000E6120000}"/>
    <cellStyle name="Accent3 81 3 3" xfId="4839" xr:uid="{00000000-0005-0000-0000-0000E7120000}"/>
    <cellStyle name="Accent3 81 4" xfId="4840" xr:uid="{00000000-0005-0000-0000-0000E8120000}"/>
    <cellStyle name="Accent3 82" xfId="4841" xr:uid="{00000000-0005-0000-0000-0000E9120000}"/>
    <cellStyle name="Accent3 82 2" xfId="4842" xr:uid="{00000000-0005-0000-0000-0000EA120000}"/>
    <cellStyle name="Accent3 82 2 2" xfId="4843" xr:uid="{00000000-0005-0000-0000-0000EB120000}"/>
    <cellStyle name="Accent3 82 3" xfId="4844" xr:uid="{00000000-0005-0000-0000-0000EC120000}"/>
    <cellStyle name="Accent3 82 3 2" xfId="4845" xr:uid="{00000000-0005-0000-0000-0000ED120000}"/>
    <cellStyle name="Accent3 82 3 2 2" xfId="4846" xr:uid="{00000000-0005-0000-0000-0000EE120000}"/>
    <cellStyle name="Accent3 82 3 3" xfId="4847" xr:uid="{00000000-0005-0000-0000-0000EF120000}"/>
    <cellStyle name="Accent3 82 4" xfId="4848" xr:uid="{00000000-0005-0000-0000-0000F0120000}"/>
    <cellStyle name="Accent3 83" xfId="4849" xr:uid="{00000000-0005-0000-0000-0000F1120000}"/>
    <cellStyle name="Accent3 83 2" xfId="4850" xr:uid="{00000000-0005-0000-0000-0000F2120000}"/>
    <cellStyle name="Accent3 83 2 2" xfId="4851" xr:uid="{00000000-0005-0000-0000-0000F3120000}"/>
    <cellStyle name="Accent3 83 3" xfId="4852" xr:uid="{00000000-0005-0000-0000-0000F4120000}"/>
    <cellStyle name="Accent3 83 3 2" xfId="4853" xr:uid="{00000000-0005-0000-0000-0000F5120000}"/>
    <cellStyle name="Accent3 83 3 2 2" xfId="4854" xr:uid="{00000000-0005-0000-0000-0000F6120000}"/>
    <cellStyle name="Accent3 83 3 3" xfId="4855" xr:uid="{00000000-0005-0000-0000-0000F7120000}"/>
    <cellStyle name="Accent3 83 4" xfId="4856" xr:uid="{00000000-0005-0000-0000-0000F8120000}"/>
    <cellStyle name="Accent3 84" xfId="4857" xr:uid="{00000000-0005-0000-0000-0000F9120000}"/>
    <cellStyle name="Accent3 84 2" xfId="4858" xr:uid="{00000000-0005-0000-0000-0000FA120000}"/>
    <cellStyle name="Accent3 84 2 2" xfId="4859" xr:uid="{00000000-0005-0000-0000-0000FB120000}"/>
    <cellStyle name="Accent3 84 3" xfId="4860" xr:uid="{00000000-0005-0000-0000-0000FC120000}"/>
    <cellStyle name="Accent3 85" xfId="4861" xr:uid="{00000000-0005-0000-0000-0000FD120000}"/>
    <cellStyle name="Accent3 85 2" xfId="4862" xr:uid="{00000000-0005-0000-0000-0000FE120000}"/>
    <cellStyle name="Accent3 85 2 2" xfId="4863" xr:uid="{00000000-0005-0000-0000-0000FF120000}"/>
    <cellStyle name="Accent3 85 3" xfId="4864" xr:uid="{00000000-0005-0000-0000-000000130000}"/>
    <cellStyle name="Accent3 86" xfId="4865" xr:uid="{00000000-0005-0000-0000-000001130000}"/>
    <cellStyle name="Accent3 86 2" xfId="4866" xr:uid="{00000000-0005-0000-0000-000002130000}"/>
    <cellStyle name="Accent3 86 2 2" xfId="4867" xr:uid="{00000000-0005-0000-0000-000003130000}"/>
    <cellStyle name="Accent3 86 3" xfId="4868" xr:uid="{00000000-0005-0000-0000-000004130000}"/>
    <cellStyle name="Accent3 87" xfId="4869" xr:uid="{00000000-0005-0000-0000-000005130000}"/>
    <cellStyle name="Accent3 87 2" xfId="4870" xr:uid="{00000000-0005-0000-0000-000006130000}"/>
    <cellStyle name="Accent3 87 2 2" xfId="4871" xr:uid="{00000000-0005-0000-0000-000007130000}"/>
    <cellStyle name="Accent3 87 3" xfId="4872" xr:uid="{00000000-0005-0000-0000-000008130000}"/>
    <cellStyle name="Accent3 88" xfId="4873" xr:uid="{00000000-0005-0000-0000-000009130000}"/>
    <cellStyle name="Accent3 88 2" xfId="4874" xr:uid="{00000000-0005-0000-0000-00000A130000}"/>
    <cellStyle name="Accent3 88 2 2" xfId="4875" xr:uid="{00000000-0005-0000-0000-00000B130000}"/>
    <cellStyle name="Accent3 88 3" xfId="4876" xr:uid="{00000000-0005-0000-0000-00000C130000}"/>
    <cellStyle name="Accent3 89" xfId="4877" xr:uid="{00000000-0005-0000-0000-00000D130000}"/>
    <cellStyle name="Accent3 89 2" xfId="4878" xr:uid="{00000000-0005-0000-0000-00000E130000}"/>
    <cellStyle name="Accent3 89 2 2" xfId="4879" xr:uid="{00000000-0005-0000-0000-00000F130000}"/>
    <cellStyle name="Accent3 89 3" xfId="4880" xr:uid="{00000000-0005-0000-0000-000010130000}"/>
    <cellStyle name="Accent3 9" xfId="4881" xr:uid="{00000000-0005-0000-0000-000011130000}"/>
    <cellStyle name="Accent3 9 2" xfId="4882" xr:uid="{00000000-0005-0000-0000-000012130000}"/>
    <cellStyle name="Accent3 9 2 2" xfId="4883" xr:uid="{00000000-0005-0000-0000-000013130000}"/>
    <cellStyle name="Accent3 9 3" xfId="4884" xr:uid="{00000000-0005-0000-0000-000014130000}"/>
    <cellStyle name="Accent3 90" xfId="4885" xr:uid="{00000000-0005-0000-0000-000015130000}"/>
    <cellStyle name="Accent3 90 2" xfId="4886" xr:uid="{00000000-0005-0000-0000-000016130000}"/>
    <cellStyle name="Accent3 90 2 2" xfId="4887" xr:uid="{00000000-0005-0000-0000-000017130000}"/>
    <cellStyle name="Accent3 90 3" xfId="4888" xr:uid="{00000000-0005-0000-0000-000018130000}"/>
    <cellStyle name="Accent3 91" xfId="4889" xr:uid="{00000000-0005-0000-0000-000019130000}"/>
    <cellStyle name="Accent3 91 2" xfId="4890" xr:uid="{00000000-0005-0000-0000-00001A130000}"/>
    <cellStyle name="Accent3 91 2 2" xfId="4891" xr:uid="{00000000-0005-0000-0000-00001B130000}"/>
    <cellStyle name="Accent3 91 3" xfId="4892" xr:uid="{00000000-0005-0000-0000-00001C130000}"/>
    <cellStyle name="Accent3 92" xfId="4893" xr:uid="{00000000-0005-0000-0000-00001D130000}"/>
    <cellStyle name="Accent3 92 2" xfId="4894" xr:uid="{00000000-0005-0000-0000-00001E130000}"/>
    <cellStyle name="Accent3 92 2 2" xfId="4895" xr:uid="{00000000-0005-0000-0000-00001F130000}"/>
    <cellStyle name="Accent3 92 3" xfId="4896" xr:uid="{00000000-0005-0000-0000-000020130000}"/>
    <cellStyle name="Accent3 93" xfId="4897" xr:uid="{00000000-0005-0000-0000-000021130000}"/>
    <cellStyle name="Accent3 93 2" xfId="4898" xr:uid="{00000000-0005-0000-0000-000022130000}"/>
    <cellStyle name="Accent3 93 2 2" xfId="4899" xr:uid="{00000000-0005-0000-0000-000023130000}"/>
    <cellStyle name="Accent3 93 3" xfId="4900" xr:uid="{00000000-0005-0000-0000-000024130000}"/>
    <cellStyle name="Accent3 94" xfId="4901" xr:uid="{00000000-0005-0000-0000-000025130000}"/>
    <cellStyle name="Accent3 94 2" xfId="4902" xr:uid="{00000000-0005-0000-0000-000026130000}"/>
    <cellStyle name="Accent3 94 2 2" xfId="4903" xr:uid="{00000000-0005-0000-0000-000027130000}"/>
    <cellStyle name="Accent3 94 3" xfId="4904" xr:uid="{00000000-0005-0000-0000-000028130000}"/>
    <cellStyle name="Accent3 95" xfId="4905" xr:uid="{00000000-0005-0000-0000-000029130000}"/>
    <cellStyle name="Accent3 95 2" xfId="4906" xr:uid="{00000000-0005-0000-0000-00002A130000}"/>
    <cellStyle name="Accent3 95 2 2" xfId="4907" xr:uid="{00000000-0005-0000-0000-00002B130000}"/>
    <cellStyle name="Accent3 95 3" xfId="4908" xr:uid="{00000000-0005-0000-0000-00002C130000}"/>
    <cellStyle name="Accent3 96" xfId="4909" xr:uid="{00000000-0005-0000-0000-00002D130000}"/>
    <cellStyle name="Accent3 96 2" xfId="4910" xr:uid="{00000000-0005-0000-0000-00002E130000}"/>
    <cellStyle name="Accent3 96 2 2" xfId="4911" xr:uid="{00000000-0005-0000-0000-00002F130000}"/>
    <cellStyle name="Accent3 96 3" xfId="4912" xr:uid="{00000000-0005-0000-0000-000030130000}"/>
    <cellStyle name="Accent3 97" xfId="4913" xr:uid="{00000000-0005-0000-0000-000031130000}"/>
    <cellStyle name="Accent3 97 2" xfId="4914" xr:uid="{00000000-0005-0000-0000-000032130000}"/>
    <cellStyle name="Accent3 97 2 2" xfId="4915" xr:uid="{00000000-0005-0000-0000-000033130000}"/>
    <cellStyle name="Accent3 97 3" xfId="4916" xr:uid="{00000000-0005-0000-0000-000034130000}"/>
    <cellStyle name="Accent3 98" xfId="4917" xr:uid="{00000000-0005-0000-0000-000035130000}"/>
    <cellStyle name="Accent3 98 2" xfId="4918" xr:uid="{00000000-0005-0000-0000-000036130000}"/>
    <cellStyle name="Accent3 98 2 2" xfId="4919" xr:uid="{00000000-0005-0000-0000-000037130000}"/>
    <cellStyle name="Accent3 98 3" xfId="4920" xr:uid="{00000000-0005-0000-0000-000038130000}"/>
    <cellStyle name="Accent3 99" xfId="4921" xr:uid="{00000000-0005-0000-0000-000039130000}"/>
    <cellStyle name="Accent3 99 2" xfId="4922" xr:uid="{00000000-0005-0000-0000-00003A130000}"/>
    <cellStyle name="Accent3 99 2 2" xfId="4923" xr:uid="{00000000-0005-0000-0000-00003B130000}"/>
    <cellStyle name="Accent3 99 3" xfId="4924" xr:uid="{00000000-0005-0000-0000-00003C130000}"/>
    <cellStyle name="Accent4 - 20%" xfId="4925" xr:uid="{00000000-0005-0000-0000-00003D130000}"/>
    <cellStyle name="Accent4 - 20% 10" xfId="4926" xr:uid="{00000000-0005-0000-0000-00003E130000}"/>
    <cellStyle name="Accent4 - 20% 11" xfId="4927" xr:uid="{00000000-0005-0000-0000-00003F130000}"/>
    <cellStyle name="Accent4 - 20% 2" xfId="4928" xr:uid="{00000000-0005-0000-0000-000040130000}"/>
    <cellStyle name="Accent4 - 20% 2 2" xfId="4929" xr:uid="{00000000-0005-0000-0000-000041130000}"/>
    <cellStyle name="Accent4 - 20% 2 2 2" xfId="4930" xr:uid="{00000000-0005-0000-0000-000042130000}"/>
    <cellStyle name="Accent4 - 20% 2 2 2 2" xfId="4931" xr:uid="{00000000-0005-0000-0000-000043130000}"/>
    <cellStyle name="Accent4 - 20% 2 2 3" xfId="4932" xr:uid="{00000000-0005-0000-0000-000044130000}"/>
    <cellStyle name="Accent4 - 20% 2 3" xfId="4933" xr:uid="{00000000-0005-0000-0000-000045130000}"/>
    <cellStyle name="Accent4 - 20% 2 3 2" xfId="4934" xr:uid="{00000000-0005-0000-0000-000046130000}"/>
    <cellStyle name="Accent4 - 20% 2 3 2 2" xfId="4935" xr:uid="{00000000-0005-0000-0000-000047130000}"/>
    <cellStyle name="Accent4 - 20% 2 3 2 2 2" xfId="4936" xr:uid="{00000000-0005-0000-0000-000048130000}"/>
    <cellStyle name="Accent4 - 20% 2 3 2 3" xfId="4937" xr:uid="{00000000-0005-0000-0000-000049130000}"/>
    <cellStyle name="Accent4 - 20% 2 3 3" xfId="4938" xr:uid="{00000000-0005-0000-0000-00004A130000}"/>
    <cellStyle name="Accent4 - 20% 2 3 3 2" xfId="4939" xr:uid="{00000000-0005-0000-0000-00004B130000}"/>
    <cellStyle name="Accent4 - 20% 2 3 4" xfId="4940" xr:uid="{00000000-0005-0000-0000-00004C130000}"/>
    <cellStyle name="Accent4 - 20% 2 4" xfId="4941" xr:uid="{00000000-0005-0000-0000-00004D130000}"/>
    <cellStyle name="Accent4 - 20% 2 4 2" xfId="4942" xr:uid="{00000000-0005-0000-0000-00004E130000}"/>
    <cellStyle name="Accent4 - 20% 2 4 2 2" xfId="4943" xr:uid="{00000000-0005-0000-0000-00004F130000}"/>
    <cellStyle name="Accent4 - 20% 2 4 2 2 2" xfId="4944" xr:uid="{00000000-0005-0000-0000-000050130000}"/>
    <cellStyle name="Accent4 - 20% 2 4 2 3" xfId="4945" xr:uid="{00000000-0005-0000-0000-000051130000}"/>
    <cellStyle name="Accent4 - 20% 2 4 3" xfId="4946" xr:uid="{00000000-0005-0000-0000-000052130000}"/>
    <cellStyle name="Accent4 - 20% 2 4 3 2" xfId="4947" xr:uid="{00000000-0005-0000-0000-000053130000}"/>
    <cellStyle name="Accent4 - 20% 2 4 4" xfId="4948" xr:uid="{00000000-0005-0000-0000-000054130000}"/>
    <cellStyle name="Accent4 - 20% 2 5" xfId="4949" xr:uid="{00000000-0005-0000-0000-000055130000}"/>
    <cellStyle name="Accent4 - 20% 2 5 2" xfId="4950" xr:uid="{00000000-0005-0000-0000-000056130000}"/>
    <cellStyle name="Accent4 - 20% 2 6" xfId="4951" xr:uid="{00000000-0005-0000-0000-000057130000}"/>
    <cellStyle name="Accent4 - 20% 2 6 2" xfId="4952" xr:uid="{00000000-0005-0000-0000-000058130000}"/>
    <cellStyle name="Accent4 - 20% 2 7" xfId="4953" xr:uid="{00000000-0005-0000-0000-000059130000}"/>
    <cellStyle name="Accent4 - 20% 3" xfId="4954" xr:uid="{00000000-0005-0000-0000-00005A130000}"/>
    <cellStyle name="Accent4 - 20% 3 2" xfId="4955" xr:uid="{00000000-0005-0000-0000-00005B130000}"/>
    <cellStyle name="Accent4 - 20% 3 2 2" xfId="4956" xr:uid="{00000000-0005-0000-0000-00005C130000}"/>
    <cellStyle name="Accent4 - 20% 3 2 2 2" xfId="4957" xr:uid="{00000000-0005-0000-0000-00005D130000}"/>
    <cellStyle name="Accent4 - 20% 3 2 3" xfId="4958" xr:uid="{00000000-0005-0000-0000-00005E130000}"/>
    <cellStyle name="Accent4 - 20% 3 3" xfId="4959" xr:uid="{00000000-0005-0000-0000-00005F130000}"/>
    <cellStyle name="Accent4 - 20% 3 3 2" xfId="4960" xr:uid="{00000000-0005-0000-0000-000060130000}"/>
    <cellStyle name="Accent4 - 20% 3 4" xfId="4961" xr:uid="{00000000-0005-0000-0000-000061130000}"/>
    <cellStyle name="Accent4 - 20% 4" xfId="4962" xr:uid="{00000000-0005-0000-0000-000062130000}"/>
    <cellStyle name="Accent4 - 20% 4 2" xfId="4963" xr:uid="{00000000-0005-0000-0000-000063130000}"/>
    <cellStyle name="Accent4 - 20% 4 2 2" xfId="4964" xr:uid="{00000000-0005-0000-0000-000064130000}"/>
    <cellStyle name="Accent4 - 20% 4 3" xfId="4965" xr:uid="{00000000-0005-0000-0000-000065130000}"/>
    <cellStyle name="Accent4 - 20% 5" xfId="4966" xr:uid="{00000000-0005-0000-0000-000066130000}"/>
    <cellStyle name="Accent4 - 20% 5 2" xfId="4967" xr:uid="{00000000-0005-0000-0000-000067130000}"/>
    <cellStyle name="Accent4 - 20% 5 2 2" xfId="4968" xr:uid="{00000000-0005-0000-0000-000068130000}"/>
    <cellStyle name="Accent4 - 20% 5 3" xfId="4969" xr:uid="{00000000-0005-0000-0000-000069130000}"/>
    <cellStyle name="Accent4 - 20% 6" xfId="4970" xr:uid="{00000000-0005-0000-0000-00006A130000}"/>
    <cellStyle name="Accent4 - 20% 6 2" xfId="4971" xr:uid="{00000000-0005-0000-0000-00006B130000}"/>
    <cellStyle name="Accent4 - 20% 7" xfId="4972" xr:uid="{00000000-0005-0000-0000-00006C130000}"/>
    <cellStyle name="Accent4 - 20% 7 2" xfId="4973" xr:uid="{00000000-0005-0000-0000-00006D130000}"/>
    <cellStyle name="Accent4 - 20% 8" xfId="4974" xr:uid="{00000000-0005-0000-0000-00006E130000}"/>
    <cellStyle name="Accent4 - 20% 8 2" xfId="4975" xr:uid="{00000000-0005-0000-0000-00006F130000}"/>
    <cellStyle name="Accent4 - 20% 9" xfId="4976" xr:uid="{00000000-0005-0000-0000-000070130000}"/>
    <cellStyle name="Accent4 - 20% 9 2" xfId="4977" xr:uid="{00000000-0005-0000-0000-000071130000}"/>
    <cellStyle name="Accent4 - 40%" xfId="4978" xr:uid="{00000000-0005-0000-0000-000072130000}"/>
    <cellStyle name="Accent4 - 40% 10" xfId="4979" xr:uid="{00000000-0005-0000-0000-000073130000}"/>
    <cellStyle name="Accent4 - 40% 11" xfId="4980" xr:uid="{00000000-0005-0000-0000-000074130000}"/>
    <cellStyle name="Accent4 - 40% 2" xfId="4981" xr:uid="{00000000-0005-0000-0000-000075130000}"/>
    <cellStyle name="Accent4 - 40% 2 2" xfId="4982" xr:uid="{00000000-0005-0000-0000-000076130000}"/>
    <cellStyle name="Accent4 - 40% 2 2 2" xfId="4983" xr:uid="{00000000-0005-0000-0000-000077130000}"/>
    <cellStyle name="Accent4 - 40% 2 2 2 2" xfId="4984" xr:uid="{00000000-0005-0000-0000-000078130000}"/>
    <cellStyle name="Accent4 - 40% 2 2 3" xfId="4985" xr:uid="{00000000-0005-0000-0000-000079130000}"/>
    <cellStyle name="Accent4 - 40% 2 3" xfId="4986" xr:uid="{00000000-0005-0000-0000-00007A130000}"/>
    <cellStyle name="Accent4 - 40% 2 3 2" xfId="4987" xr:uid="{00000000-0005-0000-0000-00007B130000}"/>
    <cellStyle name="Accent4 - 40% 2 3 2 2" xfId="4988" xr:uid="{00000000-0005-0000-0000-00007C130000}"/>
    <cellStyle name="Accent4 - 40% 2 3 2 2 2" xfId="4989" xr:uid="{00000000-0005-0000-0000-00007D130000}"/>
    <cellStyle name="Accent4 - 40% 2 3 2 3" xfId="4990" xr:uid="{00000000-0005-0000-0000-00007E130000}"/>
    <cellStyle name="Accent4 - 40% 2 3 3" xfId="4991" xr:uid="{00000000-0005-0000-0000-00007F130000}"/>
    <cellStyle name="Accent4 - 40% 2 3 3 2" xfId="4992" xr:uid="{00000000-0005-0000-0000-000080130000}"/>
    <cellStyle name="Accent4 - 40% 2 3 4" xfId="4993" xr:uid="{00000000-0005-0000-0000-000081130000}"/>
    <cellStyle name="Accent4 - 40% 2 4" xfId="4994" xr:uid="{00000000-0005-0000-0000-000082130000}"/>
    <cellStyle name="Accent4 - 40% 2 4 2" xfId="4995" xr:uid="{00000000-0005-0000-0000-000083130000}"/>
    <cellStyle name="Accent4 - 40% 2 4 2 2" xfId="4996" xr:uid="{00000000-0005-0000-0000-000084130000}"/>
    <cellStyle name="Accent4 - 40% 2 4 2 2 2" xfId="4997" xr:uid="{00000000-0005-0000-0000-000085130000}"/>
    <cellStyle name="Accent4 - 40% 2 4 2 3" xfId="4998" xr:uid="{00000000-0005-0000-0000-000086130000}"/>
    <cellStyle name="Accent4 - 40% 2 4 3" xfId="4999" xr:uid="{00000000-0005-0000-0000-000087130000}"/>
    <cellStyle name="Accent4 - 40% 2 4 3 2" xfId="5000" xr:uid="{00000000-0005-0000-0000-000088130000}"/>
    <cellStyle name="Accent4 - 40% 2 4 4" xfId="5001" xr:uid="{00000000-0005-0000-0000-000089130000}"/>
    <cellStyle name="Accent4 - 40% 2 5" xfId="5002" xr:uid="{00000000-0005-0000-0000-00008A130000}"/>
    <cellStyle name="Accent4 - 40% 2 5 2" xfId="5003" xr:uid="{00000000-0005-0000-0000-00008B130000}"/>
    <cellStyle name="Accent4 - 40% 2 6" xfId="5004" xr:uid="{00000000-0005-0000-0000-00008C130000}"/>
    <cellStyle name="Accent4 - 40% 2 6 2" xfId="5005" xr:uid="{00000000-0005-0000-0000-00008D130000}"/>
    <cellStyle name="Accent4 - 40% 2 7" xfId="5006" xr:uid="{00000000-0005-0000-0000-00008E130000}"/>
    <cellStyle name="Accent4 - 40% 3" xfId="5007" xr:uid="{00000000-0005-0000-0000-00008F130000}"/>
    <cellStyle name="Accent4 - 40% 3 2" xfId="5008" xr:uid="{00000000-0005-0000-0000-000090130000}"/>
    <cellStyle name="Accent4 - 40% 3 2 2" xfId="5009" xr:uid="{00000000-0005-0000-0000-000091130000}"/>
    <cellStyle name="Accent4 - 40% 3 2 2 2" xfId="5010" xr:uid="{00000000-0005-0000-0000-000092130000}"/>
    <cellStyle name="Accent4 - 40% 3 2 3" xfId="5011" xr:uid="{00000000-0005-0000-0000-000093130000}"/>
    <cellStyle name="Accent4 - 40% 3 3" xfId="5012" xr:uid="{00000000-0005-0000-0000-000094130000}"/>
    <cellStyle name="Accent4 - 40% 3 3 2" xfId="5013" xr:uid="{00000000-0005-0000-0000-000095130000}"/>
    <cellStyle name="Accent4 - 40% 3 4" xfId="5014" xr:uid="{00000000-0005-0000-0000-000096130000}"/>
    <cellStyle name="Accent4 - 40% 4" xfId="5015" xr:uid="{00000000-0005-0000-0000-000097130000}"/>
    <cellStyle name="Accent4 - 40% 4 2" xfId="5016" xr:uid="{00000000-0005-0000-0000-000098130000}"/>
    <cellStyle name="Accent4 - 40% 4 2 2" xfId="5017" xr:uid="{00000000-0005-0000-0000-000099130000}"/>
    <cellStyle name="Accent4 - 40% 4 3" xfId="5018" xr:uid="{00000000-0005-0000-0000-00009A130000}"/>
    <cellStyle name="Accent4 - 40% 5" xfId="5019" xr:uid="{00000000-0005-0000-0000-00009B130000}"/>
    <cellStyle name="Accent4 - 40% 5 2" xfId="5020" xr:uid="{00000000-0005-0000-0000-00009C130000}"/>
    <cellStyle name="Accent4 - 40% 5 2 2" xfId="5021" xr:uid="{00000000-0005-0000-0000-00009D130000}"/>
    <cellStyle name="Accent4 - 40% 5 3" xfId="5022" xr:uid="{00000000-0005-0000-0000-00009E130000}"/>
    <cellStyle name="Accent4 - 40% 6" xfId="5023" xr:uid="{00000000-0005-0000-0000-00009F130000}"/>
    <cellStyle name="Accent4 - 40% 6 2" xfId="5024" xr:uid="{00000000-0005-0000-0000-0000A0130000}"/>
    <cellStyle name="Accent4 - 40% 7" xfId="5025" xr:uid="{00000000-0005-0000-0000-0000A1130000}"/>
    <cellStyle name="Accent4 - 40% 7 2" xfId="5026" xr:uid="{00000000-0005-0000-0000-0000A2130000}"/>
    <cellStyle name="Accent4 - 40% 8" xfId="5027" xr:uid="{00000000-0005-0000-0000-0000A3130000}"/>
    <cellStyle name="Accent4 - 40% 8 2" xfId="5028" xr:uid="{00000000-0005-0000-0000-0000A4130000}"/>
    <cellStyle name="Accent4 - 40% 9" xfId="5029" xr:uid="{00000000-0005-0000-0000-0000A5130000}"/>
    <cellStyle name="Accent4 - 40% 9 2" xfId="5030" xr:uid="{00000000-0005-0000-0000-0000A6130000}"/>
    <cellStyle name="Accent4 - 60%" xfId="5031" xr:uid="{00000000-0005-0000-0000-0000A7130000}"/>
    <cellStyle name="Accent4 - 60% 10" xfId="5032" xr:uid="{00000000-0005-0000-0000-0000A8130000}"/>
    <cellStyle name="Accent4 - 60% 2" xfId="5033" xr:uid="{00000000-0005-0000-0000-0000A9130000}"/>
    <cellStyle name="Accent4 - 60% 2 2" xfId="5034" xr:uid="{00000000-0005-0000-0000-0000AA130000}"/>
    <cellStyle name="Accent4 - 60% 2 2 2" xfId="5035" xr:uid="{00000000-0005-0000-0000-0000AB130000}"/>
    <cellStyle name="Accent4 - 60% 2 3" xfId="5036" xr:uid="{00000000-0005-0000-0000-0000AC130000}"/>
    <cellStyle name="Accent4 - 60% 2 3 2" xfId="5037" xr:uid="{00000000-0005-0000-0000-0000AD130000}"/>
    <cellStyle name="Accent4 - 60% 2 3 2 2" xfId="5038" xr:uid="{00000000-0005-0000-0000-0000AE130000}"/>
    <cellStyle name="Accent4 - 60% 2 3 3" xfId="5039" xr:uid="{00000000-0005-0000-0000-0000AF130000}"/>
    <cellStyle name="Accent4 - 60% 2 4" xfId="5040" xr:uid="{00000000-0005-0000-0000-0000B0130000}"/>
    <cellStyle name="Accent4 - 60% 2 4 2" xfId="5041" xr:uid="{00000000-0005-0000-0000-0000B1130000}"/>
    <cellStyle name="Accent4 - 60% 2 4 2 2" xfId="5042" xr:uid="{00000000-0005-0000-0000-0000B2130000}"/>
    <cellStyle name="Accent4 - 60% 2 4 3" xfId="5043" xr:uid="{00000000-0005-0000-0000-0000B3130000}"/>
    <cellStyle name="Accent4 - 60% 2 5" xfId="5044" xr:uid="{00000000-0005-0000-0000-0000B4130000}"/>
    <cellStyle name="Accent4 - 60% 3" xfId="5045" xr:uid="{00000000-0005-0000-0000-0000B5130000}"/>
    <cellStyle name="Accent4 - 60% 3 2" xfId="5046" xr:uid="{00000000-0005-0000-0000-0000B6130000}"/>
    <cellStyle name="Accent4 - 60% 3 2 2" xfId="5047" xr:uid="{00000000-0005-0000-0000-0000B7130000}"/>
    <cellStyle name="Accent4 - 60% 3 3" xfId="5048" xr:uid="{00000000-0005-0000-0000-0000B8130000}"/>
    <cellStyle name="Accent4 - 60% 4" xfId="5049" xr:uid="{00000000-0005-0000-0000-0000B9130000}"/>
    <cellStyle name="Accent4 - 60% 4 2" xfId="5050" xr:uid="{00000000-0005-0000-0000-0000BA130000}"/>
    <cellStyle name="Accent4 - 60% 5" xfId="5051" xr:uid="{00000000-0005-0000-0000-0000BB130000}"/>
    <cellStyle name="Accent4 - 60% 5 2" xfId="5052" xr:uid="{00000000-0005-0000-0000-0000BC130000}"/>
    <cellStyle name="Accent4 - 60% 6" xfId="5053" xr:uid="{00000000-0005-0000-0000-0000BD130000}"/>
    <cellStyle name="Accent4 - 60% 6 2" xfId="5054" xr:uid="{00000000-0005-0000-0000-0000BE130000}"/>
    <cellStyle name="Accent4 - 60% 6 2 2" xfId="5055" xr:uid="{00000000-0005-0000-0000-0000BF130000}"/>
    <cellStyle name="Accent4 - 60% 6 3" xfId="5056" xr:uid="{00000000-0005-0000-0000-0000C0130000}"/>
    <cellStyle name="Accent4 - 60% 7" xfId="5057" xr:uid="{00000000-0005-0000-0000-0000C1130000}"/>
    <cellStyle name="Accent4 - 60% 7 2" xfId="5058" xr:uid="{00000000-0005-0000-0000-0000C2130000}"/>
    <cellStyle name="Accent4 - 60% 8" xfId="5059" xr:uid="{00000000-0005-0000-0000-0000C3130000}"/>
    <cellStyle name="Accent4 - 60% 8 2" xfId="5060" xr:uid="{00000000-0005-0000-0000-0000C4130000}"/>
    <cellStyle name="Accent4 - 60% 9" xfId="5061" xr:uid="{00000000-0005-0000-0000-0000C5130000}"/>
    <cellStyle name="Accent4 10" xfId="5062" xr:uid="{00000000-0005-0000-0000-0000C6130000}"/>
    <cellStyle name="Accent4 10 2" xfId="5063" xr:uid="{00000000-0005-0000-0000-0000C7130000}"/>
    <cellStyle name="Accent4 10 2 2" xfId="5064" xr:uid="{00000000-0005-0000-0000-0000C8130000}"/>
    <cellStyle name="Accent4 10 3" xfId="5065" xr:uid="{00000000-0005-0000-0000-0000C9130000}"/>
    <cellStyle name="Accent4 100" xfId="5066" xr:uid="{00000000-0005-0000-0000-0000CA130000}"/>
    <cellStyle name="Accent4 100 2" xfId="5067" xr:uid="{00000000-0005-0000-0000-0000CB130000}"/>
    <cellStyle name="Accent4 100 2 2" xfId="5068" xr:uid="{00000000-0005-0000-0000-0000CC130000}"/>
    <cellStyle name="Accent4 100 3" xfId="5069" xr:uid="{00000000-0005-0000-0000-0000CD130000}"/>
    <cellStyle name="Accent4 101" xfId="5070" xr:uid="{00000000-0005-0000-0000-0000CE130000}"/>
    <cellStyle name="Accent4 101 2" xfId="5071" xr:uid="{00000000-0005-0000-0000-0000CF130000}"/>
    <cellStyle name="Accent4 101 2 2" xfId="5072" xr:uid="{00000000-0005-0000-0000-0000D0130000}"/>
    <cellStyle name="Accent4 101 3" xfId="5073" xr:uid="{00000000-0005-0000-0000-0000D1130000}"/>
    <cellStyle name="Accent4 102" xfId="5074" xr:uid="{00000000-0005-0000-0000-0000D2130000}"/>
    <cellStyle name="Accent4 102 2" xfId="5075" xr:uid="{00000000-0005-0000-0000-0000D3130000}"/>
    <cellStyle name="Accent4 103" xfId="5076" xr:uid="{00000000-0005-0000-0000-0000D4130000}"/>
    <cellStyle name="Accent4 103 2" xfId="5077" xr:uid="{00000000-0005-0000-0000-0000D5130000}"/>
    <cellStyle name="Accent4 104" xfId="5078" xr:uid="{00000000-0005-0000-0000-0000D6130000}"/>
    <cellStyle name="Accent4 104 2" xfId="5079" xr:uid="{00000000-0005-0000-0000-0000D7130000}"/>
    <cellStyle name="Accent4 104 2 2" xfId="5080" xr:uid="{00000000-0005-0000-0000-0000D8130000}"/>
    <cellStyle name="Accent4 104 3" xfId="5081" xr:uid="{00000000-0005-0000-0000-0000D9130000}"/>
    <cellStyle name="Accent4 105" xfId="5082" xr:uid="{00000000-0005-0000-0000-0000DA130000}"/>
    <cellStyle name="Accent4 105 2" xfId="5083" xr:uid="{00000000-0005-0000-0000-0000DB130000}"/>
    <cellStyle name="Accent4 105 2 2" xfId="5084" xr:uid="{00000000-0005-0000-0000-0000DC130000}"/>
    <cellStyle name="Accent4 105 3" xfId="5085" xr:uid="{00000000-0005-0000-0000-0000DD130000}"/>
    <cellStyle name="Accent4 106" xfId="5086" xr:uid="{00000000-0005-0000-0000-0000DE130000}"/>
    <cellStyle name="Accent4 106 2" xfId="5087" xr:uid="{00000000-0005-0000-0000-0000DF130000}"/>
    <cellStyle name="Accent4 106 2 2" xfId="5088" xr:uid="{00000000-0005-0000-0000-0000E0130000}"/>
    <cellStyle name="Accent4 106 3" xfId="5089" xr:uid="{00000000-0005-0000-0000-0000E1130000}"/>
    <cellStyle name="Accent4 107" xfId="5090" xr:uid="{00000000-0005-0000-0000-0000E2130000}"/>
    <cellStyle name="Accent4 107 2" xfId="5091" xr:uid="{00000000-0005-0000-0000-0000E3130000}"/>
    <cellStyle name="Accent4 107 2 2" xfId="5092" xr:uid="{00000000-0005-0000-0000-0000E4130000}"/>
    <cellStyle name="Accent4 107 3" xfId="5093" xr:uid="{00000000-0005-0000-0000-0000E5130000}"/>
    <cellStyle name="Accent4 108" xfId="5094" xr:uid="{00000000-0005-0000-0000-0000E6130000}"/>
    <cellStyle name="Accent4 108 2" xfId="5095" xr:uid="{00000000-0005-0000-0000-0000E7130000}"/>
    <cellStyle name="Accent4 108 2 2" xfId="5096" xr:uid="{00000000-0005-0000-0000-0000E8130000}"/>
    <cellStyle name="Accent4 108 3" xfId="5097" xr:uid="{00000000-0005-0000-0000-0000E9130000}"/>
    <cellStyle name="Accent4 109" xfId="5098" xr:uid="{00000000-0005-0000-0000-0000EA130000}"/>
    <cellStyle name="Accent4 109 2" xfId="5099" xr:uid="{00000000-0005-0000-0000-0000EB130000}"/>
    <cellStyle name="Accent4 109 2 2" xfId="5100" xr:uid="{00000000-0005-0000-0000-0000EC130000}"/>
    <cellStyle name="Accent4 109 3" xfId="5101" xr:uid="{00000000-0005-0000-0000-0000ED130000}"/>
    <cellStyle name="Accent4 11" xfId="5102" xr:uid="{00000000-0005-0000-0000-0000EE130000}"/>
    <cellStyle name="Accent4 11 2" xfId="5103" xr:uid="{00000000-0005-0000-0000-0000EF130000}"/>
    <cellStyle name="Accent4 11 2 2" xfId="5104" xr:uid="{00000000-0005-0000-0000-0000F0130000}"/>
    <cellStyle name="Accent4 11 3" xfId="5105" xr:uid="{00000000-0005-0000-0000-0000F1130000}"/>
    <cellStyle name="Accent4 110" xfId="5106" xr:uid="{00000000-0005-0000-0000-0000F2130000}"/>
    <cellStyle name="Accent4 110 2" xfId="5107" xr:uid="{00000000-0005-0000-0000-0000F3130000}"/>
    <cellStyle name="Accent4 110 2 2" xfId="5108" xr:uid="{00000000-0005-0000-0000-0000F4130000}"/>
    <cellStyle name="Accent4 110 3" xfId="5109" xr:uid="{00000000-0005-0000-0000-0000F5130000}"/>
    <cellStyle name="Accent4 111" xfId="5110" xr:uid="{00000000-0005-0000-0000-0000F6130000}"/>
    <cellStyle name="Accent4 111 2" xfId="5111" xr:uid="{00000000-0005-0000-0000-0000F7130000}"/>
    <cellStyle name="Accent4 111 2 2" xfId="5112" xr:uid="{00000000-0005-0000-0000-0000F8130000}"/>
    <cellStyle name="Accent4 111 3" xfId="5113" xr:uid="{00000000-0005-0000-0000-0000F9130000}"/>
    <cellStyle name="Accent4 112" xfId="5114" xr:uid="{00000000-0005-0000-0000-0000FA130000}"/>
    <cellStyle name="Accent4 112 2" xfId="5115" xr:uid="{00000000-0005-0000-0000-0000FB130000}"/>
    <cellStyle name="Accent4 112 2 2" xfId="5116" xr:uid="{00000000-0005-0000-0000-0000FC130000}"/>
    <cellStyle name="Accent4 112 3" xfId="5117" xr:uid="{00000000-0005-0000-0000-0000FD130000}"/>
    <cellStyle name="Accent4 113" xfId="5118" xr:uid="{00000000-0005-0000-0000-0000FE130000}"/>
    <cellStyle name="Accent4 113 2" xfId="5119" xr:uid="{00000000-0005-0000-0000-0000FF130000}"/>
    <cellStyle name="Accent4 113 2 2" xfId="5120" xr:uid="{00000000-0005-0000-0000-000000140000}"/>
    <cellStyle name="Accent4 113 3" xfId="5121" xr:uid="{00000000-0005-0000-0000-000001140000}"/>
    <cellStyle name="Accent4 114" xfId="5122" xr:uid="{00000000-0005-0000-0000-000002140000}"/>
    <cellStyle name="Accent4 114 2" xfId="5123" xr:uid="{00000000-0005-0000-0000-000003140000}"/>
    <cellStyle name="Accent4 115" xfId="5124" xr:uid="{00000000-0005-0000-0000-000004140000}"/>
    <cellStyle name="Accent4 115 2" xfId="5125" xr:uid="{00000000-0005-0000-0000-000005140000}"/>
    <cellStyle name="Accent4 116" xfId="5126" xr:uid="{00000000-0005-0000-0000-000006140000}"/>
    <cellStyle name="Accent4 116 2" xfId="5127" xr:uid="{00000000-0005-0000-0000-000007140000}"/>
    <cellStyle name="Accent4 117" xfId="5128" xr:uid="{00000000-0005-0000-0000-000008140000}"/>
    <cellStyle name="Accent4 117 2" xfId="5129" xr:uid="{00000000-0005-0000-0000-000009140000}"/>
    <cellStyle name="Accent4 118" xfId="5130" xr:uid="{00000000-0005-0000-0000-00000A140000}"/>
    <cellStyle name="Accent4 118 2" xfId="5131" xr:uid="{00000000-0005-0000-0000-00000B140000}"/>
    <cellStyle name="Accent4 119" xfId="5132" xr:uid="{00000000-0005-0000-0000-00000C140000}"/>
    <cellStyle name="Accent4 119 2" xfId="5133" xr:uid="{00000000-0005-0000-0000-00000D140000}"/>
    <cellStyle name="Accent4 12" xfId="5134" xr:uid="{00000000-0005-0000-0000-00000E140000}"/>
    <cellStyle name="Accent4 12 2" xfId="5135" xr:uid="{00000000-0005-0000-0000-00000F140000}"/>
    <cellStyle name="Accent4 12 2 2" xfId="5136" xr:uid="{00000000-0005-0000-0000-000010140000}"/>
    <cellStyle name="Accent4 12 3" xfId="5137" xr:uid="{00000000-0005-0000-0000-000011140000}"/>
    <cellStyle name="Accent4 120" xfId="5138" xr:uid="{00000000-0005-0000-0000-000012140000}"/>
    <cellStyle name="Accent4 120 2" xfId="5139" xr:uid="{00000000-0005-0000-0000-000013140000}"/>
    <cellStyle name="Accent4 121" xfId="5140" xr:uid="{00000000-0005-0000-0000-000014140000}"/>
    <cellStyle name="Accent4 121 2" xfId="5141" xr:uid="{00000000-0005-0000-0000-000015140000}"/>
    <cellStyle name="Accent4 122" xfId="5142" xr:uid="{00000000-0005-0000-0000-000016140000}"/>
    <cellStyle name="Accent4 122 2" xfId="5143" xr:uid="{00000000-0005-0000-0000-000017140000}"/>
    <cellStyle name="Accent4 123" xfId="5144" xr:uid="{00000000-0005-0000-0000-000018140000}"/>
    <cellStyle name="Accent4 123 2" xfId="5145" xr:uid="{00000000-0005-0000-0000-000019140000}"/>
    <cellStyle name="Accent4 124" xfId="5146" xr:uid="{00000000-0005-0000-0000-00001A140000}"/>
    <cellStyle name="Accent4 124 2" xfId="5147" xr:uid="{00000000-0005-0000-0000-00001B140000}"/>
    <cellStyle name="Accent4 125" xfId="5148" xr:uid="{00000000-0005-0000-0000-00001C140000}"/>
    <cellStyle name="Accent4 125 2" xfId="5149" xr:uid="{00000000-0005-0000-0000-00001D140000}"/>
    <cellStyle name="Accent4 126" xfId="5150" xr:uid="{00000000-0005-0000-0000-00001E140000}"/>
    <cellStyle name="Accent4 127" xfId="5151" xr:uid="{00000000-0005-0000-0000-00001F140000}"/>
    <cellStyle name="Accent4 128" xfId="5152" xr:uid="{00000000-0005-0000-0000-000020140000}"/>
    <cellStyle name="Accent4 129" xfId="5153" xr:uid="{00000000-0005-0000-0000-000021140000}"/>
    <cellStyle name="Accent4 13" xfId="5154" xr:uid="{00000000-0005-0000-0000-000022140000}"/>
    <cellStyle name="Accent4 13 2" xfId="5155" xr:uid="{00000000-0005-0000-0000-000023140000}"/>
    <cellStyle name="Accent4 13 2 2" xfId="5156" xr:uid="{00000000-0005-0000-0000-000024140000}"/>
    <cellStyle name="Accent4 13 3" xfId="5157" xr:uid="{00000000-0005-0000-0000-000025140000}"/>
    <cellStyle name="Accent4 130" xfId="5158" xr:uid="{00000000-0005-0000-0000-000026140000}"/>
    <cellStyle name="Accent4 131" xfId="5159" xr:uid="{00000000-0005-0000-0000-000027140000}"/>
    <cellStyle name="Accent4 132" xfId="5160" xr:uid="{00000000-0005-0000-0000-000028140000}"/>
    <cellStyle name="Accent4 133" xfId="5161" xr:uid="{00000000-0005-0000-0000-000029140000}"/>
    <cellStyle name="Accent4 134" xfId="5162" xr:uid="{00000000-0005-0000-0000-00002A140000}"/>
    <cellStyle name="Accent4 135" xfId="5163" xr:uid="{00000000-0005-0000-0000-00002B140000}"/>
    <cellStyle name="Accent4 136" xfId="5164" xr:uid="{00000000-0005-0000-0000-00002C140000}"/>
    <cellStyle name="Accent4 137" xfId="5165" xr:uid="{00000000-0005-0000-0000-00002D140000}"/>
    <cellStyle name="Accent4 138" xfId="5166" xr:uid="{00000000-0005-0000-0000-00002E140000}"/>
    <cellStyle name="Accent4 139" xfId="5167" xr:uid="{00000000-0005-0000-0000-00002F140000}"/>
    <cellStyle name="Accent4 14" xfId="5168" xr:uid="{00000000-0005-0000-0000-000030140000}"/>
    <cellStyle name="Accent4 14 2" xfId="5169" xr:uid="{00000000-0005-0000-0000-000031140000}"/>
    <cellStyle name="Accent4 14 2 2" xfId="5170" xr:uid="{00000000-0005-0000-0000-000032140000}"/>
    <cellStyle name="Accent4 14 3" xfId="5171" xr:uid="{00000000-0005-0000-0000-000033140000}"/>
    <cellStyle name="Accent4 140" xfId="5172" xr:uid="{00000000-0005-0000-0000-000034140000}"/>
    <cellStyle name="Accent4 141" xfId="5173" xr:uid="{00000000-0005-0000-0000-000035140000}"/>
    <cellStyle name="Accent4 142" xfId="5174" xr:uid="{00000000-0005-0000-0000-000036140000}"/>
    <cellStyle name="Accent4 143" xfId="5175" xr:uid="{00000000-0005-0000-0000-000037140000}"/>
    <cellStyle name="Accent4 144" xfId="5176" xr:uid="{00000000-0005-0000-0000-000038140000}"/>
    <cellStyle name="Accent4 145" xfId="5177" xr:uid="{00000000-0005-0000-0000-000039140000}"/>
    <cellStyle name="Accent4 146" xfId="5178" xr:uid="{00000000-0005-0000-0000-00003A140000}"/>
    <cellStyle name="Accent4 147" xfId="5179" xr:uid="{00000000-0005-0000-0000-00003B140000}"/>
    <cellStyle name="Accent4 148" xfId="5180" xr:uid="{00000000-0005-0000-0000-00003C140000}"/>
    <cellStyle name="Accent4 149" xfId="5181" xr:uid="{00000000-0005-0000-0000-00003D140000}"/>
    <cellStyle name="Accent4 15" xfId="5182" xr:uid="{00000000-0005-0000-0000-00003E140000}"/>
    <cellStyle name="Accent4 15 2" xfId="5183" xr:uid="{00000000-0005-0000-0000-00003F140000}"/>
    <cellStyle name="Accent4 15 2 2" xfId="5184" xr:uid="{00000000-0005-0000-0000-000040140000}"/>
    <cellStyle name="Accent4 15 3" xfId="5185" xr:uid="{00000000-0005-0000-0000-000041140000}"/>
    <cellStyle name="Accent4 150" xfId="5186" xr:uid="{00000000-0005-0000-0000-000042140000}"/>
    <cellStyle name="Accent4 151" xfId="5187" xr:uid="{00000000-0005-0000-0000-000043140000}"/>
    <cellStyle name="Accent4 152" xfId="5188" xr:uid="{00000000-0005-0000-0000-000044140000}"/>
    <cellStyle name="Accent4 153" xfId="5189" xr:uid="{00000000-0005-0000-0000-000045140000}"/>
    <cellStyle name="Accent4 154" xfId="5190" xr:uid="{00000000-0005-0000-0000-000046140000}"/>
    <cellStyle name="Accent4 155" xfId="5191" xr:uid="{00000000-0005-0000-0000-000047140000}"/>
    <cellStyle name="Accent4 156" xfId="5192" xr:uid="{00000000-0005-0000-0000-000048140000}"/>
    <cellStyle name="Accent4 157" xfId="5193" xr:uid="{00000000-0005-0000-0000-000049140000}"/>
    <cellStyle name="Accent4 158" xfId="5194" xr:uid="{00000000-0005-0000-0000-00004A140000}"/>
    <cellStyle name="Accent4 159" xfId="5195" xr:uid="{00000000-0005-0000-0000-00004B140000}"/>
    <cellStyle name="Accent4 16" xfId="5196" xr:uid="{00000000-0005-0000-0000-00004C140000}"/>
    <cellStyle name="Accent4 16 2" xfId="5197" xr:uid="{00000000-0005-0000-0000-00004D140000}"/>
    <cellStyle name="Accent4 16 2 2" xfId="5198" xr:uid="{00000000-0005-0000-0000-00004E140000}"/>
    <cellStyle name="Accent4 16 3" xfId="5199" xr:uid="{00000000-0005-0000-0000-00004F140000}"/>
    <cellStyle name="Accent4 160" xfId="5200" xr:uid="{00000000-0005-0000-0000-000050140000}"/>
    <cellStyle name="Accent4 161" xfId="5201" xr:uid="{00000000-0005-0000-0000-000051140000}"/>
    <cellStyle name="Accent4 162" xfId="5202" xr:uid="{00000000-0005-0000-0000-000052140000}"/>
    <cellStyle name="Accent4 163" xfId="5203" xr:uid="{00000000-0005-0000-0000-000053140000}"/>
    <cellStyle name="Accent4 164" xfId="5204" xr:uid="{00000000-0005-0000-0000-000054140000}"/>
    <cellStyle name="Accent4 165" xfId="5205" xr:uid="{00000000-0005-0000-0000-000055140000}"/>
    <cellStyle name="Accent4 166" xfId="5206" xr:uid="{00000000-0005-0000-0000-000056140000}"/>
    <cellStyle name="Accent4 167" xfId="5207" xr:uid="{00000000-0005-0000-0000-000057140000}"/>
    <cellStyle name="Accent4 168" xfId="5208" xr:uid="{00000000-0005-0000-0000-000058140000}"/>
    <cellStyle name="Accent4 169" xfId="5209" xr:uid="{00000000-0005-0000-0000-000059140000}"/>
    <cellStyle name="Accent4 17" xfId="5210" xr:uid="{00000000-0005-0000-0000-00005A140000}"/>
    <cellStyle name="Accent4 17 2" xfId="5211" xr:uid="{00000000-0005-0000-0000-00005B140000}"/>
    <cellStyle name="Accent4 17 2 2" xfId="5212" xr:uid="{00000000-0005-0000-0000-00005C140000}"/>
    <cellStyle name="Accent4 17 3" xfId="5213" xr:uid="{00000000-0005-0000-0000-00005D140000}"/>
    <cellStyle name="Accent4 170" xfId="5214" xr:uid="{00000000-0005-0000-0000-00005E140000}"/>
    <cellStyle name="Accent4 171" xfId="5215" xr:uid="{00000000-0005-0000-0000-00005F140000}"/>
    <cellStyle name="Accent4 172" xfId="5216" xr:uid="{00000000-0005-0000-0000-000060140000}"/>
    <cellStyle name="Accent4 173" xfId="5217" xr:uid="{00000000-0005-0000-0000-000061140000}"/>
    <cellStyle name="Accent4 174" xfId="5218" xr:uid="{00000000-0005-0000-0000-000062140000}"/>
    <cellStyle name="Accent4 175" xfId="5219" xr:uid="{00000000-0005-0000-0000-000063140000}"/>
    <cellStyle name="Accent4 176" xfId="5220" xr:uid="{00000000-0005-0000-0000-000064140000}"/>
    <cellStyle name="Accent4 177" xfId="5221" xr:uid="{00000000-0005-0000-0000-000065140000}"/>
    <cellStyle name="Accent4 178" xfId="5222" xr:uid="{00000000-0005-0000-0000-000066140000}"/>
    <cellStyle name="Accent4 179" xfId="5223" xr:uid="{00000000-0005-0000-0000-000067140000}"/>
    <cellStyle name="Accent4 18" xfId="5224" xr:uid="{00000000-0005-0000-0000-000068140000}"/>
    <cellStyle name="Accent4 18 2" xfId="5225" xr:uid="{00000000-0005-0000-0000-000069140000}"/>
    <cellStyle name="Accent4 18 2 2" xfId="5226" xr:uid="{00000000-0005-0000-0000-00006A140000}"/>
    <cellStyle name="Accent4 18 3" xfId="5227" xr:uid="{00000000-0005-0000-0000-00006B140000}"/>
    <cellStyle name="Accent4 19" xfId="5228" xr:uid="{00000000-0005-0000-0000-00006C140000}"/>
    <cellStyle name="Accent4 19 2" xfId="5229" xr:uid="{00000000-0005-0000-0000-00006D140000}"/>
    <cellStyle name="Accent4 19 2 2" xfId="5230" xr:uid="{00000000-0005-0000-0000-00006E140000}"/>
    <cellStyle name="Accent4 19 3" xfId="5231" xr:uid="{00000000-0005-0000-0000-00006F140000}"/>
    <cellStyle name="Accent4 2" xfId="5232" xr:uid="{00000000-0005-0000-0000-000070140000}"/>
    <cellStyle name="Accent4 2 10" xfId="5233" xr:uid="{00000000-0005-0000-0000-000071140000}"/>
    <cellStyle name="Accent4 2 10 2" xfId="5234" xr:uid="{00000000-0005-0000-0000-000072140000}"/>
    <cellStyle name="Accent4 2 11" xfId="5235" xr:uid="{00000000-0005-0000-0000-000073140000}"/>
    <cellStyle name="Accent4 2 12" xfId="5236" xr:uid="{00000000-0005-0000-0000-000074140000}"/>
    <cellStyle name="Accent4 2 2" xfId="5237" xr:uid="{00000000-0005-0000-0000-000075140000}"/>
    <cellStyle name="Accent4 2 2 2" xfId="5238" xr:uid="{00000000-0005-0000-0000-000076140000}"/>
    <cellStyle name="Accent4 2 2 2 2" xfId="5239" xr:uid="{00000000-0005-0000-0000-000077140000}"/>
    <cellStyle name="Accent4 2 2 3" xfId="5240" xr:uid="{00000000-0005-0000-0000-000078140000}"/>
    <cellStyle name="Accent4 2 2 3 2" xfId="5241" xr:uid="{00000000-0005-0000-0000-000079140000}"/>
    <cellStyle name="Accent4 2 2 3 2 2" xfId="5242" xr:uid="{00000000-0005-0000-0000-00007A140000}"/>
    <cellStyle name="Accent4 2 2 3 3" xfId="5243" xr:uid="{00000000-0005-0000-0000-00007B140000}"/>
    <cellStyle name="Accent4 2 2 4" xfId="5244" xr:uid="{00000000-0005-0000-0000-00007C140000}"/>
    <cellStyle name="Accent4 2 3" xfId="5245" xr:uid="{00000000-0005-0000-0000-00007D140000}"/>
    <cellStyle name="Accent4 2 3 2" xfId="5246" xr:uid="{00000000-0005-0000-0000-00007E140000}"/>
    <cellStyle name="Accent4 2 3 2 2" xfId="5247" xr:uid="{00000000-0005-0000-0000-00007F140000}"/>
    <cellStyle name="Accent4 2 3 3" xfId="5248" xr:uid="{00000000-0005-0000-0000-000080140000}"/>
    <cellStyle name="Accent4 2 3 3 2" xfId="5249" xr:uid="{00000000-0005-0000-0000-000081140000}"/>
    <cellStyle name="Accent4 2 3 3 2 2" xfId="5250" xr:uid="{00000000-0005-0000-0000-000082140000}"/>
    <cellStyle name="Accent4 2 3 3 3" xfId="5251" xr:uid="{00000000-0005-0000-0000-000083140000}"/>
    <cellStyle name="Accent4 2 3 4" xfId="5252" xr:uid="{00000000-0005-0000-0000-000084140000}"/>
    <cellStyle name="Accent4 2 4" xfId="5253" xr:uid="{00000000-0005-0000-0000-000085140000}"/>
    <cellStyle name="Accent4 2 4 2" xfId="5254" xr:uid="{00000000-0005-0000-0000-000086140000}"/>
    <cellStyle name="Accent4 2 4 2 2" xfId="5255" xr:uid="{00000000-0005-0000-0000-000087140000}"/>
    <cellStyle name="Accent4 2 4 3" xfId="5256" xr:uid="{00000000-0005-0000-0000-000088140000}"/>
    <cellStyle name="Accent4 2 5" xfId="5257" xr:uid="{00000000-0005-0000-0000-000089140000}"/>
    <cellStyle name="Accent4 2 5 2" xfId="5258" xr:uid="{00000000-0005-0000-0000-00008A140000}"/>
    <cellStyle name="Accent4 2 5 2 2" xfId="5259" xr:uid="{00000000-0005-0000-0000-00008B140000}"/>
    <cellStyle name="Accent4 2 5 3" xfId="5260" xr:uid="{00000000-0005-0000-0000-00008C140000}"/>
    <cellStyle name="Accent4 2 5 3 2" xfId="5261" xr:uid="{00000000-0005-0000-0000-00008D140000}"/>
    <cellStyle name="Accent4 2 5 3 2 2" xfId="5262" xr:uid="{00000000-0005-0000-0000-00008E140000}"/>
    <cellStyle name="Accent4 2 5 3 3" xfId="5263" xr:uid="{00000000-0005-0000-0000-00008F140000}"/>
    <cellStyle name="Accent4 2 5 4" xfId="5264" xr:uid="{00000000-0005-0000-0000-000090140000}"/>
    <cellStyle name="Accent4 2 6" xfId="5265" xr:uid="{00000000-0005-0000-0000-000091140000}"/>
    <cellStyle name="Accent4 2 6 2" xfId="5266" xr:uid="{00000000-0005-0000-0000-000092140000}"/>
    <cellStyle name="Accent4 2 6 2 2" xfId="5267" xr:uid="{00000000-0005-0000-0000-000093140000}"/>
    <cellStyle name="Accent4 2 6 3" xfId="5268" xr:uid="{00000000-0005-0000-0000-000094140000}"/>
    <cellStyle name="Accent4 2 6 3 2" xfId="5269" xr:uid="{00000000-0005-0000-0000-000095140000}"/>
    <cellStyle name="Accent4 2 6 4" xfId="5270" xr:uid="{00000000-0005-0000-0000-000096140000}"/>
    <cellStyle name="Accent4 2 7" xfId="5271" xr:uid="{00000000-0005-0000-0000-000097140000}"/>
    <cellStyle name="Accent4 2 7 2" xfId="5272" xr:uid="{00000000-0005-0000-0000-000098140000}"/>
    <cellStyle name="Accent4 2 8" xfId="5273" xr:uid="{00000000-0005-0000-0000-000099140000}"/>
    <cellStyle name="Accent4 2 8 2" xfId="5274" xr:uid="{00000000-0005-0000-0000-00009A140000}"/>
    <cellStyle name="Accent4 2 8 2 2" xfId="5275" xr:uid="{00000000-0005-0000-0000-00009B140000}"/>
    <cellStyle name="Accent4 2 8 3" xfId="5276" xr:uid="{00000000-0005-0000-0000-00009C140000}"/>
    <cellStyle name="Accent4 2 9" xfId="5277" xr:uid="{00000000-0005-0000-0000-00009D140000}"/>
    <cellStyle name="Accent4 2 9 2" xfId="5278" xr:uid="{00000000-0005-0000-0000-00009E140000}"/>
    <cellStyle name="Accent4 2 9 2 2" xfId="5279" xr:uid="{00000000-0005-0000-0000-00009F140000}"/>
    <cellStyle name="Accent4 2 9 3" xfId="5280" xr:uid="{00000000-0005-0000-0000-0000A0140000}"/>
    <cellStyle name="Accent4 20" xfId="5281" xr:uid="{00000000-0005-0000-0000-0000A1140000}"/>
    <cellStyle name="Accent4 20 2" xfId="5282" xr:uid="{00000000-0005-0000-0000-0000A2140000}"/>
    <cellStyle name="Accent4 20 2 2" xfId="5283" xr:uid="{00000000-0005-0000-0000-0000A3140000}"/>
    <cellStyle name="Accent4 20 3" xfId="5284" xr:uid="{00000000-0005-0000-0000-0000A4140000}"/>
    <cellStyle name="Accent4 21" xfId="5285" xr:uid="{00000000-0005-0000-0000-0000A5140000}"/>
    <cellStyle name="Accent4 21 2" xfId="5286" xr:uid="{00000000-0005-0000-0000-0000A6140000}"/>
    <cellStyle name="Accent4 21 2 2" xfId="5287" xr:uid="{00000000-0005-0000-0000-0000A7140000}"/>
    <cellStyle name="Accent4 21 3" xfId="5288" xr:uid="{00000000-0005-0000-0000-0000A8140000}"/>
    <cellStyle name="Accent4 22" xfId="5289" xr:uid="{00000000-0005-0000-0000-0000A9140000}"/>
    <cellStyle name="Accent4 22 2" xfId="5290" xr:uid="{00000000-0005-0000-0000-0000AA140000}"/>
    <cellStyle name="Accent4 22 2 2" xfId="5291" xr:uid="{00000000-0005-0000-0000-0000AB140000}"/>
    <cellStyle name="Accent4 22 3" xfId="5292" xr:uid="{00000000-0005-0000-0000-0000AC140000}"/>
    <cellStyle name="Accent4 23" xfId="5293" xr:uid="{00000000-0005-0000-0000-0000AD140000}"/>
    <cellStyle name="Accent4 23 2" xfId="5294" xr:uid="{00000000-0005-0000-0000-0000AE140000}"/>
    <cellStyle name="Accent4 23 2 2" xfId="5295" xr:uid="{00000000-0005-0000-0000-0000AF140000}"/>
    <cellStyle name="Accent4 23 3" xfId="5296" xr:uid="{00000000-0005-0000-0000-0000B0140000}"/>
    <cellStyle name="Accent4 24" xfId="5297" xr:uid="{00000000-0005-0000-0000-0000B1140000}"/>
    <cellStyle name="Accent4 24 2" xfId="5298" xr:uid="{00000000-0005-0000-0000-0000B2140000}"/>
    <cellStyle name="Accent4 24 2 2" xfId="5299" xr:uid="{00000000-0005-0000-0000-0000B3140000}"/>
    <cellStyle name="Accent4 24 3" xfId="5300" xr:uid="{00000000-0005-0000-0000-0000B4140000}"/>
    <cellStyle name="Accent4 25" xfId="5301" xr:uid="{00000000-0005-0000-0000-0000B5140000}"/>
    <cellStyle name="Accent4 25 2" xfId="5302" xr:uid="{00000000-0005-0000-0000-0000B6140000}"/>
    <cellStyle name="Accent4 25 2 2" xfId="5303" xr:uid="{00000000-0005-0000-0000-0000B7140000}"/>
    <cellStyle name="Accent4 25 3" xfId="5304" xr:uid="{00000000-0005-0000-0000-0000B8140000}"/>
    <cellStyle name="Accent4 26" xfId="5305" xr:uid="{00000000-0005-0000-0000-0000B9140000}"/>
    <cellStyle name="Accent4 26 2" xfId="5306" xr:uid="{00000000-0005-0000-0000-0000BA140000}"/>
    <cellStyle name="Accent4 26 2 2" xfId="5307" xr:uid="{00000000-0005-0000-0000-0000BB140000}"/>
    <cellStyle name="Accent4 26 3" xfId="5308" xr:uid="{00000000-0005-0000-0000-0000BC140000}"/>
    <cellStyle name="Accent4 27" xfId="5309" xr:uid="{00000000-0005-0000-0000-0000BD140000}"/>
    <cellStyle name="Accent4 27 2" xfId="5310" xr:uid="{00000000-0005-0000-0000-0000BE140000}"/>
    <cellStyle name="Accent4 27 2 2" xfId="5311" xr:uid="{00000000-0005-0000-0000-0000BF140000}"/>
    <cellStyle name="Accent4 27 3" xfId="5312" xr:uid="{00000000-0005-0000-0000-0000C0140000}"/>
    <cellStyle name="Accent4 28" xfId="5313" xr:uid="{00000000-0005-0000-0000-0000C1140000}"/>
    <cellStyle name="Accent4 28 2" xfId="5314" xr:uid="{00000000-0005-0000-0000-0000C2140000}"/>
    <cellStyle name="Accent4 28 2 2" xfId="5315" xr:uid="{00000000-0005-0000-0000-0000C3140000}"/>
    <cellStyle name="Accent4 28 3" xfId="5316" xr:uid="{00000000-0005-0000-0000-0000C4140000}"/>
    <cellStyle name="Accent4 29" xfId="5317" xr:uid="{00000000-0005-0000-0000-0000C5140000}"/>
    <cellStyle name="Accent4 29 2" xfId="5318" xr:uid="{00000000-0005-0000-0000-0000C6140000}"/>
    <cellStyle name="Accent4 29 2 2" xfId="5319" xr:uid="{00000000-0005-0000-0000-0000C7140000}"/>
    <cellStyle name="Accent4 29 3" xfId="5320" xr:uid="{00000000-0005-0000-0000-0000C8140000}"/>
    <cellStyle name="Accent4 3" xfId="5321" xr:uid="{00000000-0005-0000-0000-0000C9140000}"/>
    <cellStyle name="Accent4 3 10" xfId="5322" xr:uid="{00000000-0005-0000-0000-0000CA140000}"/>
    <cellStyle name="Accent4 3 10 2" xfId="5323" xr:uid="{00000000-0005-0000-0000-0000CB140000}"/>
    <cellStyle name="Accent4 3 10 2 2" xfId="5324" xr:uid="{00000000-0005-0000-0000-0000CC140000}"/>
    <cellStyle name="Accent4 3 10 3" xfId="5325" xr:uid="{00000000-0005-0000-0000-0000CD140000}"/>
    <cellStyle name="Accent4 3 11" xfId="5326" xr:uid="{00000000-0005-0000-0000-0000CE140000}"/>
    <cellStyle name="Accent4 3 11 2" xfId="5327" xr:uid="{00000000-0005-0000-0000-0000CF140000}"/>
    <cellStyle name="Accent4 3 12" xfId="5328" xr:uid="{00000000-0005-0000-0000-0000D0140000}"/>
    <cellStyle name="Accent4 3 2" xfId="5329" xr:uid="{00000000-0005-0000-0000-0000D1140000}"/>
    <cellStyle name="Accent4 3 2 2" xfId="5330" xr:uid="{00000000-0005-0000-0000-0000D2140000}"/>
    <cellStyle name="Accent4 3 2 2 2" xfId="5331" xr:uid="{00000000-0005-0000-0000-0000D3140000}"/>
    <cellStyle name="Accent4 3 2 3" xfId="5332" xr:uid="{00000000-0005-0000-0000-0000D4140000}"/>
    <cellStyle name="Accent4 3 2 3 2" xfId="5333" xr:uid="{00000000-0005-0000-0000-0000D5140000}"/>
    <cellStyle name="Accent4 3 2 3 2 2" xfId="5334" xr:uid="{00000000-0005-0000-0000-0000D6140000}"/>
    <cellStyle name="Accent4 3 2 3 3" xfId="5335" xr:uid="{00000000-0005-0000-0000-0000D7140000}"/>
    <cellStyle name="Accent4 3 2 4" xfId="5336" xr:uid="{00000000-0005-0000-0000-0000D8140000}"/>
    <cellStyle name="Accent4 3 3" xfId="5337" xr:uid="{00000000-0005-0000-0000-0000D9140000}"/>
    <cellStyle name="Accent4 3 3 2" xfId="5338" xr:uid="{00000000-0005-0000-0000-0000DA140000}"/>
    <cellStyle name="Accent4 3 3 2 2" xfId="5339" xr:uid="{00000000-0005-0000-0000-0000DB140000}"/>
    <cellStyle name="Accent4 3 3 3" xfId="5340" xr:uid="{00000000-0005-0000-0000-0000DC140000}"/>
    <cellStyle name="Accent4 3 3 3 2" xfId="5341" xr:uid="{00000000-0005-0000-0000-0000DD140000}"/>
    <cellStyle name="Accent4 3 3 3 2 2" xfId="5342" xr:uid="{00000000-0005-0000-0000-0000DE140000}"/>
    <cellStyle name="Accent4 3 3 3 3" xfId="5343" xr:uid="{00000000-0005-0000-0000-0000DF140000}"/>
    <cellStyle name="Accent4 3 3 4" xfId="5344" xr:uid="{00000000-0005-0000-0000-0000E0140000}"/>
    <cellStyle name="Accent4 3 4" xfId="5345" xr:uid="{00000000-0005-0000-0000-0000E1140000}"/>
    <cellStyle name="Accent4 3 4 2" xfId="5346" xr:uid="{00000000-0005-0000-0000-0000E2140000}"/>
    <cellStyle name="Accent4 3 4 2 2" xfId="5347" xr:uid="{00000000-0005-0000-0000-0000E3140000}"/>
    <cellStyle name="Accent4 3 4 3" xfId="5348" xr:uid="{00000000-0005-0000-0000-0000E4140000}"/>
    <cellStyle name="Accent4 3 5" xfId="5349" xr:uid="{00000000-0005-0000-0000-0000E5140000}"/>
    <cellStyle name="Accent4 3 5 2" xfId="5350" xr:uid="{00000000-0005-0000-0000-0000E6140000}"/>
    <cellStyle name="Accent4 3 5 2 2" xfId="5351" xr:uid="{00000000-0005-0000-0000-0000E7140000}"/>
    <cellStyle name="Accent4 3 5 3" xfId="5352" xr:uid="{00000000-0005-0000-0000-0000E8140000}"/>
    <cellStyle name="Accent4 3 5 3 2" xfId="5353" xr:uid="{00000000-0005-0000-0000-0000E9140000}"/>
    <cellStyle name="Accent4 3 5 3 2 2" xfId="5354" xr:uid="{00000000-0005-0000-0000-0000EA140000}"/>
    <cellStyle name="Accent4 3 5 3 3" xfId="5355" xr:uid="{00000000-0005-0000-0000-0000EB140000}"/>
    <cellStyle name="Accent4 3 5 4" xfId="5356" xr:uid="{00000000-0005-0000-0000-0000EC140000}"/>
    <cellStyle name="Accent4 3 6" xfId="5357" xr:uid="{00000000-0005-0000-0000-0000ED140000}"/>
    <cellStyle name="Accent4 3 6 2" xfId="5358" xr:uid="{00000000-0005-0000-0000-0000EE140000}"/>
    <cellStyle name="Accent4 3 7" xfId="5359" xr:uid="{00000000-0005-0000-0000-0000EF140000}"/>
    <cellStyle name="Accent4 3 7 2" xfId="5360" xr:uid="{00000000-0005-0000-0000-0000F0140000}"/>
    <cellStyle name="Accent4 3 8" xfId="5361" xr:uid="{00000000-0005-0000-0000-0000F1140000}"/>
    <cellStyle name="Accent4 3 8 2" xfId="5362" xr:uid="{00000000-0005-0000-0000-0000F2140000}"/>
    <cellStyle name="Accent4 3 8 2 2" xfId="5363" xr:uid="{00000000-0005-0000-0000-0000F3140000}"/>
    <cellStyle name="Accent4 3 8 3" xfId="5364" xr:uid="{00000000-0005-0000-0000-0000F4140000}"/>
    <cellStyle name="Accent4 3 9" xfId="5365" xr:uid="{00000000-0005-0000-0000-0000F5140000}"/>
    <cellStyle name="Accent4 3 9 2" xfId="5366" xr:uid="{00000000-0005-0000-0000-0000F6140000}"/>
    <cellStyle name="Accent4 3 9 2 2" xfId="5367" xr:uid="{00000000-0005-0000-0000-0000F7140000}"/>
    <cellStyle name="Accent4 3 9 3" xfId="5368" xr:uid="{00000000-0005-0000-0000-0000F8140000}"/>
    <cellStyle name="Accent4 30" xfId="5369" xr:uid="{00000000-0005-0000-0000-0000F9140000}"/>
    <cellStyle name="Accent4 30 2" xfId="5370" xr:uid="{00000000-0005-0000-0000-0000FA140000}"/>
    <cellStyle name="Accent4 30 2 2" xfId="5371" xr:uid="{00000000-0005-0000-0000-0000FB140000}"/>
    <cellStyle name="Accent4 30 3" xfId="5372" xr:uid="{00000000-0005-0000-0000-0000FC140000}"/>
    <cellStyle name="Accent4 31" xfId="5373" xr:uid="{00000000-0005-0000-0000-0000FD140000}"/>
    <cellStyle name="Accent4 31 2" xfId="5374" xr:uid="{00000000-0005-0000-0000-0000FE140000}"/>
    <cellStyle name="Accent4 31 2 2" xfId="5375" xr:uid="{00000000-0005-0000-0000-0000FF140000}"/>
    <cellStyle name="Accent4 31 3" xfId="5376" xr:uid="{00000000-0005-0000-0000-000000150000}"/>
    <cellStyle name="Accent4 32" xfId="5377" xr:uid="{00000000-0005-0000-0000-000001150000}"/>
    <cellStyle name="Accent4 32 2" xfId="5378" xr:uid="{00000000-0005-0000-0000-000002150000}"/>
    <cellStyle name="Accent4 32 2 2" xfId="5379" xr:uid="{00000000-0005-0000-0000-000003150000}"/>
    <cellStyle name="Accent4 32 3" xfId="5380" xr:uid="{00000000-0005-0000-0000-000004150000}"/>
    <cellStyle name="Accent4 33" xfId="5381" xr:uid="{00000000-0005-0000-0000-000005150000}"/>
    <cellStyle name="Accent4 33 2" xfId="5382" xr:uid="{00000000-0005-0000-0000-000006150000}"/>
    <cellStyle name="Accent4 33 2 2" xfId="5383" xr:uid="{00000000-0005-0000-0000-000007150000}"/>
    <cellStyle name="Accent4 33 3" xfId="5384" xr:uid="{00000000-0005-0000-0000-000008150000}"/>
    <cellStyle name="Accent4 34" xfId="5385" xr:uid="{00000000-0005-0000-0000-000009150000}"/>
    <cellStyle name="Accent4 34 2" xfId="5386" xr:uid="{00000000-0005-0000-0000-00000A150000}"/>
    <cellStyle name="Accent4 34 2 2" xfId="5387" xr:uid="{00000000-0005-0000-0000-00000B150000}"/>
    <cellStyle name="Accent4 34 3" xfId="5388" xr:uid="{00000000-0005-0000-0000-00000C150000}"/>
    <cellStyle name="Accent4 35" xfId="5389" xr:uid="{00000000-0005-0000-0000-00000D150000}"/>
    <cellStyle name="Accent4 35 2" xfId="5390" xr:uid="{00000000-0005-0000-0000-00000E150000}"/>
    <cellStyle name="Accent4 35 2 2" xfId="5391" xr:uid="{00000000-0005-0000-0000-00000F150000}"/>
    <cellStyle name="Accent4 35 3" xfId="5392" xr:uid="{00000000-0005-0000-0000-000010150000}"/>
    <cellStyle name="Accent4 36" xfId="5393" xr:uid="{00000000-0005-0000-0000-000011150000}"/>
    <cellStyle name="Accent4 36 2" xfId="5394" xr:uid="{00000000-0005-0000-0000-000012150000}"/>
    <cellStyle name="Accent4 36 2 2" xfId="5395" xr:uid="{00000000-0005-0000-0000-000013150000}"/>
    <cellStyle name="Accent4 36 3" xfId="5396" xr:uid="{00000000-0005-0000-0000-000014150000}"/>
    <cellStyle name="Accent4 37" xfId="5397" xr:uid="{00000000-0005-0000-0000-000015150000}"/>
    <cellStyle name="Accent4 37 2" xfId="5398" xr:uid="{00000000-0005-0000-0000-000016150000}"/>
    <cellStyle name="Accent4 37 2 2" xfId="5399" xr:uid="{00000000-0005-0000-0000-000017150000}"/>
    <cellStyle name="Accent4 37 3" xfId="5400" xr:uid="{00000000-0005-0000-0000-000018150000}"/>
    <cellStyle name="Accent4 38" xfId="5401" xr:uid="{00000000-0005-0000-0000-000019150000}"/>
    <cellStyle name="Accent4 38 2" xfId="5402" xr:uid="{00000000-0005-0000-0000-00001A150000}"/>
    <cellStyle name="Accent4 38 2 2" xfId="5403" xr:uid="{00000000-0005-0000-0000-00001B150000}"/>
    <cellStyle name="Accent4 38 3" xfId="5404" xr:uid="{00000000-0005-0000-0000-00001C150000}"/>
    <cellStyle name="Accent4 39" xfId="5405" xr:uid="{00000000-0005-0000-0000-00001D150000}"/>
    <cellStyle name="Accent4 39 2" xfId="5406" xr:uid="{00000000-0005-0000-0000-00001E150000}"/>
    <cellStyle name="Accent4 39 2 2" xfId="5407" xr:uid="{00000000-0005-0000-0000-00001F150000}"/>
    <cellStyle name="Accent4 39 3" xfId="5408" xr:uid="{00000000-0005-0000-0000-000020150000}"/>
    <cellStyle name="Accent4 4" xfId="5409" xr:uid="{00000000-0005-0000-0000-000021150000}"/>
    <cellStyle name="Accent4 4 2" xfId="5410" xr:uid="{00000000-0005-0000-0000-000022150000}"/>
    <cellStyle name="Accent4 4 2 2" xfId="5411" xr:uid="{00000000-0005-0000-0000-000023150000}"/>
    <cellStyle name="Accent4 4 2 2 2" xfId="5412" xr:uid="{00000000-0005-0000-0000-000024150000}"/>
    <cellStyle name="Accent4 4 2 3" xfId="5413" xr:uid="{00000000-0005-0000-0000-000025150000}"/>
    <cellStyle name="Accent4 4 2 3 2" xfId="5414" xr:uid="{00000000-0005-0000-0000-000026150000}"/>
    <cellStyle name="Accent4 4 2 3 2 2" xfId="5415" xr:uid="{00000000-0005-0000-0000-000027150000}"/>
    <cellStyle name="Accent4 4 2 3 3" xfId="5416" xr:uid="{00000000-0005-0000-0000-000028150000}"/>
    <cellStyle name="Accent4 4 2 4" xfId="5417" xr:uid="{00000000-0005-0000-0000-000029150000}"/>
    <cellStyle name="Accent4 4 3" xfId="5418" xr:uid="{00000000-0005-0000-0000-00002A150000}"/>
    <cellStyle name="Accent4 4 3 2" xfId="5419" xr:uid="{00000000-0005-0000-0000-00002B150000}"/>
    <cellStyle name="Accent4 4 3 2 2" xfId="5420" xr:uid="{00000000-0005-0000-0000-00002C150000}"/>
    <cellStyle name="Accent4 4 3 3" xfId="5421" xr:uid="{00000000-0005-0000-0000-00002D150000}"/>
    <cellStyle name="Accent4 4 3 3 2" xfId="5422" xr:uid="{00000000-0005-0000-0000-00002E150000}"/>
    <cellStyle name="Accent4 4 3 3 2 2" xfId="5423" xr:uid="{00000000-0005-0000-0000-00002F150000}"/>
    <cellStyle name="Accent4 4 3 3 3" xfId="5424" xr:uid="{00000000-0005-0000-0000-000030150000}"/>
    <cellStyle name="Accent4 4 3 4" xfId="5425" xr:uid="{00000000-0005-0000-0000-000031150000}"/>
    <cellStyle name="Accent4 4 4" xfId="5426" xr:uid="{00000000-0005-0000-0000-000032150000}"/>
    <cellStyle name="Accent4 4 4 2" xfId="5427" xr:uid="{00000000-0005-0000-0000-000033150000}"/>
    <cellStyle name="Accent4 4 4 2 2" xfId="5428" xr:uid="{00000000-0005-0000-0000-000034150000}"/>
    <cellStyle name="Accent4 4 4 3" xfId="5429" xr:uid="{00000000-0005-0000-0000-000035150000}"/>
    <cellStyle name="Accent4 4 5" xfId="5430" xr:uid="{00000000-0005-0000-0000-000036150000}"/>
    <cellStyle name="Accent4 4 5 2" xfId="5431" xr:uid="{00000000-0005-0000-0000-000037150000}"/>
    <cellStyle name="Accent4 4 6" xfId="5432" xr:uid="{00000000-0005-0000-0000-000038150000}"/>
    <cellStyle name="Accent4 4 6 2" xfId="5433" xr:uid="{00000000-0005-0000-0000-000039150000}"/>
    <cellStyle name="Accent4 4 6 2 2" xfId="5434" xr:uid="{00000000-0005-0000-0000-00003A150000}"/>
    <cellStyle name="Accent4 4 6 3" xfId="5435" xr:uid="{00000000-0005-0000-0000-00003B150000}"/>
    <cellStyle name="Accent4 4 7" xfId="5436" xr:uid="{00000000-0005-0000-0000-00003C150000}"/>
    <cellStyle name="Accent4 4 7 2" xfId="5437" xr:uid="{00000000-0005-0000-0000-00003D150000}"/>
    <cellStyle name="Accent4 4 7 2 2" xfId="5438" xr:uid="{00000000-0005-0000-0000-00003E150000}"/>
    <cellStyle name="Accent4 4 7 3" xfId="5439" xr:uid="{00000000-0005-0000-0000-00003F150000}"/>
    <cellStyle name="Accent4 4 8" xfId="5440" xr:uid="{00000000-0005-0000-0000-000040150000}"/>
    <cellStyle name="Accent4 40" xfId="5441" xr:uid="{00000000-0005-0000-0000-000041150000}"/>
    <cellStyle name="Accent4 40 2" xfId="5442" xr:uid="{00000000-0005-0000-0000-000042150000}"/>
    <cellStyle name="Accent4 40 2 2" xfId="5443" xr:uid="{00000000-0005-0000-0000-000043150000}"/>
    <cellStyle name="Accent4 40 3" xfId="5444" xr:uid="{00000000-0005-0000-0000-000044150000}"/>
    <cellStyle name="Accent4 41" xfId="5445" xr:uid="{00000000-0005-0000-0000-000045150000}"/>
    <cellStyle name="Accent4 41 2" xfId="5446" xr:uid="{00000000-0005-0000-0000-000046150000}"/>
    <cellStyle name="Accent4 41 2 2" xfId="5447" xr:uid="{00000000-0005-0000-0000-000047150000}"/>
    <cellStyle name="Accent4 41 3" xfId="5448" xr:uid="{00000000-0005-0000-0000-000048150000}"/>
    <cellStyle name="Accent4 42" xfId="5449" xr:uid="{00000000-0005-0000-0000-000049150000}"/>
    <cellStyle name="Accent4 42 2" xfId="5450" xr:uid="{00000000-0005-0000-0000-00004A150000}"/>
    <cellStyle name="Accent4 42 2 2" xfId="5451" xr:uid="{00000000-0005-0000-0000-00004B150000}"/>
    <cellStyle name="Accent4 42 3" xfId="5452" xr:uid="{00000000-0005-0000-0000-00004C150000}"/>
    <cellStyle name="Accent4 43" xfId="5453" xr:uid="{00000000-0005-0000-0000-00004D150000}"/>
    <cellStyle name="Accent4 43 2" xfId="5454" xr:uid="{00000000-0005-0000-0000-00004E150000}"/>
    <cellStyle name="Accent4 43 2 2" xfId="5455" xr:uid="{00000000-0005-0000-0000-00004F150000}"/>
    <cellStyle name="Accent4 43 3" xfId="5456" xr:uid="{00000000-0005-0000-0000-000050150000}"/>
    <cellStyle name="Accent4 44" xfId="5457" xr:uid="{00000000-0005-0000-0000-000051150000}"/>
    <cellStyle name="Accent4 44 2" xfId="5458" xr:uid="{00000000-0005-0000-0000-000052150000}"/>
    <cellStyle name="Accent4 44 2 2" xfId="5459" xr:uid="{00000000-0005-0000-0000-000053150000}"/>
    <cellStyle name="Accent4 44 3" xfId="5460" xr:uid="{00000000-0005-0000-0000-000054150000}"/>
    <cellStyle name="Accent4 45" xfId="5461" xr:uid="{00000000-0005-0000-0000-000055150000}"/>
    <cellStyle name="Accent4 45 2" xfId="5462" xr:uid="{00000000-0005-0000-0000-000056150000}"/>
    <cellStyle name="Accent4 45 2 2" xfId="5463" xr:uid="{00000000-0005-0000-0000-000057150000}"/>
    <cellStyle name="Accent4 45 3" xfId="5464" xr:uid="{00000000-0005-0000-0000-000058150000}"/>
    <cellStyle name="Accent4 46" xfId="5465" xr:uid="{00000000-0005-0000-0000-000059150000}"/>
    <cellStyle name="Accent4 46 2" xfId="5466" xr:uid="{00000000-0005-0000-0000-00005A150000}"/>
    <cellStyle name="Accent4 46 2 2" xfId="5467" xr:uid="{00000000-0005-0000-0000-00005B150000}"/>
    <cellStyle name="Accent4 46 3" xfId="5468" xr:uid="{00000000-0005-0000-0000-00005C150000}"/>
    <cellStyle name="Accent4 47" xfId="5469" xr:uid="{00000000-0005-0000-0000-00005D150000}"/>
    <cellStyle name="Accent4 47 2" xfId="5470" xr:uid="{00000000-0005-0000-0000-00005E150000}"/>
    <cellStyle name="Accent4 47 2 2" xfId="5471" xr:uid="{00000000-0005-0000-0000-00005F150000}"/>
    <cellStyle name="Accent4 47 3" xfId="5472" xr:uid="{00000000-0005-0000-0000-000060150000}"/>
    <cellStyle name="Accent4 48" xfId="5473" xr:uid="{00000000-0005-0000-0000-000061150000}"/>
    <cellStyle name="Accent4 48 2" xfId="5474" xr:uid="{00000000-0005-0000-0000-000062150000}"/>
    <cellStyle name="Accent4 48 2 2" xfId="5475" xr:uid="{00000000-0005-0000-0000-000063150000}"/>
    <cellStyle name="Accent4 48 3" xfId="5476" xr:uid="{00000000-0005-0000-0000-000064150000}"/>
    <cellStyle name="Accent4 48 3 2" xfId="5477" xr:uid="{00000000-0005-0000-0000-000065150000}"/>
    <cellStyle name="Accent4 48 3 2 2" xfId="5478" xr:uid="{00000000-0005-0000-0000-000066150000}"/>
    <cellStyle name="Accent4 48 3 3" xfId="5479" xr:uid="{00000000-0005-0000-0000-000067150000}"/>
    <cellStyle name="Accent4 48 4" xfId="5480" xr:uid="{00000000-0005-0000-0000-000068150000}"/>
    <cellStyle name="Accent4 49" xfId="5481" xr:uid="{00000000-0005-0000-0000-000069150000}"/>
    <cellStyle name="Accent4 49 2" xfId="5482" xr:uid="{00000000-0005-0000-0000-00006A150000}"/>
    <cellStyle name="Accent4 49 2 2" xfId="5483" xr:uid="{00000000-0005-0000-0000-00006B150000}"/>
    <cellStyle name="Accent4 49 3" xfId="5484" xr:uid="{00000000-0005-0000-0000-00006C150000}"/>
    <cellStyle name="Accent4 49 3 2" xfId="5485" xr:uid="{00000000-0005-0000-0000-00006D150000}"/>
    <cellStyle name="Accent4 49 3 2 2" xfId="5486" xr:uid="{00000000-0005-0000-0000-00006E150000}"/>
    <cellStyle name="Accent4 49 3 3" xfId="5487" xr:uid="{00000000-0005-0000-0000-00006F150000}"/>
    <cellStyle name="Accent4 49 4" xfId="5488" xr:uid="{00000000-0005-0000-0000-000070150000}"/>
    <cellStyle name="Accent4 5" xfId="5489" xr:uid="{00000000-0005-0000-0000-000071150000}"/>
    <cellStyle name="Accent4 5 2" xfId="5490" xr:uid="{00000000-0005-0000-0000-000072150000}"/>
    <cellStyle name="Accent4 5 2 2" xfId="5491" xr:uid="{00000000-0005-0000-0000-000073150000}"/>
    <cellStyle name="Accent4 5 2 2 2" xfId="5492" xr:uid="{00000000-0005-0000-0000-000074150000}"/>
    <cellStyle name="Accent4 5 2 3" xfId="5493" xr:uid="{00000000-0005-0000-0000-000075150000}"/>
    <cellStyle name="Accent4 5 2 3 2" xfId="5494" xr:uid="{00000000-0005-0000-0000-000076150000}"/>
    <cellStyle name="Accent4 5 2 3 2 2" xfId="5495" xr:uid="{00000000-0005-0000-0000-000077150000}"/>
    <cellStyle name="Accent4 5 2 3 3" xfId="5496" xr:uid="{00000000-0005-0000-0000-000078150000}"/>
    <cellStyle name="Accent4 5 2 4" xfId="5497" xr:uid="{00000000-0005-0000-0000-000079150000}"/>
    <cellStyle name="Accent4 5 3" xfId="5498" xr:uid="{00000000-0005-0000-0000-00007A150000}"/>
    <cellStyle name="Accent4 5 3 2" xfId="5499" xr:uid="{00000000-0005-0000-0000-00007B150000}"/>
    <cellStyle name="Accent4 5 3 2 2" xfId="5500" xr:uid="{00000000-0005-0000-0000-00007C150000}"/>
    <cellStyle name="Accent4 5 3 3" xfId="5501" xr:uid="{00000000-0005-0000-0000-00007D150000}"/>
    <cellStyle name="Accent4 5 3 3 2" xfId="5502" xr:uid="{00000000-0005-0000-0000-00007E150000}"/>
    <cellStyle name="Accent4 5 3 3 2 2" xfId="5503" xr:uid="{00000000-0005-0000-0000-00007F150000}"/>
    <cellStyle name="Accent4 5 3 3 3" xfId="5504" xr:uid="{00000000-0005-0000-0000-000080150000}"/>
    <cellStyle name="Accent4 5 3 4" xfId="5505" xr:uid="{00000000-0005-0000-0000-000081150000}"/>
    <cellStyle name="Accent4 5 4" xfId="5506" xr:uid="{00000000-0005-0000-0000-000082150000}"/>
    <cellStyle name="Accent4 5 4 2" xfId="5507" xr:uid="{00000000-0005-0000-0000-000083150000}"/>
    <cellStyle name="Accent4 5 5" xfId="5508" xr:uid="{00000000-0005-0000-0000-000084150000}"/>
    <cellStyle name="Accent4 5 5 2" xfId="5509" xr:uid="{00000000-0005-0000-0000-000085150000}"/>
    <cellStyle name="Accent4 5 5 2 2" xfId="5510" xr:uid="{00000000-0005-0000-0000-000086150000}"/>
    <cellStyle name="Accent4 5 5 3" xfId="5511" xr:uid="{00000000-0005-0000-0000-000087150000}"/>
    <cellStyle name="Accent4 5 6" xfId="5512" xr:uid="{00000000-0005-0000-0000-000088150000}"/>
    <cellStyle name="Accent4 5 6 2" xfId="5513" xr:uid="{00000000-0005-0000-0000-000089150000}"/>
    <cellStyle name="Accent4 5 7" xfId="5514" xr:uid="{00000000-0005-0000-0000-00008A150000}"/>
    <cellStyle name="Accent4 50" xfId="5515" xr:uid="{00000000-0005-0000-0000-00008B150000}"/>
    <cellStyle name="Accent4 50 2" xfId="5516" xr:uid="{00000000-0005-0000-0000-00008C150000}"/>
    <cellStyle name="Accent4 50 2 2" xfId="5517" xr:uid="{00000000-0005-0000-0000-00008D150000}"/>
    <cellStyle name="Accent4 50 3" xfId="5518" xr:uid="{00000000-0005-0000-0000-00008E150000}"/>
    <cellStyle name="Accent4 50 3 2" xfId="5519" xr:uid="{00000000-0005-0000-0000-00008F150000}"/>
    <cellStyle name="Accent4 50 3 2 2" xfId="5520" xr:uid="{00000000-0005-0000-0000-000090150000}"/>
    <cellStyle name="Accent4 50 3 3" xfId="5521" xr:uid="{00000000-0005-0000-0000-000091150000}"/>
    <cellStyle name="Accent4 50 4" xfId="5522" xr:uid="{00000000-0005-0000-0000-000092150000}"/>
    <cellStyle name="Accent4 51" xfId="5523" xr:uid="{00000000-0005-0000-0000-000093150000}"/>
    <cellStyle name="Accent4 51 2" xfId="5524" xr:uid="{00000000-0005-0000-0000-000094150000}"/>
    <cellStyle name="Accent4 51 2 2" xfId="5525" xr:uid="{00000000-0005-0000-0000-000095150000}"/>
    <cellStyle name="Accent4 51 3" xfId="5526" xr:uid="{00000000-0005-0000-0000-000096150000}"/>
    <cellStyle name="Accent4 51 3 2" xfId="5527" xr:uid="{00000000-0005-0000-0000-000097150000}"/>
    <cellStyle name="Accent4 51 3 2 2" xfId="5528" xr:uid="{00000000-0005-0000-0000-000098150000}"/>
    <cellStyle name="Accent4 51 3 3" xfId="5529" xr:uid="{00000000-0005-0000-0000-000099150000}"/>
    <cellStyle name="Accent4 51 4" xfId="5530" xr:uid="{00000000-0005-0000-0000-00009A150000}"/>
    <cellStyle name="Accent4 52" xfId="5531" xr:uid="{00000000-0005-0000-0000-00009B150000}"/>
    <cellStyle name="Accent4 52 2" xfId="5532" xr:uid="{00000000-0005-0000-0000-00009C150000}"/>
    <cellStyle name="Accent4 52 2 2" xfId="5533" xr:uid="{00000000-0005-0000-0000-00009D150000}"/>
    <cellStyle name="Accent4 52 3" xfId="5534" xr:uid="{00000000-0005-0000-0000-00009E150000}"/>
    <cellStyle name="Accent4 53" xfId="5535" xr:uid="{00000000-0005-0000-0000-00009F150000}"/>
    <cellStyle name="Accent4 53 2" xfId="5536" xr:uid="{00000000-0005-0000-0000-0000A0150000}"/>
    <cellStyle name="Accent4 53 2 2" xfId="5537" xr:uid="{00000000-0005-0000-0000-0000A1150000}"/>
    <cellStyle name="Accent4 53 3" xfId="5538" xr:uid="{00000000-0005-0000-0000-0000A2150000}"/>
    <cellStyle name="Accent4 54" xfId="5539" xr:uid="{00000000-0005-0000-0000-0000A3150000}"/>
    <cellStyle name="Accent4 54 2" xfId="5540" xr:uid="{00000000-0005-0000-0000-0000A4150000}"/>
    <cellStyle name="Accent4 54 2 2" xfId="5541" xr:uid="{00000000-0005-0000-0000-0000A5150000}"/>
    <cellStyle name="Accent4 54 3" xfId="5542" xr:uid="{00000000-0005-0000-0000-0000A6150000}"/>
    <cellStyle name="Accent4 55" xfId="5543" xr:uid="{00000000-0005-0000-0000-0000A7150000}"/>
    <cellStyle name="Accent4 55 2" xfId="5544" xr:uid="{00000000-0005-0000-0000-0000A8150000}"/>
    <cellStyle name="Accent4 55 2 2" xfId="5545" xr:uid="{00000000-0005-0000-0000-0000A9150000}"/>
    <cellStyle name="Accent4 55 3" xfId="5546" xr:uid="{00000000-0005-0000-0000-0000AA150000}"/>
    <cellStyle name="Accent4 56" xfId="5547" xr:uid="{00000000-0005-0000-0000-0000AB150000}"/>
    <cellStyle name="Accent4 56 2" xfId="5548" xr:uid="{00000000-0005-0000-0000-0000AC150000}"/>
    <cellStyle name="Accent4 56 2 2" xfId="5549" xr:uid="{00000000-0005-0000-0000-0000AD150000}"/>
    <cellStyle name="Accent4 56 3" xfId="5550" xr:uid="{00000000-0005-0000-0000-0000AE150000}"/>
    <cellStyle name="Accent4 57" xfId="5551" xr:uid="{00000000-0005-0000-0000-0000AF150000}"/>
    <cellStyle name="Accent4 57 2" xfId="5552" xr:uid="{00000000-0005-0000-0000-0000B0150000}"/>
    <cellStyle name="Accent4 57 2 2" xfId="5553" xr:uid="{00000000-0005-0000-0000-0000B1150000}"/>
    <cellStyle name="Accent4 57 3" xfId="5554" xr:uid="{00000000-0005-0000-0000-0000B2150000}"/>
    <cellStyle name="Accent4 58" xfId="5555" xr:uid="{00000000-0005-0000-0000-0000B3150000}"/>
    <cellStyle name="Accent4 58 2" xfId="5556" xr:uid="{00000000-0005-0000-0000-0000B4150000}"/>
    <cellStyle name="Accent4 58 2 2" xfId="5557" xr:uid="{00000000-0005-0000-0000-0000B5150000}"/>
    <cellStyle name="Accent4 58 3" xfId="5558" xr:uid="{00000000-0005-0000-0000-0000B6150000}"/>
    <cellStyle name="Accent4 58 3 2" xfId="5559" xr:uid="{00000000-0005-0000-0000-0000B7150000}"/>
    <cellStyle name="Accent4 58 3 2 2" xfId="5560" xr:uid="{00000000-0005-0000-0000-0000B8150000}"/>
    <cellStyle name="Accent4 58 3 3" xfId="5561" xr:uid="{00000000-0005-0000-0000-0000B9150000}"/>
    <cellStyle name="Accent4 58 4" xfId="5562" xr:uid="{00000000-0005-0000-0000-0000BA150000}"/>
    <cellStyle name="Accent4 59" xfId="5563" xr:uid="{00000000-0005-0000-0000-0000BB150000}"/>
    <cellStyle name="Accent4 59 2" xfId="5564" xr:uid="{00000000-0005-0000-0000-0000BC150000}"/>
    <cellStyle name="Accent4 59 2 2" xfId="5565" xr:uid="{00000000-0005-0000-0000-0000BD150000}"/>
    <cellStyle name="Accent4 59 3" xfId="5566" xr:uid="{00000000-0005-0000-0000-0000BE150000}"/>
    <cellStyle name="Accent4 59 3 2" xfId="5567" xr:uid="{00000000-0005-0000-0000-0000BF150000}"/>
    <cellStyle name="Accent4 59 3 2 2" xfId="5568" xr:uid="{00000000-0005-0000-0000-0000C0150000}"/>
    <cellStyle name="Accent4 59 3 3" xfId="5569" xr:uid="{00000000-0005-0000-0000-0000C1150000}"/>
    <cellStyle name="Accent4 59 4" xfId="5570" xr:uid="{00000000-0005-0000-0000-0000C2150000}"/>
    <cellStyle name="Accent4 6" xfId="5571" xr:uid="{00000000-0005-0000-0000-0000C3150000}"/>
    <cellStyle name="Accent4 6 2" xfId="5572" xr:uid="{00000000-0005-0000-0000-0000C4150000}"/>
    <cellStyle name="Accent4 6 2 2" xfId="5573" xr:uid="{00000000-0005-0000-0000-0000C5150000}"/>
    <cellStyle name="Accent4 6 2 2 2" xfId="5574" xr:uid="{00000000-0005-0000-0000-0000C6150000}"/>
    <cellStyle name="Accent4 6 2 3" xfId="5575" xr:uid="{00000000-0005-0000-0000-0000C7150000}"/>
    <cellStyle name="Accent4 6 2 3 2" xfId="5576" xr:uid="{00000000-0005-0000-0000-0000C8150000}"/>
    <cellStyle name="Accent4 6 2 3 2 2" xfId="5577" xr:uid="{00000000-0005-0000-0000-0000C9150000}"/>
    <cellStyle name="Accent4 6 2 3 3" xfId="5578" xr:uid="{00000000-0005-0000-0000-0000CA150000}"/>
    <cellStyle name="Accent4 6 2 4" xfId="5579" xr:uid="{00000000-0005-0000-0000-0000CB150000}"/>
    <cellStyle name="Accent4 6 3" xfId="5580" xr:uid="{00000000-0005-0000-0000-0000CC150000}"/>
    <cellStyle name="Accent4 6 3 2" xfId="5581" xr:uid="{00000000-0005-0000-0000-0000CD150000}"/>
    <cellStyle name="Accent4 6 4" xfId="5582" xr:uid="{00000000-0005-0000-0000-0000CE150000}"/>
    <cellStyle name="Accent4 6 4 2" xfId="5583" xr:uid="{00000000-0005-0000-0000-0000CF150000}"/>
    <cellStyle name="Accent4 6 4 2 2" xfId="5584" xr:uid="{00000000-0005-0000-0000-0000D0150000}"/>
    <cellStyle name="Accent4 6 4 3" xfId="5585" xr:uid="{00000000-0005-0000-0000-0000D1150000}"/>
    <cellStyle name="Accent4 6 5" xfId="5586" xr:uid="{00000000-0005-0000-0000-0000D2150000}"/>
    <cellStyle name="Accent4 60" xfId="5587" xr:uid="{00000000-0005-0000-0000-0000D3150000}"/>
    <cellStyle name="Accent4 60 2" xfId="5588" xr:uid="{00000000-0005-0000-0000-0000D4150000}"/>
    <cellStyle name="Accent4 60 2 2" xfId="5589" xr:uid="{00000000-0005-0000-0000-0000D5150000}"/>
    <cellStyle name="Accent4 60 3" xfId="5590" xr:uid="{00000000-0005-0000-0000-0000D6150000}"/>
    <cellStyle name="Accent4 60 3 2" xfId="5591" xr:uid="{00000000-0005-0000-0000-0000D7150000}"/>
    <cellStyle name="Accent4 60 3 2 2" xfId="5592" xr:uid="{00000000-0005-0000-0000-0000D8150000}"/>
    <cellStyle name="Accent4 60 3 3" xfId="5593" xr:uid="{00000000-0005-0000-0000-0000D9150000}"/>
    <cellStyle name="Accent4 60 4" xfId="5594" xr:uid="{00000000-0005-0000-0000-0000DA150000}"/>
    <cellStyle name="Accent4 61" xfId="5595" xr:uid="{00000000-0005-0000-0000-0000DB150000}"/>
    <cellStyle name="Accent4 61 2" xfId="5596" xr:uid="{00000000-0005-0000-0000-0000DC150000}"/>
    <cellStyle name="Accent4 61 2 2" xfId="5597" xr:uid="{00000000-0005-0000-0000-0000DD150000}"/>
    <cellStyle name="Accent4 61 3" xfId="5598" xr:uid="{00000000-0005-0000-0000-0000DE150000}"/>
    <cellStyle name="Accent4 61 3 2" xfId="5599" xr:uid="{00000000-0005-0000-0000-0000DF150000}"/>
    <cellStyle name="Accent4 61 3 2 2" xfId="5600" xr:uid="{00000000-0005-0000-0000-0000E0150000}"/>
    <cellStyle name="Accent4 61 3 3" xfId="5601" xr:uid="{00000000-0005-0000-0000-0000E1150000}"/>
    <cellStyle name="Accent4 61 4" xfId="5602" xr:uid="{00000000-0005-0000-0000-0000E2150000}"/>
    <cellStyle name="Accent4 62" xfId="5603" xr:uid="{00000000-0005-0000-0000-0000E3150000}"/>
    <cellStyle name="Accent4 62 2" xfId="5604" xr:uid="{00000000-0005-0000-0000-0000E4150000}"/>
    <cellStyle name="Accent4 62 2 2" xfId="5605" xr:uid="{00000000-0005-0000-0000-0000E5150000}"/>
    <cellStyle name="Accent4 62 3" xfId="5606" xr:uid="{00000000-0005-0000-0000-0000E6150000}"/>
    <cellStyle name="Accent4 62 3 2" xfId="5607" xr:uid="{00000000-0005-0000-0000-0000E7150000}"/>
    <cellStyle name="Accent4 62 3 2 2" xfId="5608" xr:uid="{00000000-0005-0000-0000-0000E8150000}"/>
    <cellStyle name="Accent4 62 3 3" xfId="5609" xr:uid="{00000000-0005-0000-0000-0000E9150000}"/>
    <cellStyle name="Accent4 62 4" xfId="5610" xr:uid="{00000000-0005-0000-0000-0000EA150000}"/>
    <cellStyle name="Accent4 63" xfId="5611" xr:uid="{00000000-0005-0000-0000-0000EB150000}"/>
    <cellStyle name="Accent4 63 2" xfId="5612" xr:uid="{00000000-0005-0000-0000-0000EC150000}"/>
    <cellStyle name="Accent4 63 2 2" xfId="5613" xr:uid="{00000000-0005-0000-0000-0000ED150000}"/>
    <cellStyle name="Accent4 63 3" xfId="5614" xr:uid="{00000000-0005-0000-0000-0000EE150000}"/>
    <cellStyle name="Accent4 63 3 2" xfId="5615" xr:uid="{00000000-0005-0000-0000-0000EF150000}"/>
    <cellStyle name="Accent4 63 3 2 2" xfId="5616" xr:uid="{00000000-0005-0000-0000-0000F0150000}"/>
    <cellStyle name="Accent4 63 3 3" xfId="5617" xr:uid="{00000000-0005-0000-0000-0000F1150000}"/>
    <cellStyle name="Accent4 63 4" xfId="5618" xr:uid="{00000000-0005-0000-0000-0000F2150000}"/>
    <cellStyle name="Accent4 64" xfId="5619" xr:uid="{00000000-0005-0000-0000-0000F3150000}"/>
    <cellStyle name="Accent4 64 2" xfId="5620" xr:uid="{00000000-0005-0000-0000-0000F4150000}"/>
    <cellStyle name="Accent4 64 2 2" xfId="5621" xr:uid="{00000000-0005-0000-0000-0000F5150000}"/>
    <cellStyle name="Accent4 64 3" xfId="5622" xr:uid="{00000000-0005-0000-0000-0000F6150000}"/>
    <cellStyle name="Accent4 64 3 2" xfId="5623" xr:uid="{00000000-0005-0000-0000-0000F7150000}"/>
    <cellStyle name="Accent4 64 3 2 2" xfId="5624" xr:uid="{00000000-0005-0000-0000-0000F8150000}"/>
    <cellStyle name="Accent4 64 3 3" xfId="5625" xr:uid="{00000000-0005-0000-0000-0000F9150000}"/>
    <cellStyle name="Accent4 64 4" xfId="5626" xr:uid="{00000000-0005-0000-0000-0000FA150000}"/>
    <cellStyle name="Accent4 65" xfId="5627" xr:uid="{00000000-0005-0000-0000-0000FB150000}"/>
    <cellStyle name="Accent4 65 2" xfId="5628" xr:uid="{00000000-0005-0000-0000-0000FC150000}"/>
    <cellStyle name="Accent4 65 2 2" xfId="5629" xr:uid="{00000000-0005-0000-0000-0000FD150000}"/>
    <cellStyle name="Accent4 65 3" xfId="5630" xr:uid="{00000000-0005-0000-0000-0000FE150000}"/>
    <cellStyle name="Accent4 65 3 2" xfId="5631" xr:uid="{00000000-0005-0000-0000-0000FF150000}"/>
    <cellStyle name="Accent4 65 3 2 2" xfId="5632" xr:uid="{00000000-0005-0000-0000-000000160000}"/>
    <cellStyle name="Accent4 65 3 3" xfId="5633" xr:uid="{00000000-0005-0000-0000-000001160000}"/>
    <cellStyle name="Accent4 65 4" xfId="5634" xr:uid="{00000000-0005-0000-0000-000002160000}"/>
    <cellStyle name="Accent4 66" xfId="5635" xr:uid="{00000000-0005-0000-0000-000003160000}"/>
    <cellStyle name="Accent4 66 2" xfId="5636" xr:uid="{00000000-0005-0000-0000-000004160000}"/>
    <cellStyle name="Accent4 66 2 2" xfId="5637" xr:uid="{00000000-0005-0000-0000-000005160000}"/>
    <cellStyle name="Accent4 66 3" xfId="5638" xr:uid="{00000000-0005-0000-0000-000006160000}"/>
    <cellStyle name="Accent4 66 3 2" xfId="5639" xr:uid="{00000000-0005-0000-0000-000007160000}"/>
    <cellStyle name="Accent4 66 3 2 2" xfId="5640" xr:uid="{00000000-0005-0000-0000-000008160000}"/>
    <cellStyle name="Accent4 66 3 3" xfId="5641" xr:uid="{00000000-0005-0000-0000-000009160000}"/>
    <cellStyle name="Accent4 66 4" xfId="5642" xr:uid="{00000000-0005-0000-0000-00000A160000}"/>
    <cellStyle name="Accent4 67" xfId="5643" xr:uid="{00000000-0005-0000-0000-00000B160000}"/>
    <cellStyle name="Accent4 67 2" xfId="5644" xr:uid="{00000000-0005-0000-0000-00000C160000}"/>
    <cellStyle name="Accent4 67 2 2" xfId="5645" xr:uid="{00000000-0005-0000-0000-00000D160000}"/>
    <cellStyle name="Accent4 67 3" xfId="5646" xr:uid="{00000000-0005-0000-0000-00000E160000}"/>
    <cellStyle name="Accent4 67 3 2" xfId="5647" xr:uid="{00000000-0005-0000-0000-00000F160000}"/>
    <cellStyle name="Accent4 67 3 2 2" xfId="5648" xr:uid="{00000000-0005-0000-0000-000010160000}"/>
    <cellStyle name="Accent4 67 3 3" xfId="5649" xr:uid="{00000000-0005-0000-0000-000011160000}"/>
    <cellStyle name="Accent4 67 4" xfId="5650" xr:uid="{00000000-0005-0000-0000-000012160000}"/>
    <cellStyle name="Accent4 68" xfId="5651" xr:uid="{00000000-0005-0000-0000-000013160000}"/>
    <cellStyle name="Accent4 68 2" xfId="5652" xr:uid="{00000000-0005-0000-0000-000014160000}"/>
    <cellStyle name="Accent4 68 2 2" xfId="5653" xr:uid="{00000000-0005-0000-0000-000015160000}"/>
    <cellStyle name="Accent4 68 3" xfId="5654" xr:uid="{00000000-0005-0000-0000-000016160000}"/>
    <cellStyle name="Accent4 68 3 2" xfId="5655" xr:uid="{00000000-0005-0000-0000-000017160000}"/>
    <cellStyle name="Accent4 68 3 2 2" xfId="5656" xr:uid="{00000000-0005-0000-0000-000018160000}"/>
    <cellStyle name="Accent4 68 3 3" xfId="5657" xr:uid="{00000000-0005-0000-0000-000019160000}"/>
    <cellStyle name="Accent4 68 4" xfId="5658" xr:uid="{00000000-0005-0000-0000-00001A160000}"/>
    <cellStyle name="Accent4 69" xfId="5659" xr:uid="{00000000-0005-0000-0000-00001B160000}"/>
    <cellStyle name="Accent4 69 2" xfId="5660" xr:uid="{00000000-0005-0000-0000-00001C160000}"/>
    <cellStyle name="Accent4 69 2 2" xfId="5661" xr:uid="{00000000-0005-0000-0000-00001D160000}"/>
    <cellStyle name="Accent4 69 3" xfId="5662" xr:uid="{00000000-0005-0000-0000-00001E160000}"/>
    <cellStyle name="Accent4 69 3 2" xfId="5663" xr:uid="{00000000-0005-0000-0000-00001F160000}"/>
    <cellStyle name="Accent4 69 3 2 2" xfId="5664" xr:uid="{00000000-0005-0000-0000-000020160000}"/>
    <cellStyle name="Accent4 69 3 3" xfId="5665" xr:uid="{00000000-0005-0000-0000-000021160000}"/>
    <cellStyle name="Accent4 69 4" xfId="5666" xr:uid="{00000000-0005-0000-0000-000022160000}"/>
    <cellStyle name="Accent4 7" xfId="5667" xr:uid="{00000000-0005-0000-0000-000023160000}"/>
    <cellStyle name="Accent4 7 2" xfId="5668" xr:uid="{00000000-0005-0000-0000-000024160000}"/>
    <cellStyle name="Accent4 7 2 2" xfId="5669" xr:uid="{00000000-0005-0000-0000-000025160000}"/>
    <cellStyle name="Accent4 7 2 2 2" xfId="5670" xr:uid="{00000000-0005-0000-0000-000026160000}"/>
    <cellStyle name="Accent4 7 2 3" xfId="5671" xr:uid="{00000000-0005-0000-0000-000027160000}"/>
    <cellStyle name="Accent4 7 2 3 2" xfId="5672" xr:uid="{00000000-0005-0000-0000-000028160000}"/>
    <cellStyle name="Accent4 7 2 3 2 2" xfId="5673" xr:uid="{00000000-0005-0000-0000-000029160000}"/>
    <cellStyle name="Accent4 7 2 3 3" xfId="5674" xr:uid="{00000000-0005-0000-0000-00002A160000}"/>
    <cellStyle name="Accent4 7 2 4" xfId="5675" xr:uid="{00000000-0005-0000-0000-00002B160000}"/>
    <cellStyle name="Accent4 7 3" xfId="5676" xr:uid="{00000000-0005-0000-0000-00002C160000}"/>
    <cellStyle name="Accent4 7 3 2" xfId="5677" xr:uid="{00000000-0005-0000-0000-00002D160000}"/>
    <cellStyle name="Accent4 7 4" xfId="5678" xr:uid="{00000000-0005-0000-0000-00002E160000}"/>
    <cellStyle name="Accent4 7 4 2" xfId="5679" xr:uid="{00000000-0005-0000-0000-00002F160000}"/>
    <cellStyle name="Accent4 7 4 2 2" xfId="5680" xr:uid="{00000000-0005-0000-0000-000030160000}"/>
    <cellStyle name="Accent4 7 4 3" xfId="5681" xr:uid="{00000000-0005-0000-0000-000031160000}"/>
    <cellStyle name="Accent4 7 5" xfId="5682" xr:uid="{00000000-0005-0000-0000-000032160000}"/>
    <cellStyle name="Accent4 70" xfId="5683" xr:uid="{00000000-0005-0000-0000-000033160000}"/>
    <cellStyle name="Accent4 70 2" xfId="5684" xr:uid="{00000000-0005-0000-0000-000034160000}"/>
    <cellStyle name="Accent4 70 2 2" xfId="5685" xr:uid="{00000000-0005-0000-0000-000035160000}"/>
    <cellStyle name="Accent4 70 3" xfId="5686" xr:uid="{00000000-0005-0000-0000-000036160000}"/>
    <cellStyle name="Accent4 70 3 2" xfId="5687" xr:uid="{00000000-0005-0000-0000-000037160000}"/>
    <cellStyle name="Accent4 70 3 2 2" xfId="5688" xr:uid="{00000000-0005-0000-0000-000038160000}"/>
    <cellStyle name="Accent4 70 3 3" xfId="5689" xr:uid="{00000000-0005-0000-0000-000039160000}"/>
    <cellStyle name="Accent4 70 4" xfId="5690" xr:uid="{00000000-0005-0000-0000-00003A160000}"/>
    <cellStyle name="Accent4 71" xfId="5691" xr:uid="{00000000-0005-0000-0000-00003B160000}"/>
    <cellStyle name="Accent4 71 2" xfId="5692" xr:uid="{00000000-0005-0000-0000-00003C160000}"/>
    <cellStyle name="Accent4 71 2 2" xfId="5693" xr:uid="{00000000-0005-0000-0000-00003D160000}"/>
    <cellStyle name="Accent4 71 3" xfId="5694" xr:uid="{00000000-0005-0000-0000-00003E160000}"/>
    <cellStyle name="Accent4 71 3 2" xfId="5695" xr:uid="{00000000-0005-0000-0000-00003F160000}"/>
    <cellStyle name="Accent4 71 3 2 2" xfId="5696" xr:uid="{00000000-0005-0000-0000-000040160000}"/>
    <cellStyle name="Accent4 71 3 3" xfId="5697" xr:uid="{00000000-0005-0000-0000-000041160000}"/>
    <cellStyle name="Accent4 71 4" xfId="5698" xr:uid="{00000000-0005-0000-0000-000042160000}"/>
    <cellStyle name="Accent4 72" xfId="5699" xr:uid="{00000000-0005-0000-0000-000043160000}"/>
    <cellStyle name="Accent4 72 2" xfId="5700" xr:uid="{00000000-0005-0000-0000-000044160000}"/>
    <cellStyle name="Accent4 72 2 2" xfId="5701" xr:uid="{00000000-0005-0000-0000-000045160000}"/>
    <cellStyle name="Accent4 72 3" xfId="5702" xr:uid="{00000000-0005-0000-0000-000046160000}"/>
    <cellStyle name="Accent4 72 3 2" xfId="5703" xr:uid="{00000000-0005-0000-0000-000047160000}"/>
    <cellStyle name="Accent4 72 3 2 2" xfId="5704" xr:uid="{00000000-0005-0000-0000-000048160000}"/>
    <cellStyle name="Accent4 72 3 3" xfId="5705" xr:uid="{00000000-0005-0000-0000-000049160000}"/>
    <cellStyle name="Accent4 72 4" xfId="5706" xr:uid="{00000000-0005-0000-0000-00004A160000}"/>
    <cellStyle name="Accent4 73" xfId="5707" xr:uid="{00000000-0005-0000-0000-00004B160000}"/>
    <cellStyle name="Accent4 73 2" xfId="5708" xr:uid="{00000000-0005-0000-0000-00004C160000}"/>
    <cellStyle name="Accent4 73 2 2" xfId="5709" xr:uid="{00000000-0005-0000-0000-00004D160000}"/>
    <cellStyle name="Accent4 73 3" xfId="5710" xr:uid="{00000000-0005-0000-0000-00004E160000}"/>
    <cellStyle name="Accent4 73 3 2" xfId="5711" xr:uid="{00000000-0005-0000-0000-00004F160000}"/>
    <cellStyle name="Accent4 73 3 2 2" xfId="5712" xr:uid="{00000000-0005-0000-0000-000050160000}"/>
    <cellStyle name="Accent4 73 3 3" xfId="5713" xr:uid="{00000000-0005-0000-0000-000051160000}"/>
    <cellStyle name="Accent4 73 4" xfId="5714" xr:uid="{00000000-0005-0000-0000-000052160000}"/>
    <cellStyle name="Accent4 74" xfId="5715" xr:uid="{00000000-0005-0000-0000-000053160000}"/>
    <cellStyle name="Accent4 74 2" xfId="5716" xr:uid="{00000000-0005-0000-0000-000054160000}"/>
    <cellStyle name="Accent4 74 2 2" xfId="5717" xr:uid="{00000000-0005-0000-0000-000055160000}"/>
    <cellStyle name="Accent4 74 3" xfId="5718" xr:uid="{00000000-0005-0000-0000-000056160000}"/>
    <cellStyle name="Accent4 74 3 2" xfId="5719" xr:uid="{00000000-0005-0000-0000-000057160000}"/>
    <cellStyle name="Accent4 74 3 2 2" xfId="5720" xr:uid="{00000000-0005-0000-0000-000058160000}"/>
    <cellStyle name="Accent4 74 3 3" xfId="5721" xr:uid="{00000000-0005-0000-0000-000059160000}"/>
    <cellStyle name="Accent4 74 4" xfId="5722" xr:uid="{00000000-0005-0000-0000-00005A160000}"/>
    <cellStyle name="Accent4 75" xfId="5723" xr:uid="{00000000-0005-0000-0000-00005B160000}"/>
    <cellStyle name="Accent4 75 2" xfId="5724" xr:uid="{00000000-0005-0000-0000-00005C160000}"/>
    <cellStyle name="Accent4 75 2 2" xfId="5725" xr:uid="{00000000-0005-0000-0000-00005D160000}"/>
    <cellStyle name="Accent4 75 3" xfId="5726" xr:uid="{00000000-0005-0000-0000-00005E160000}"/>
    <cellStyle name="Accent4 75 3 2" xfId="5727" xr:uid="{00000000-0005-0000-0000-00005F160000}"/>
    <cellStyle name="Accent4 75 3 2 2" xfId="5728" xr:uid="{00000000-0005-0000-0000-000060160000}"/>
    <cellStyle name="Accent4 75 3 3" xfId="5729" xr:uid="{00000000-0005-0000-0000-000061160000}"/>
    <cellStyle name="Accent4 75 4" xfId="5730" xr:uid="{00000000-0005-0000-0000-000062160000}"/>
    <cellStyle name="Accent4 76" xfId="5731" xr:uid="{00000000-0005-0000-0000-000063160000}"/>
    <cellStyle name="Accent4 76 2" xfId="5732" xr:uid="{00000000-0005-0000-0000-000064160000}"/>
    <cellStyle name="Accent4 76 2 2" xfId="5733" xr:uid="{00000000-0005-0000-0000-000065160000}"/>
    <cellStyle name="Accent4 76 3" xfId="5734" xr:uid="{00000000-0005-0000-0000-000066160000}"/>
    <cellStyle name="Accent4 76 3 2" xfId="5735" xr:uid="{00000000-0005-0000-0000-000067160000}"/>
    <cellStyle name="Accent4 76 3 2 2" xfId="5736" xr:uid="{00000000-0005-0000-0000-000068160000}"/>
    <cellStyle name="Accent4 76 3 3" xfId="5737" xr:uid="{00000000-0005-0000-0000-000069160000}"/>
    <cellStyle name="Accent4 76 4" xfId="5738" xr:uid="{00000000-0005-0000-0000-00006A160000}"/>
    <cellStyle name="Accent4 77" xfId="5739" xr:uid="{00000000-0005-0000-0000-00006B160000}"/>
    <cellStyle name="Accent4 77 2" xfId="5740" xr:uid="{00000000-0005-0000-0000-00006C160000}"/>
    <cellStyle name="Accent4 77 2 2" xfId="5741" xr:uid="{00000000-0005-0000-0000-00006D160000}"/>
    <cellStyle name="Accent4 77 3" xfId="5742" xr:uid="{00000000-0005-0000-0000-00006E160000}"/>
    <cellStyle name="Accent4 77 3 2" xfId="5743" xr:uid="{00000000-0005-0000-0000-00006F160000}"/>
    <cellStyle name="Accent4 77 3 2 2" xfId="5744" xr:uid="{00000000-0005-0000-0000-000070160000}"/>
    <cellStyle name="Accent4 77 3 3" xfId="5745" xr:uid="{00000000-0005-0000-0000-000071160000}"/>
    <cellStyle name="Accent4 77 4" xfId="5746" xr:uid="{00000000-0005-0000-0000-000072160000}"/>
    <cellStyle name="Accent4 78" xfId="5747" xr:uid="{00000000-0005-0000-0000-000073160000}"/>
    <cellStyle name="Accent4 78 2" xfId="5748" xr:uid="{00000000-0005-0000-0000-000074160000}"/>
    <cellStyle name="Accent4 78 2 2" xfId="5749" xr:uid="{00000000-0005-0000-0000-000075160000}"/>
    <cellStyle name="Accent4 78 3" xfId="5750" xr:uid="{00000000-0005-0000-0000-000076160000}"/>
    <cellStyle name="Accent4 78 3 2" xfId="5751" xr:uid="{00000000-0005-0000-0000-000077160000}"/>
    <cellStyle name="Accent4 78 3 2 2" xfId="5752" xr:uid="{00000000-0005-0000-0000-000078160000}"/>
    <cellStyle name="Accent4 78 3 3" xfId="5753" xr:uid="{00000000-0005-0000-0000-000079160000}"/>
    <cellStyle name="Accent4 78 4" xfId="5754" xr:uid="{00000000-0005-0000-0000-00007A160000}"/>
    <cellStyle name="Accent4 79" xfId="5755" xr:uid="{00000000-0005-0000-0000-00007B160000}"/>
    <cellStyle name="Accent4 79 2" xfId="5756" xr:uid="{00000000-0005-0000-0000-00007C160000}"/>
    <cellStyle name="Accent4 79 2 2" xfId="5757" xr:uid="{00000000-0005-0000-0000-00007D160000}"/>
    <cellStyle name="Accent4 79 3" xfId="5758" xr:uid="{00000000-0005-0000-0000-00007E160000}"/>
    <cellStyle name="Accent4 79 3 2" xfId="5759" xr:uid="{00000000-0005-0000-0000-00007F160000}"/>
    <cellStyle name="Accent4 79 3 2 2" xfId="5760" xr:uid="{00000000-0005-0000-0000-000080160000}"/>
    <cellStyle name="Accent4 79 3 3" xfId="5761" xr:uid="{00000000-0005-0000-0000-000081160000}"/>
    <cellStyle name="Accent4 79 4" xfId="5762" xr:uid="{00000000-0005-0000-0000-000082160000}"/>
    <cellStyle name="Accent4 8" xfId="5763" xr:uid="{00000000-0005-0000-0000-000083160000}"/>
    <cellStyle name="Accent4 8 2" xfId="5764" xr:uid="{00000000-0005-0000-0000-000084160000}"/>
    <cellStyle name="Accent4 8 2 2" xfId="5765" xr:uid="{00000000-0005-0000-0000-000085160000}"/>
    <cellStyle name="Accent4 8 3" xfId="5766" xr:uid="{00000000-0005-0000-0000-000086160000}"/>
    <cellStyle name="Accent4 80" xfId="5767" xr:uid="{00000000-0005-0000-0000-000087160000}"/>
    <cellStyle name="Accent4 80 2" xfId="5768" xr:uid="{00000000-0005-0000-0000-000088160000}"/>
    <cellStyle name="Accent4 80 2 2" xfId="5769" xr:uid="{00000000-0005-0000-0000-000089160000}"/>
    <cellStyle name="Accent4 80 3" xfId="5770" xr:uid="{00000000-0005-0000-0000-00008A160000}"/>
    <cellStyle name="Accent4 80 3 2" xfId="5771" xr:uid="{00000000-0005-0000-0000-00008B160000}"/>
    <cellStyle name="Accent4 80 3 2 2" xfId="5772" xr:uid="{00000000-0005-0000-0000-00008C160000}"/>
    <cellStyle name="Accent4 80 3 3" xfId="5773" xr:uid="{00000000-0005-0000-0000-00008D160000}"/>
    <cellStyle name="Accent4 80 4" xfId="5774" xr:uid="{00000000-0005-0000-0000-00008E160000}"/>
    <cellStyle name="Accent4 81" xfId="5775" xr:uid="{00000000-0005-0000-0000-00008F160000}"/>
    <cellStyle name="Accent4 81 2" xfId="5776" xr:uid="{00000000-0005-0000-0000-000090160000}"/>
    <cellStyle name="Accent4 81 2 2" xfId="5777" xr:uid="{00000000-0005-0000-0000-000091160000}"/>
    <cellStyle name="Accent4 81 3" xfId="5778" xr:uid="{00000000-0005-0000-0000-000092160000}"/>
    <cellStyle name="Accent4 81 3 2" xfId="5779" xr:uid="{00000000-0005-0000-0000-000093160000}"/>
    <cellStyle name="Accent4 81 3 2 2" xfId="5780" xr:uid="{00000000-0005-0000-0000-000094160000}"/>
    <cellStyle name="Accent4 81 3 3" xfId="5781" xr:uid="{00000000-0005-0000-0000-000095160000}"/>
    <cellStyle name="Accent4 81 4" xfId="5782" xr:uid="{00000000-0005-0000-0000-000096160000}"/>
    <cellStyle name="Accent4 82" xfId="5783" xr:uid="{00000000-0005-0000-0000-000097160000}"/>
    <cellStyle name="Accent4 82 2" xfId="5784" xr:uid="{00000000-0005-0000-0000-000098160000}"/>
    <cellStyle name="Accent4 82 2 2" xfId="5785" xr:uid="{00000000-0005-0000-0000-000099160000}"/>
    <cellStyle name="Accent4 82 3" xfId="5786" xr:uid="{00000000-0005-0000-0000-00009A160000}"/>
    <cellStyle name="Accent4 82 3 2" xfId="5787" xr:uid="{00000000-0005-0000-0000-00009B160000}"/>
    <cellStyle name="Accent4 82 3 2 2" xfId="5788" xr:uid="{00000000-0005-0000-0000-00009C160000}"/>
    <cellStyle name="Accent4 82 3 3" xfId="5789" xr:uid="{00000000-0005-0000-0000-00009D160000}"/>
    <cellStyle name="Accent4 82 4" xfId="5790" xr:uid="{00000000-0005-0000-0000-00009E160000}"/>
    <cellStyle name="Accent4 83" xfId="5791" xr:uid="{00000000-0005-0000-0000-00009F160000}"/>
    <cellStyle name="Accent4 83 2" xfId="5792" xr:uid="{00000000-0005-0000-0000-0000A0160000}"/>
    <cellStyle name="Accent4 83 2 2" xfId="5793" xr:uid="{00000000-0005-0000-0000-0000A1160000}"/>
    <cellStyle name="Accent4 83 3" xfId="5794" xr:uid="{00000000-0005-0000-0000-0000A2160000}"/>
    <cellStyle name="Accent4 83 3 2" xfId="5795" xr:uid="{00000000-0005-0000-0000-0000A3160000}"/>
    <cellStyle name="Accent4 83 3 2 2" xfId="5796" xr:uid="{00000000-0005-0000-0000-0000A4160000}"/>
    <cellStyle name="Accent4 83 3 3" xfId="5797" xr:uid="{00000000-0005-0000-0000-0000A5160000}"/>
    <cellStyle name="Accent4 83 4" xfId="5798" xr:uid="{00000000-0005-0000-0000-0000A6160000}"/>
    <cellStyle name="Accent4 84" xfId="5799" xr:uid="{00000000-0005-0000-0000-0000A7160000}"/>
    <cellStyle name="Accent4 84 2" xfId="5800" xr:uid="{00000000-0005-0000-0000-0000A8160000}"/>
    <cellStyle name="Accent4 84 2 2" xfId="5801" xr:uid="{00000000-0005-0000-0000-0000A9160000}"/>
    <cellStyle name="Accent4 84 3" xfId="5802" xr:uid="{00000000-0005-0000-0000-0000AA160000}"/>
    <cellStyle name="Accent4 85" xfId="5803" xr:uid="{00000000-0005-0000-0000-0000AB160000}"/>
    <cellStyle name="Accent4 85 2" xfId="5804" xr:uid="{00000000-0005-0000-0000-0000AC160000}"/>
    <cellStyle name="Accent4 85 2 2" xfId="5805" xr:uid="{00000000-0005-0000-0000-0000AD160000}"/>
    <cellStyle name="Accent4 85 3" xfId="5806" xr:uid="{00000000-0005-0000-0000-0000AE160000}"/>
    <cellStyle name="Accent4 86" xfId="5807" xr:uid="{00000000-0005-0000-0000-0000AF160000}"/>
    <cellStyle name="Accent4 86 2" xfId="5808" xr:uid="{00000000-0005-0000-0000-0000B0160000}"/>
    <cellStyle name="Accent4 86 2 2" xfId="5809" xr:uid="{00000000-0005-0000-0000-0000B1160000}"/>
    <cellStyle name="Accent4 86 3" xfId="5810" xr:uid="{00000000-0005-0000-0000-0000B2160000}"/>
    <cellStyle name="Accent4 87" xfId="5811" xr:uid="{00000000-0005-0000-0000-0000B3160000}"/>
    <cellStyle name="Accent4 87 2" xfId="5812" xr:uid="{00000000-0005-0000-0000-0000B4160000}"/>
    <cellStyle name="Accent4 87 2 2" xfId="5813" xr:uid="{00000000-0005-0000-0000-0000B5160000}"/>
    <cellStyle name="Accent4 87 3" xfId="5814" xr:uid="{00000000-0005-0000-0000-0000B6160000}"/>
    <cellStyle name="Accent4 88" xfId="5815" xr:uid="{00000000-0005-0000-0000-0000B7160000}"/>
    <cellStyle name="Accent4 88 2" xfId="5816" xr:uid="{00000000-0005-0000-0000-0000B8160000}"/>
    <cellStyle name="Accent4 88 2 2" xfId="5817" xr:uid="{00000000-0005-0000-0000-0000B9160000}"/>
    <cellStyle name="Accent4 88 3" xfId="5818" xr:uid="{00000000-0005-0000-0000-0000BA160000}"/>
    <cellStyle name="Accent4 89" xfId="5819" xr:uid="{00000000-0005-0000-0000-0000BB160000}"/>
    <cellStyle name="Accent4 89 2" xfId="5820" xr:uid="{00000000-0005-0000-0000-0000BC160000}"/>
    <cellStyle name="Accent4 89 2 2" xfId="5821" xr:uid="{00000000-0005-0000-0000-0000BD160000}"/>
    <cellStyle name="Accent4 89 3" xfId="5822" xr:uid="{00000000-0005-0000-0000-0000BE160000}"/>
    <cellStyle name="Accent4 9" xfId="5823" xr:uid="{00000000-0005-0000-0000-0000BF160000}"/>
    <cellStyle name="Accent4 9 2" xfId="5824" xr:uid="{00000000-0005-0000-0000-0000C0160000}"/>
    <cellStyle name="Accent4 9 2 2" xfId="5825" xr:uid="{00000000-0005-0000-0000-0000C1160000}"/>
    <cellStyle name="Accent4 9 3" xfId="5826" xr:uid="{00000000-0005-0000-0000-0000C2160000}"/>
    <cellStyle name="Accent4 90" xfId="5827" xr:uid="{00000000-0005-0000-0000-0000C3160000}"/>
    <cellStyle name="Accent4 90 2" xfId="5828" xr:uid="{00000000-0005-0000-0000-0000C4160000}"/>
    <cellStyle name="Accent4 90 2 2" xfId="5829" xr:uid="{00000000-0005-0000-0000-0000C5160000}"/>
    <cellStyle name="Accent4 90 3" xfId="5830" xr:uid="{00000000-0005-0000-0000-0000C6160000}"/>
    <cellStyle name="Accent4 91" xfId="5831" xr:uid="{00000000-0005-0000-0000-0000C7160000}"/>
    <cellStyle name="Accent4 91 2" xfId="5832" xr:uid="{00000000-0005-0000-0000-0000C8160000}"/>
    <cellStyle name="Accent4 91 2 2" xfId="5833" xr:uid="{00000000-0005-0000-0000-0000C9160000}"/>
    <cellStyle name="Accent4 91 3" xfId="5834" xr:uid="{00000000-0005-0000-0000-0000CA160000}"/>
    <cellStyle name="Accent4 92" xfId="5835" xr:uid="{00000000-0005-0000-0000-0000CB160000}"/>
    <cellStyle name="Accent4 92 2" xfId="5836" xr:uid="{00000000-0005-0000-0000-0000CC160000}"/>
    <cellStyle name="Accent4 92 2 2" xfId="5837" xr:uid="{00000000-0005-0000-0000-0000CD160000}"/>
    <cellStyle name="Accent4 92 3" xfId="5838" xr:uid="{00000000-0005-0000-0000-0000CE160000}"/>
    <cellStyle name="Accent4 93" xfId="5839" xr:uid="{00000000-0005-0000-0000-0000CF160000}"/>
    <cellStyle name="Accent4 93 2" xfId="5840" xr:uid="{00000000-0005-0000-0000-0000D0160000}"/>
    <cellStyle name="Accent4 93 2 2" xfId="5841" xr:uid="{00000000-0005-0000-0000-0000D1160000}"/>
    <cellStyle name="Accent4 93 3" xfId="5842" xr:uid="{00000000-0005-0000-0000-0000D2160000}"/>
    <cellStyle name="Accent4 94" xfId="5843" xr:uid="{00000000-0005-0000-0000-0000D3160000}"/>
    <cellStyle name="Accent4 94 2" xfId="5844" xr:uid="{00000000-0005-0000-0000-0000D4160000}"/>
    <cellStyle name="Accent4 94 2 2" xfId="5845" xr:uid="{00000000-0005-0000-0000-0000D5160000}"/>
    <cellStyle name="Accent4 94 3" xfId="5846" xr:uid="{00000000-0005-0000-0000-0000D6160000}"/>
    <cellStyle name="Accent4 95" xfId="5847" xr:uid="{00000000-0005-0000-0000-0000D7160000}"/>
    <cellStyle name="Accent4 95 2" xfId="5848" xr:uid="{00000000-0005-0000-0000-0000D8160000}"/>
    <cellStyle name="Accent4 95 2 2" xfId="5849" xr:uid="{00000000-0005-0000-0000-0000D9160000}"/>
    <cellStyle name="Accent4 95 3" xfId="5850" xr:uid="{00000000-0005-0000-0000-0000DA160000}"/>
    <cellStyle name="Accent4 96" xfId="5851" xr:uid="{00000000-0005-0000-0000-0000DB160000}"/>
    <cellStyle name="Accent4 96 2" xfId="5852" xr:uid="{00000000-0005-0000-0000-0000DC160000}"/>
    <cellStyle name="Accent4 96 2 2" xfId="5853" xr:uid="{00000000-0005-0000-0000-0000DD160000}"/>
    <cellStyle name="Accent4 96 3" xfId="5854" xr:uid="{00000000-0005-0000-0000-0000DE160000}"/>
    <cellStyle name="Accent4 97" xfId="5855" xr:uid="{00000000-0005-0000-0000-0000DF160000}"/>
    <cellStyle name="Accent4 97 2" xfId="5856" xr:uid="{00000000-0005-0000-0000-0000E0160000}"/>
    <cellStyle name="Accent4 97 2 2" xfId="5857" xr:uid="{00000000-0005-0000-0000-0000E1160000}"/>
    <cellStyle name="Accent4 97 3" xfId="5858" xr:uid="{00000000-0005-0000-0000-0000E2160000}"/>
    <cellStyle name="Accent4 98" xfId="5859" xr:uid="{00000000-0005-0000-0000-0000E3160000}"/>
    <cellStyle name="Accent4 98 2" xfId="5860" xr:uid="{00000000-0005-0000-0000-0000E4160000}"/>
    <cellStyle name="Accent4 98 2 2" xfId="5861" xr:uid="{00000000-0005-0000-0000-0000E5160000}"/>
    <cellStyle name="Accent4 98 3" xfId="5862" xr:uid="{00000000-0005-0000-0000-0000E6160000}"/>
    <cellStyle name="Accent4 99" xfId="5863" xr:uid="{00000000-0005-0000-0000-0000E7160000}"/>
    <cellStyle name="Accent4 99 2" xfId="5864" xr:uid="{00000000-0005-0000-0000-0000E8160000}"/>
    <cellStyle name="Accent4 99 2 2" xfId="5865" xr:uid="{00000000-0005-0000-0000-0000E9160000}"/>
    <cellStyle name="Accent4 99 3" xfId="5866" xr:uid="{00000000-0005-0000-0000-0000EA160000}"/>
    <cellStyle name="Accent5 - 20%" xfId="5867" xr:uid="{00000000-0005-0000-0000-0000EB160000}"/>
    <cellStyle name="Accent5 - 20% 10" xfId="5868" xr:uid="{00000000-0005-0000-0000-0000EC160000}"/>
    <cellStyle name="Accent5 - 20% 11" xfId="5869" xr:uid="{00000000-0005-0000-0000-0000ED160000}"/>
    <cellStyle name="Accent5 - 20% 2" xfId="5870" xr:uid="{00000000-0005-0000-0000-0000EE160000}"/>
    <cellStyle name="Accent5 - 20% 2 2" xfId="5871" xr:uid="{00000000-0005-0000-0000-0000EF160000}"/>
    <cellStyle name="Accent5 - 20% 2 2 2" xfId="5872" xr:uid="{00000000-0005-0000-0000-0000F0160000}"/>
    <cellStyle name="Accent5 - 20% 2 2 2 2" xfId="5873" xr:uid="{00000000-0005-0000-0000-0000F1160000}"/>
    <cellStyle name="Accent5 - 20% 2 2 3" xfId="5874" xr:uid="{00000000-0005-0000-0000-0000F2160000}"/>
    <cellStyle name="Accent5 - 20% 2 3" xfId="5875" xr:uid="{00000000-0005-0000-0000-0000F3160000}"/>
    <cellStyle name="Accent5 - 20% 2 3 2" xfId="5876" xr:uid="{00000000-0005-0000-0000-0000F4160000}"/>
    <cellStyle name="Accent5 - 20% 2 3 2 2" xfId="5877" xr:uid="{00000000-0005-0000-0000-0000F5160000}"/>
    <cellStyle name="Accent5 - 20% 2 3 2 2 2" xfId="5878" xr:uid="{00000000-0005-0000-0000-0000F6160000}"/>
    <cellStyle name="Accent5 - 20% 2 3 2 3" xfId="5879" xr:uid="{00000000-0005-0000-0000-0000F7160000}"/>
    <cellStyle name="Accent5 - 20% 2 3 3" xfId="5880" xr:uid="{00000000-0005-0000-0000-0000F8160000}"/>
    <cellStyle name="Accent5 - 20% 2 3 3 2" xfId="5881" xr:uid="{00000000-0005-0000-0000-0000F9160000}"/>
    <cellStyle name="Accent5 - 20% 2 3 4" xfId="5882" xr:uid="{00000000-0005-0000-0000-0000FA160000}"/>
    <cellStyle name="Accent5 - 20% 2 4" xfId="5883" xr:uid="{00000000-0005-0000-0000-0000FB160000}"/>
    <cellStyle name="Accent5 - 20% 2 4 2" xfId="5884" xr:uid="{00000000-0005-0000-0000-0000FC160000}"/>
    <cellStyle name="Accent5 - 20% 2 4 2 2" xfId="5885" xr:uid="{00000000-0005-0000-0000-0000FD160000}"/>
    <cellStyle name="Accent5 - 20% 2 4 2 2 2" xfId="5886" xr:uid="{00000000-0005-0000-0000-0000FE160000}"/>
    <cellStyle name="Accent5 - 20% 2 4 2 3" xfId="5887" xr:uid="{00000000-0005-0000-0000-0000FF160000}"/>
    <cellStyle name="Accent5 - 20% 2 4 3" xfId="5888" xr:uid="{00000000-0005-0000-0000-000000170000}"/>
    <cellStyle name="Accent5 - 20% 2 4 3 2" xfId="5889" xr:uid="{00000000-0005-0000-0000-000001170000}"/>
    <cellStyle name="Accent5 - 20% 2 4 4" xfId="5890" xr:uid="{00000000-0005-0000-0000-000002170000}"/>
    <cellStyle name="Accent5 - 20% 2 5" xfId="5891" xr:uid="{00000000-0005-0000-0000-000003170000}"/>
    <cellStyle name="Accent5 - 20% 2 5 2" xfId="5892" xr:uid="{00000000-0005-0000-0000-000004170000}"/>
    <cellStyle name="Accent5 - 20% 2 6" xfId="5893" xr:uid="{00000000-0005-0000-0000-000005170000}"/>
    <cellStyle name="Accent5 - 20% 2 6 2" xfId="5894" xr:uid="{00000000-0005-0000-0000-000006170000}"/>
    <cellStyle name="Accent5 - 20% 2 7" xfId="5895" xr:uid="{00000000-0005-0000-0000-000007170000}"/>
    <cellStyle name="Accent5 - 20% 3" xfId="5896" xr:uid="{00000000-0005-0000-0000-000008170000}"/>
    <cellStyle name="Accent5 - 20% 3 2" xfId="5897" xr:uid="{00000000-0005-0000-0000-000009170000}"/>
    <cellStyle name="Accent5 - 20% 3 2 2" xfId="5898" xr:uid="{00000000-0005-0000-0000-00000A170000}"/>
    <cellStyle name="Accent5 - 20% 3 2 2 2" xfId="5899" xr:uid="{00000000-0005-0000-0000-00000B170000}"/>
    <cellStyle name="Accent5 - 20% 3 2 3" xfId="5900" xr:uid="{00000000-0005-0000-0000-00000C170000}"/>
    <cellStyle name="Accent5 - 20% 3 3" xfId="5901" xr:uid="{00000000-0005-0000-0000-00000D170000}"/>
    <cellStyle name="Accent5 - 20% 3 3 2" xfId="5902" xr:uid="{00000000-0005-0000-0000-00000E170000}"/>
    <cellStyle name="Accent5 - 20% 3 4" xfId="5903" xr:uid="{00000000-0005-0000-0000-00000F170000}"/>
    <cellStyle name="Accent5 - 20% 4" xfId="5904" xr:uid="{00000000-0005-0000-0000-000010170000}"/>
    <cellStyle name="Accent5 - 20% 4 2" xfId="5905" xr:uid="{00000000-0005-0000-0000-000011170000}"/>
    <cellStyle name="Accent5 - 20% 4 2 2" xfId="5906" xr:uid="{00000000-0005-0000-0000-000012170000}"/>
    <cellStyle name="Accent5 - 20% 4 3" xfId="5907" xr:uid="{00000000-0005-0000-0000-000013170000}"/>
    <cellStyle name="Accent5 - 20% 5" xfId="5908" xr:uid="{00000000-0005-0000-0000-000014170000}"/>
    <cellStyle name="Accent5 - 20% 5 2" xfId="5909" xr:uid="{00000000-0005-0000-0000-000015170000}"/>
    <cellStyle name="Accent5 - 20% 5 2 2" xfId="5910" xr:uid="{00000000-0005-0000-0000-000016170000}"/>
    <cellStyle name="Accent5 - 20% 5 3" xfId="5911" xr:uid="{00000000-0005-0000-0000-000017170000}"/>
    <cellStyle name="Accent5 - 20% 6" xfId="5912" xr:uid="{00000000-0005-0000-0000-000018170000}"/>
    <cellStyle name="Accent5 - 20% 6 2" xfId="5913" xr:uid="{00000000-0005-0000-0000-000019170000}"/>
    <cellStyle name="Accent5 - 20% 7" xfId="5914" xr:uid="{00000000-0005-0000-0000-00001A170000}"/>
    <cellStyle name="Accent5 - 20% 7 2" xfId="5915" xr:uid="{00000000-0005-0000-0000-00001B170000}"/>
    <cellStyle name="Accent5 - 20% 8" xfId="5916" xr:uid="{00000000-0005-0000-0000-00001C170000}"/>
    <cellStyle name="Accent5 - 20% 8 2" xfId="5917" xr:uid="{00000000-0005-0000-0000-00001D170000}"/>
    <cellStyle name="Accent5 - 20% 9" xfId="5918" xr:uid="{00000000-0005-0000-0000-00001E170000}"/>
    <cellStyle name="Accent5 - 20% 9 2" xfId="5919" xr:uid="{00000000-0005-0000-0000-00001F170000}"/>
    <cellStyle name="Accent5 - 40%" xfId="5920" xr:uid="{00000000-0005-0000-0000-000020170000}"/>
    <cellStyle name="Accent5 - 40% 2" xfId="5921" xr:uid="{00000000-0005-0000-0000-000021170000}"/>
    <cellStyle name="Accent5 - 40% 2 2" xfId="5922" xr:uid="{00000000-0005-0000-0000-000022170000}"/>
    <cellStyle name="Accent5 - 40% 2 2 2" xfId="5923" xr:uid="{00000000-0005-0000-0000-000023170000}"/>
    <cellStyle name="Accent5 - 40% 2 2 2 2" xfId="5924" xr:uid="{00000000-0005-0000-0000-000024170000}"/>
    <cellStyle name="Accent5 - 40% 2 2 3" xfId="5925" xr:uid="{00000000-0005-0000-0000-000025170000}"/>
    <cellStyle name="Accent5 - 40% 2 3" xfId="5926" xr:uid="{00000000-0005-0000-0000-000026170000}"/>
    <cellStyle name="Accent5 - 40% 2 3 2" xfId="5927" xr:uid="{00000000-0005-0000-0000-000027170000}"/>
    <cellStyle name="Accent5 - 40% 2 3 2 2" xfId="5928" xr:uid="{00000000-0005-0000-0000-000028170000}"/>
    <cellStyle name="Accent5 - 40% 2 3 2 2 2" xfId="5929" xr:uid="{00000000-0005-0000-0000-000029170000}"/>
    <cellStyle name="Accent5 - 40% 2 3 2 3" xfId="5930" xr:uid="{00000000-0005-0000-0000-00002A170000}"/>
    <cellStyle name="Accent5 - 40% 2 3 3" xfId="5931" xr:uid="{00000000-0005-0000-0000-00002B170000}"/>
    <cellStyle name="Accent5 - 40% 2 3 3 2" xfId="5932" xr:uid="{00000000-0005-0000-0000-00002C170000}"/>
    <cellStyle name="Accent5 - 40% 2 3 4" xfId="5933" xr:uid="{00000000-0005-0000-0000-00002D170000}"/>
    <cellStyle name="Accent5 - 40% 2 4" xfId="5934" xr:uid="{00000000-0005-0000-0000-00002E170000}"/>
    <cellStyle name="Accent5 - 40% 2 4 2" xfId="5935" xr:uid="{00000000-0005-0000-0000-00002F170000}"/>
    <cellStyle name="Accent5 - 40% 2 5" xfId="5936" xr:uid="{00000000-0005-0000-0000-000030170000}"/>
    <cellStyle name="Accent5 - 40% 2 5 2" xfId="5937" xr:uid="{00000000-0005-0000-0000-000031170000}"/>
    <cellStyle name="Accent5 - 40% 2 6" xfId="5938" xr:uid="{00000000-0005-0000-0000-000032170000}"/>
    <cellStyle name="Accent5 - 40% 3" xfId="5939" xr:uid="{00000000-0005-0000-0000-000033170000}"/>
    <cellStyle name="Accent5 - 40% 3 2" xfId="5940" xr:uid="{00000000-0005-0000-0000-000034170000}"/>
    <cellStyle name="Accent5 - 40% 3 2 2" xfId="5941" xr:uid="{00000000-0005-0000-0000-000035170000}"/>
    <cellStyle name="Accent5 - 40% 3 2 2 2" xfId="5942" xr:uid="{00000000-0005-0000-0000-000036170000}"/>
    <cellStyle name="Accent5 - 40% 3 2 3" xfId="5943" xr:uid="{00000000-0005-0000-0000-000037170000}"/>
    <cellStyle name="Accent5 - 40% 3 3" xfId="5944" xr:uid="{00000000-0005-0000-0000-000038170000}"/>
    <cellStyle name="Accent5 - 40% 3 3 2" xfId="5945" xr:uid="{00000000-0005-0000-0000-000039170000}"/>
    <cellStyle name="Accent5 - 40% 3 4" xfId="5946" xr:uid="{00000000-0005-0000-0000-00003A170000}"/>
    <cellStyle name="Accent5 - 40% 4" xfId="5947" xr:uid="{00000000-0005-0000-0000-00003B170000}"/>
    <cellStyle name="Accent5 - 40% 4 2" xfId="5948" xr:uid="{00000000-0005-0000-0000-00003C170000}"/>
    <cellStyle name="Accent5 - 40% 4 2 2" xfId="5949" xr:uid="{00000000-0005-0000-0000-00003D170000}"/>
    <cellStyle name="Accent5 - 40% 4 3" xfId="5950" xr:uid="{00000000-0005-0000-0000-00003E170000}"/>
    <cellStyle name="Accent5 - 40% 5" xfId="5951" xr:uid="{00000000-0005-0000-0000-00003F170000}"/>
    <cellStyle name="Accent5 - 40% 5 2" xfId="5952" xr:uid="{00000000-0005-0000-0000-000040170000}"/>
    <cellStyle name="Accent5 - 40% 6" xfId="5953" xr:uid="{00000000-0005-0000-0000-000041170000}"/>
    <cellStyle name="Accent5 - 40% 6 2" xfId="5954" xr:uid="{00000000-0005-0000-0000-000042170000}"/>
    <cellStyle name="Accent5 - 40% 7" xfId="5955" xr:uid="{00000000-0005-0000-0000-000043170000}"/>
    <cellStyle name="Accent5 - 40% 8" xfId="5956" xr:uid="{00000000-0005-0000-0000-000044170000}"/>
    <cellStyle name="Accent5 - 60%" xfId="5957" xr:uid="{00000000-0005-0000-0000-000045170000}"/>
    <cellStyle name="Accent5 - 60% 10" xfId="5958" xr:uid="{00000000-0005-0000-0000-000046170000}"/>
    <cellStyle name="Accent5 - 60% 2" xfId="5959" xr:uid="{00000000-0005-0000-0000-000047170000}"/>
    <cellStyle name="Accent5 - 60% 2 2" xfId="5960" xr:uid="{00000000-0005-0000-0000-000048170000}"/>
    <cellStyle name="Accent5 - 60% 2 2 2" xfId="5961" xr:uid="{00000000-0005-0000-0000-000049170000}"/>
    <cellStyle name="Accent5 - 60% 2 3" xfId="5962" xr:uid="{00000000-0005-0000-0000-00004A170000}"/>
    <cellStyle name="Accent5 - 60% 2 3 2" xfId="5963" xr:uid="{00000000-0005-0000-0000-00004B170000}"/>
    <cellStyle name="Accent5 - 60% 2 3 2 2" xfId="5964" xr:uid="{00000000-0005-0000-0000-00004C170000}"/>
    <cellStyle name="Accent5 - 60% 2 3 3" xfId="5965" xr:uid="{00000000-0005-0000-0000-00004D170000}"/>
    <cellStyle name="Accent5 - 60% 2 4" xfId="5966" xr:uid="{00000000-0005-0000-0000-00004E170000}"/>
    <cellStyle name="Accent5 - 60% 2 4 2" xfId="5967" xr:uid="{00000000-0005-0000-0000-00004F170000}"/>
    <cellStyle name="Accent5 - 60% 2 4 2 2" xfId="5968" xr:uid="{00000000-0005-0000-0000-000050170000}"/>
    <cellStyle name="Accent5 - 60% 2 4 3" xfId="5969" xr:uid="{00000000-0005-0000-0000-000051170000}"/>
    <cellStyle name="Accent5 - 60% 2 5" xfId="5970" xr:uid="{00000000-0005-0000-0000-000052170000}"/>
    <cellStyle name="Accent5 - 60% 3" xfId="5971" xr:uid="{00000000-0005-0000-0000-000053170000}"/>
    <cellStyle name="Accent5 - 60% 3 2" xfId="5972" xr:uid="{00000000-0005-0000-0000-000054170000}"/>
    <cellStyle name="Accent5 - 60% 3 2 2" xfId="5973" xr:uid="{00000000-0005-0000-0000-000055170000}"/>
    <cellStyle name="Accent5 - 60% 3 3" xfId="5974" xr:uid="{00000000-0005-0000-0000-000056170000}"/>
    <cellStyle name="Accent5 - 60% 4" xfId="5975" xr:uid="{00000000-0005-0000-0000-000057170000}"/>
    <cellStyle name="Accent5 - 60% 4 2" xfId="5976" xr:uid="{00000000-0005-0000-0000-000058170000}"/>
    <cellStyle name="Accent5 - 60% 5" xfId="5977" xr:uid="{00000000-0005-0000-0000-000059170000}"/>
    <cellStyle name="Accent5 - 60% 5 2" xfId="5978" xr:uid="{00000000-0005-0000-0000-00005A170000}"/>
    <cellStyle name="Accent5 - 60% 6" xfId="5979" xr:uid="{00000000-0005-0000-0000-00005B170000}"/>
    <cellStyle name="Accent5 - 60% 6 2" xfId="5980" xr:uid="{00000000-0005-0000-0000-00005C170000}"/>
    <cellStyle name="Accent5 - 60% 6 2 2" xfId="5981" xr:uid="{00000000-0005-0000-0000-00005D170000}"/>
    <cellStyle name="Accent5 - 60% 6 3" xfId="5982" xr:uid="{00000000-0005-0000-0000-00005E170000}"/>
    <cellStyle name="Accent5 - 60% 7" xfId="5983" xr:uid="{00000000-0005-0000-0000-00005F170000}"/>
    <cellStyle name="Accent5 - 60% 7 2" xfId="5984" xr:uid="{00000000-0005-0000-0000-000060170000}"/>
    <cellStyle name="Accent5 - 60% 8" xfId="5985" xr:uid="{00000000-0005-0000-0000-000061170000}"/>
    <cellStyle name="Accent5 - 60% 8 2" xfId="5986" xr:uid="{00000000-0005-0000-0000-000062170000}"/>
    <cellStyle name="Accent5 - 60% 9" xfId="5987" xr:uid="{00000000-0005-0000-0000-000063170000}"/>
    <cellStyle name="Accent5 10" xfId="5988" xr:uid="{00000000-0005-0000-0000-000064170000}"/>
    <cellStyle name="Accent5 10 2" xfId="5989" xr:uid="{00000000-0005-0000-0000-000065170000}"/>
    <cellStyle name="Accent5 10 2 2" xfId="5990" xr:uid="{00000000-0005-0000-0000-000066170000}"/>
    <cellStyle name="Accent5 10 3" xfId="5991" xr:uid="{00000000-0005-0000-0000-000067170000}"/>
    <cellStyle name="Accent5 100" xfId="5992" xr:uid="{00000000-0005-0000-0000-000068170000}"/>
    <cellStyle name="Accent5 100 2" xfId="5993" xr:uid="{00000000-0005-0000-0000-000069170000}"/>
    <cellStyle name="Accent5 100 2 2" xfId="5994" xr:uid="{00000000-0005-0000-0000-00006A170000}"/>
    <cellStyle name="Accent5 100 3" xfId="5995" xr:uid="{00000000-0005-0000-0000-00006B170000}"/>
    <cellStyle name="Accent5 101" xfId="5996" xr:uid="{00000000-0005-0000-0000-00006C170000}"/>
    <cellStyle name="Accent5 101 2" xfId="5997" xr:uid="{00000000-0005-0000-0000-00006D170000}"/>
    <cellStyle name="Accent5 101 2 2" xfId="5998" xr:uid="{00000000-0005-0000-0000-00006E170000}"/>
    <cellStyle name="Accent5 101 3" xfId="5999" xr:uid="{00000000-0005-0000-0000-00006F170000}"/>
    <cellStyle name="Accent5 102" xfId="6000" xr:uid="{00000000-0005-0000-0000-000070170000}"/>
    <cellStyle name="Accent5 102 2" xfId="6001" xr:uid="{00000000-0005-0000-0000-000071170000}"/>
    <cellStyle name="Accent5 103" xfId="6002" xr:uid="{00000000-0005-0000-0000-000072170000}"/>
    <cellStyle name="Accent5 103 2" xfId="6003" xr:uid="{00000000-0005-0000-0000-000073170000}"/>
    <cellStyle name="Accent5 104" xfId="6004" xr:uid="{00000000-0005-0000-0000-000074170000}"/>
    <cellStyle name="Accent5 104 2" xfId="6005" xr:uid="{00000000-0005-0000-0000-000075170000}"/>
    <cellStyle name="Accent5 104 2 2" xfId="6006" xr:uid="{00000000-0005-0000-0000-000076170000}"/>
    <cellStyle name="Accent5 104 3" xfId="6007" xr:uid="{00000000-0005-0000-0000-000077170000}"/>
    <cellStyle name="Accent5 105" xfId="6008" xr:uid="{00000000-0005-0000-0000-000078170000}"/>
    <cellStyle name="Accent5 105 2" xfId="6009" xr:uid="{00000000-0005-0000-0000-000079170000}"/>
    <cellStyle name="Accent5 105 2 2" xfId="6010" xr:uid="{00000000-0005-0000-0000-00007A170000}"/>
    <cellStyle name="Accent5 105 3" xfId="6011" xr:uid="{00000000-0005-0000-0000-00007B170000}"/>
    <cellStyle name="Accent5 106" xfId="6012" xr:uid="{00000000-0005-0000-0000-00007C170000}"/>
    <cellStyle name="Accent5 106 2" xfId="6013" xr:uid="{00000000-0005-0000-0000-00007D170000}"/>
    <cellStyle name="Accent5 106 2 2" xfId="6014" xr:uid="{00000000-0005-0000-0000-00007E170000}"/>
    <cellStyle name="Accent5 106 3" xfId="6015" xr:uid="{00000000-0005-0000-0000-00007F170000}"/>
    <cellStyle name="Accent5 107" xfId="6016" xr:uid="{00000000-0005-0000-0000-000080170000}"/>
    <cellStyle name="Accent5 107 2" xfId="6017" xr:uid="{00000000-0005-0000-0000-000081170000}"/>
    <cellStyle name="Accent5 107 2 2" xfId="6018" xr:uid="{00000000-0005-0000-0000-000082170000}"/>
    <cellStyle name="Accent5 107 3" xfId="6019" xr:uid="{00000000-0005-0000-0000-000083170000}"/>
    <cellStyle name="Accent5 108" xfId="6020" xr:uid="{00000000-0005-0000-0000-000084170000}"/>
    <cellStyle name="Accent5 108 2" xfId="6021" xr:uid="{00000000-0005-0000-0000-000085170000}"/>
    <cellStyle name="Accent5 108 2 2" xfId="6022" xr:uid="{00000000-0005-0000-0000-000086170000}"/>
    <cellStyle name="Accent5 108 3" xfId="6023" xr:uid="{00000000-0005-0000-0000-000087170000}"/>
    <cellStyle name="Accent5 109" xfId="6024" xr:uid="{00000000-0005-0000-0000-000088170000}"/>
    <cellStyle name="Accent5 109 2" xfId="6025" xr:uid="{00000000-0005-0000-0000-000089170000}"/>
    <cellStyle name="Accent5 109 2 2" xfId="6026" xr:uid="{00000000-0005-0000-0000-00008A170000}"/>
    <cellStyle name="Accent5 109 3" xfId="6027" xr:uid="{00000000-0005-0000-0000-00008B170000}"/>
    <cellStyle name="Accent5 11" xfId="6028" xr:uid="{00000000-0005-0000-0000-00008C170000}"/>
    <cellStyle name="Accent5 11 2" xfId="6029" xr:uid="{00000000-0005-0000-0000-00008D170000}"/>
    <cellStyle name="Accent5 11 2 2" xfId="6030" xr:uid="{00000000-0005-0000-0000-00008E170000}"/>
    <cellStyle name="Accent5 11 3" xfId="6031" xr:uid="{00000000-0005-0000-0000-00008F170000}"/>
    <cellStyle name="Accent5 110" xfId="6032" xr:uid="{00000000-0005-0000-0000-000090170000}"/>
    <cellStyle name="Accent5 110 2" xfId="6033" xr:uid="{00000000-0005-0000-0000-000091170000}"/>
    <cellStyle name="Accent5 110 2 2" xfId="6034" xr:uid="{00000000-0005-0000-0000-000092170000}"/>
    <cellStyle name="Accent5 110 3" xfId="6035" xr:uid="{00000000-0005-0000-0000-000093170000}"/>
    <cellStyle name="Accent5 111" xfId="6036" xr:uid="{00000000-0005-0000-0000-000094170000}"/>
    <cellStyle name="Accent5 111 2" xfId="6037" xr:uid="{00000000-0005-0000-0000-000095170000}"/>
    <cellStyle name="Accent5 111 2 2" xfId="6038" xr:uid="{00000000-0005-0000-0000-000096170000}"/>
    <cellStyle name="Accent5 111 3" xfId="6039" xr:uid="{00000000-0005-0000-0000-000097170000}"/>
    <cellStyle name="Accent5 112" xfId="6040" xr:uid="{00000000-0005-0000-0000-000098170000}"/>
    <cellStyle name="Accent5 112 2" xfId="6041" xr:uid="{00000000-0005-0000-0000-000099170000}"/>
    <cellStyle name="Accent5 112 2 2" xfId="6042" xr:uid="{00000000-0005-0000-0000-00009A170000}"/>
    <cellStyle name="Accent5 112 3" xfId="6043" xr:uid="{00000000-0005-0000-0000-00009B170000}"/>
    <cellStyle name="Accent5 113" xfId="6044" xr:uid="{00000000-0005-0000-0000-00009C170000}"/>
    <cellStyle name="Accent5 113 2" xfId="6045" xr:uid="{00000000-0005-0000-0000-00009D170000}"/>
    <cellStyle name="Accent5 113 2 2" xfId="6046" xr:uid="{00000000-0005-0000-0000-00009E170000}"/>
    <cellStyle name="Accent5 113 3" xfId="6047" xr:uid="{00000000-0005-0000-0000-00009F170000}"/>
    <cellStyle name="Accent5 114" xfId="6048" xr:uid="{00000000-0005-0000-0000-0000A0170000}"/>
    <cellStyle name="Accent5 114 2" xfId="6049" xr:uid="{00000000-0005-0000-0000-0000A1170000}"/>
    <cellStyle name="Accent5 115" xfId="6050" xr:uid="{00000000-0005-0000-0000-0000A2170000}"/>
    <cellStyle name="Accent5 115 2" xfId="6051" xr:uid="{00000000-0005-0000-0000-0000A3170000}"/>
    <cellStyle name="Accent5 116" xfId="6052" xr:uid="{00000000-0005-0000-0000-0000A4170000}"/>
    <cellStyle name="Accent5 116 2" xfId="6053" xr:uid="{00000000-0005-0000-0000-0000A5170000}"/>
    <cellStyle name="Accent5 117" xfId="6054" xr:uid="{00000000-0005-0000-0000-0000A6170000}"/>
    <cellStyle name="Accent5 117 2" xfId="6055" xr:uid="{00000000-0005-0000-0000-0000A7170000}"/>
    <cellStyle name="Accent5 118" xfId="6056" xr:uid="{00000000-0005-0000-0000-0000A8170000}"/>
    <cellStyle name="Accent5 118 2" xfId="6057" xr:uid="{00000000-0005-0000-0000-0000A9170000}"/>
    <cellStyle name="Accent5 119" xfId="6058" xr:uid="{00000000-0005-0000-0000-0000AA170000}"/>
    <cellStyle name="Accent5 119 2" xfId="6059" xr:uid="{00000000-0005-0000-0000-0000AB170000}"/>
    <cellStyle name="Accent5 12" xfId="6060" xr:uid="{00000000-0005-0000-0000-0000AC170000}"/>
    <cellStyle name="Accent5 12 2" xfId="6061" xr:uid="{00000000-0005-0000-0000-0000AD170000}"/>
    <cellStyle name="Accent5 12 2 2" xfId="6062" xr:uid="{00000000-0005-0000-0000-0000AE170000}"/>
    <cellStyle name="Accent5 12 3" xfId="6063" xr:uid="{00000000-0005-0000-0000-0000AF170000}"/>
    <cellStyle name="Accent5 120" xfId="6064" xr:uid="{00000000-0005-0000-0000-0000B0170000}"/>
    <cellStyle name="Accent5 120 2" xfId="6065" xr:uid="{00000000-0005-0000-0000-0000B1170000}"/>
    <cellStyle name="Accent5 121" xfId="6066" xr:uid="{00000000-0005-0000-0000-0000B2170000}"/>
    <cellStyle name="Accent5 121 2" xfId="6067" xr:uid="{00000000-0005-0000-0000-0000B3170000}"/>
    <cellStyle name="Accent5 122" xfId="6068" xr:uid="{00000000-0005-0000-0000-0000B4170000}"/>
    <cellStyle name="Accent5 122 2" xfId="6069" xr:uid="{00000000-0005-0000-0000-0000B5170000}"/>
    <cellStyle name="Accent5 123" xfId="6070" xr:uid="{00000000-0005-0000-0000-0000B6170000}"/>
    <cellStyle name="Accent5 123 2" xfId="6071" xr:uid="{00000000-0005-0000-0000-0000B7170000}"/>
    <cellStyle name="Accent5 124" xfId="6072" xr:uid="{00000000-0005-0000-0000-0000B8170000}"/>
    <cellStyle name="Accent5 124 2" xfId="6073" xr:uid="{00000000-0005-0000-0000-0000B9170000}"/>
    <cellStyle name="Accent5 125" xfId="6074" xr:uid="{00000000-0005-0000-0000-0000BA170000}"/>
    <cellStyle name="Accent5 125 2" xfId="6075" xr:uid="{00000000-0005-0000-0000-0000BB170000}"/>
    <cellStyle name="Accent5 126" xfId="6076" xr:uid="{00000000-0005-0000-0000-0000BC170000}"/>
    <cellStyle name="Accent5 127" xfId="6077" xr:uid="{00000000-0005-0000-0000-0000BD170000}"/>
    <cellStyle name="Accent5 128" xfId="6078" xr:uid="{00000000-0005-0000-0000-0000BE170000}"/>
    <cellStyle name="Accent5 129" xfId="6079" xr:uid="{00000000-0005-0000-0000-0000BF170000}"/>
    <cellStyle name="Accent5 13" xfId="6080" xr:uid="{00000000-0005-0000-0000-0000C0170000}"/>
    <cellStyle name="Accent5 13 2" xfId="6081" xr:uid="{00000000-0005-0000-0000-0000C1170000}"/>
    <cellStyle name="Accent5 13 2 2" xfId="6082" xr:uid="{00000000-0005-0000-0000-0000C2170000}"/>
    <cellStyle name="Accent5 13 3" xfId="6083" xr:uid="{00000000-0005-0000-0000-0000C3170000}"/>
    <cellStyle name="Accent5 130" xfId="6084" xr:uid="{00000000-0005-0000-0000-0000C4170000}"/>
    <cellStyle name="Accent5 131" xfId="6085" xr:uid="{00000000-0005-0000-0000-0000C5170000}"/>
    <cellStyle name="Accent5 132" xfId="6086" xr:uid="{00000000-0005-0000-0000-0000C6170000}"/>
    <cellStyle name="Accent5 133" xfId="6087" xr:uid="{00000000-0005-0000-0000-0000C7170000}"/>
    <cellStyle name="Accent5 134" xfId="6088" xr:uid="{00000000-0005-0000-0000-0000C8170000}"/>
    <cellStyle name="Accent5 135" xfId="6089" xr:uid="{00000000-0005-0000-0000-0000C9170000}"/>
    <cellStyle name="Accent5 136" xfId="6090" xr:uid="{00000000-0005-0000-0000-0000CA170000}"/>
    <cellStyle name="Accent5 137" xfId="6091" xr:uid="{00000000-0005-0000-0000-0000CB170000}"/>
    <cellStyle name="Accent5 138" xfId="6092" xr:uid="{00000000-0005-0000-0000-0000CC170000}"/>
    <cellStyle name="Accent5 139" xfId="6093" xr:uid="{00000000-0005-0000-0000-0000CD170000}"/>
    <cellStyle name="Accent5 14" xfId="6094" xr:uid="{00000000-0005-0000-0000-0000CE170000}"/>
    <cellStyle name="Accent5 14 2" xfId="6095" xr:uid="{00000000-0005-0000-0000-0000CF170000}"/>
    <cellStyle name="Accent5 14 2 2" xfId="6096" xr:uid="{00000000-0005-0000-0000-0000D0170000}"/>
    <cellStyle name="Accent5 14 3" xfId="6097" xr:uid="{00000000-0005-0000-0000-0000D1170000}"/>
    <cellStyle name="Accent5 140" xfId="6098" xr:uid="{00000000-0005-0000-0000-0000D2170000}"/>
    <cellStyle name="Accent5 141" xfId="6099" xr:uid="{00000000-0005-0000-0000-0000D3170000}"/>
    <cellStyle name="Accent5 142" xfId="6100" xr:uid="{00000000-0005-0000-0000-0000D4170000}"/>
    <cellStyle name="Accent5 143" xfId="6101" xr:uid="{00000000-0005-0000-0000-0000D5170000}"/>
    <cellStyle name="Accent5 144" xfId="6102" xr:uid="{00000000-0005-0000-0000-0000D6170000}"/>
    <cellStyle name="Accent5 145" xfId="6103" xr:uid="{00000000-0005-0000-0000-0000D7170000}"/>
    <cellStyle name="Accent5 146" xfId="6104" xr:uid="{00000000-0005-0000-0000-0000D8170000}"/>
    <cellStyle name="Accent5 147" xfId="6105" xr:uid="{00000000-0005-0000-0000-0000D9170000}"/>
    <cellStyle name="Accent5 148" xfId="6106" xr:uid="{00000000-0005-0000-0000-0000DA170000}"/>
    <cellStyle name="Accent5 149" xfId="6107" xr:uid="{00000000-0005-0000-0000-0000DB170000}"/>
    <cellStyle name="Accent5 15" xfId="6108" xr:uid="{00000000-0005-0000-0000-0000DC170000}"/>
    <cellStyle name="Accent5 15 2" xfId="6109" xr:uid="{00000000-0005-0000-0000-0000DD170000}"/>
    <cellStyle name="Accent5 15 2 2" xfId="6110" xr:uid="{00000000-0005-0000-0000-0000DE170000}"/>
    <cellStyle name="Accent5 15 3" xfId="6111" xr:uid="{00000000-0005-0000-0000-0000DF170000}"/>
    <cellStyle name="Accent5 150" xfId="6112" xr:uid="{00000000-0005-0000-0000-0000E0170000}"/>
    <cellStyle name="Accent5 151" xfId="6113" xr:uid="{00000000-0005-0000-0000-0000E1170000}"/>
    <cellStyle name="Accent5 152" xfId="6114" xr:uid="{00000000-0005-0000-0000-0000E2170000}"/>
    <cellStyle name="Accent5 153" xfId="6115" xr:uid="{00000000-0005-0000-0000-0000E3170000}"/>
    <cellStyle name="Accent5 154" xfId="6116" xr:uid="{00000000-0005-0000-0000-0000E4170000}"/>
    <cellStyle name="Accent5 155" xfId="6117" xr:uid="{00000000-0005-0000-0000-0000E5170000}"/>
    <cellStyle name="Accent5 156" xfId="6118" xr:uid="{00000000-0005-0000-0000-0000E6170000}"/>
    <cellStyle name="Accent5 157" xfId="6119" xr:uid="{00000000-0005-0000-0000-0000E7170000}"/>
    <cellStyle name="Accent5 158" xfId="6120" xr:uid="{00000000-0005-0000-0000-0000E8170000}"/>
    <cellStyle name="Accent5 159" xfId="6121" xr:uid="{00000000-0005-0000-0000-0000E9170000}"/>
    <cellStyle name="Accent5 16" xfId="6122" xr:uid="{00000000-0005-0000-0000-0000EA170000}"/>
    <cellStyle name="Accent5 16 2" xfId="6123" xr:uid="{00000000-0005-0000-0000-0000EB170000}"/>
    <cellStyle name="Accent5 16 2 2" xfId="6124" xr:uid="{00000000-0005-0000-0000-0000EC170000}"/>
    <cellStyle name="Accent5 16 3" xfId="6125" xr:uid="{00000000-0005-0000-0000-0000ED170000}"/>
    <cellStyle name="Accent5 160" xfId="6126" xr:uid="{00000000-0005-0000-0000-0000EE170000}"/>
    <cellStyle name="Accent5 161" xfId="6127" xr:uid="{00000000-0005-0000-0000-0000EF170000}"/>
    <cellStyle name="Accent5 162" xfId="6128" xr:uid="{00000000-0005-0000-0000-0000F0170000}"/>
    <cellStyle name="Accent5 163" xfId="6129" xr:uid="{00000000-0005-0000-0000-0000F1170000}"/>
    <cellStyle name="Accent5 164" xfId="6130" xr:uid="{00000000-0005-0000-0000-0000F2170000}"/>
    <cellStyle name="Accent5 165" xfId="6131" xr:uid="{00000000-0005-0000-0000-0000F3170000}"/>
    <cellStyle name="Accent5 166" xfId="6132" xr:uid="{00000000-0005-0000-0000-0000F4170000}"/>
    <cellStyle name="Accent5 167" xfId="6133" xr:uid="{00000000-0005-0000-0000-0000F5170000}"/>
    <cellStyle name="Accent5 168" xfId="6134" xr:uid="{00000000-0005-0000-0000-0000F6170000}"/>
    <cellStyle name="Accent5 169" xfId="6135" xr:uid="{00000000-0005-0000-0000-0000F7170000}"/>
    <cellStyle name="Accent5 17" xfId="6136" xr:uid="{00000000-0005-0000-0000-0000F8170000}"/>
    <cellStyle name="Accent5 17 2" xfId="6137" xr:uid="{00000000-0005-0000-0000-0000F9170000}"/>
    <cellStyle name="Accent5 17 2 2" xfId="6138" xr:uid="{00000000-0005-0000-0000-0000FA170000}"/>
    <cellStyle name="Accent5 17 3" xfId="6139" xr:uid="{00000000-0005-0000-0000-0000FB170000}"/>
    <cellStyle name="Accent5 170" xfId="6140" xr:uid="{00000000-0005-0000-0000-0000FC170000}"/>
    <cellStyle name="Accent5 171" xfId="6141" xr:uid="{00000000-0005-0000-0000-0000FD170000}"/>
    <cellStyle name="Accent5 172" xfId="6142" xr:uid="{00000000-0005-0000-0000-0000FE170000}"/>
    <cellStyle name="Accent5 173" xfId="6143" xr:uid="{00000000-0005-0000-0000-0000FF170000}"/>
    <cellStyle name="Accent5 174" xfId="6144" xr:uid="{00000000-0005-0000-0000-000000180000}"/>
    <cellStyle name="Accent5 175" xfId="6145" xr:uid="{00000000-0005-0000-0000-000001180000}"/>
    <cellStyle name="Accent5 176" xfId="6146" xr:uid="{00000000-0005-0000-0000-000002180000}"/>
    <cellStyle name="Accent5 177" xfId="6147" xr:uid="{00000000-0005-0000-0000-000003180000}"/>
    <cellStyle name="Accent5 178" xfId="6148" xr:uid="{00000000-0005-0000-0000-000004180000}"/>
    <cellStyle name="Accent5 179" xfId="6149" xr:uid="{00000000-0005-0000-0000-000005180000}"/>
    <cellStyle name="Accent5 18" xfId="6150" xr:uid="{00000000-0005-0000-0000-000006180000}"/>
    <cellStyle name="Accent5 18 2" xfId="6151" xr:uid="{00000000-0005-0000-0000-000007180000}"/>
    <cellStyle name="Accent5 18 2 2" xfId="6152" xr:uid="{00000000-0005-0000-0000-000008180000}"/>
    <cellStyle name="Accent5 18 3" xfId="6153" xr:uid="{00000000-0005-0000-0000-000009180000}"/>
    <cellStyle name="Accent5 19" xfId="6154" xr:uid="{00000000-0005-0000-0000-00000A180000}"/>
    <cellStyle name="Accent5 19 2" xfId="6155" xr:uid="{00000000-0005-0000-0000-00000B180000}"/>
    <cellStyle name="Accent5 19 2 2" xfId="6156" xr:uid="{00000000-0005-0000-0000-00000C180000}"/>
    <cellStyle name="Accent5 19 3" xfId="6157" xr:uid="{00000000-0005-0000-0000-00000D180000}"/>
    <cellStyle name="Accent5 2" xfId="6158" xr:uid="{00000000-0005-0000-0000-00000E180000}"/>
    <cellStyle name="Accent5 2 10" xfId="6159" xr:uid="{00000000-0005-0000-0000-00000F180000}"/>
    <cellStyle name="Accent5 2 10 2" xfId="6160" xr:uid="{00000000-0005-0000-0000-000010180000}"/>
    <cellStyle name="Accent5 2 11" xfId="6161" xr:uid="{00000000-0005-0000-0000-000011180000}"/>
    <cellStyle name="Accent5 2 12" xfId="6162" xr:uid="{00000000-0005-0000-0000-000012180000}"/>
    <cellStyle name="Accent5 2 2" xfId="6163" xr:uid="{00000000-0005-0000-0000-000013180000}"/>
    <cellStyle name="Accent5 2 2 2" xfId="6164" xr:uid="{00000000-0005-0000-0000-000014180000}"/>
    <cellStyle name="Accent5 2 2 2 2" xfId="6165" xr:uid="{00000000-0005-0000-0000-000015180000}"/>
    <cellStyle name="Accent5 2 2 3" xfId="6166" xr:uid="{00000000-0005-0000-0000-000016180000}"/>
    <cellStyle name="Accent5 2 2 3 2" xfId="6167" xr:uid="{00000000-0005-0000-0000-000017180000}"/>
    <cellStyle name="Accent5 2 2 3 2 2" xfId="6168" xr:uid="{00000000-0005-0000-0000-000018180000}"/>
    <cellStyle name="Accent5 2 2 3 3" xfId="6169" xr:uid="{00000000-0005-0000-0000-000019180000}"/>
    <cellStyle name="Accent5 2 2 4" xfId="6170" xr:uid="{00000000-0005-0000-0000-00001A180000}"/>
    <cellStyle name="Accent5 2 2 4 2" xfId="6171" xr:uid="{00000000-0005-0000-0000-00001B180000}"/>
    <cellStyle name="Accent5 2 2 5" xfId="6172" xr:uid="{00000000-0005-0000-0000-00001C180000}"/>
    <cellStyle name="Accent5 2 3" xfId="6173" xr:uid="{00000000-0005-0000-0000-00001D180000}"/>
    <cellStyle name="Accent5 2 3 2" xfId="6174" xr:uid="{00000000-0005-0000-0000-00001E180000}"/>
    <cellStyle name="Accent5 2 3 2 2" xfId="6175" xr:uid="{00000000-0005-0000-0000-00001F180000}"/>
    <cellStyle name="Accent5 2 3 3" xfId="6176" xr:uid="{00000000-0005-0000-0000-000020180000}"/>
    <cellStyle name="Accent5 2 3 3 2" xfId="6177" xr:uid="{00000000-0005-0000-0000-000021180000}"/>
    <cellStyle name="Accent5 2 3 3 2 2" xfId="6178" xr:uid="{00000000-0005-0000-0000-000022180000}"/>
    <cellStyle name="Accent5 2 3 3 3" xfId="6179" xr:uid="{00000000-0005-0000-0000-000023180000}"/>
    <cellStyle name="Accent5 2 3 4" xfId="6180" xr:uid="{00000000-0005-0000-0000-000024180000}"/>
    <cellStyle name="Accent5 2 4" xfId="6181" xr:uid="{00000000-0005-0000-0000-000025180000}"/>
    <cellStyle name="Accent5 2 4 2" xfId="6182" xr:uid="{00000000-0005-0000-0000-000026180000}"/>
    <cellStyle name="Accent5 2 4 2 2" xfId="6183" xr:uid="{00000000-0005-0000-0000-000027180000}"/>
    <cellStyle name="Accent5 2 4 3" xfId="6184" xr:uid="{00000000-0005-0000-0000-000028180000}"/>
    <cellStyle name="Accent5 2 5" xfId="6185" xr:uid="{00000000-0005-0000-0000-000029180000}"/>
    <cellStyle name="Accent5 2 5 2" xfId="6186" xr:uid="{00000000-0005-0000-0000-00002A180000}"/>
    <cellStyle name="Accent5 2 5 2 2" xfId="6187" xr:uid="{00000000-0005-0000-0000-00002B180000}"/>
    <cellStyle name="Accent5 2 5 3" xfId="6188" xr:uid="{00000000-0005-0000-0000-00002C180000}"/>
    <cellStyle name="Accent5 2 5 3 2" xfId="6189" xr:uid="{00000000-0005-0000-0000-00002D180000}"/>
    <cellStyle name="Accent5 2 5 3 2 2" xfId="6190" xr:uid="{00000000-0005-0000-0000-00002E180000}"/>
    <cellStyle name="Accent5 2 5 3 3" xfId="6191" xr:uid="{00000000-0005-0000-0000-00002F180000}"/>
    <cellStyle name="Accent5 2 5 4" xfId="6192" xr:uid="{00000000-0005-0000-0000-000030180000}"/>
    <cellStyle name="Accent5 2 6" xfId="6193" xr:uid="{00000000-0005-0000-0000-000031180000}"/>
    <cellStyle name="Accent5 2 6 2" xfId="6194" xr:uid="{00000000-0005-0000-0000-000032180000}"/>
    <cellStyle name="Accent5 2 6 2 2" xfId="6195" xr:uid="{00000000-0005-0000-0000-000033180000}"/>
    <cellStyle name="Accent5 2 6 3" xfId="6196" xr:uid="{00000000-0005-0000-0000-000034180000}"/>
    <cellStyle name="Accent5 2 6 3 2" xfId="6197" xr:uid="{00000000-0005-0000-0000-000035180000}"/>
    <cellStyle name="Accent5 2 6 4" xfId="6198" xr:uid="{00000000-0005-0000-0000-000036180000}"/>
    <cellStyle name="Accent5 2 7" xfId="6199" xr:uid="{00000000-0005-0000-0000-000037180000}"/>
    <cellStyle name="Accent5 2 7 2" xfId="6200" xr:uid="{00000000-0005-0000-0000-000038180000}"/>
    <cellStyle name="Accent5 2 8" xfId="6201" xr:uid="{00000000-0005-0000-0000-000039180000}"/>
    <cellStyle name="Accent5 2 8 2" xfId="6202" xr:uid="{00000000-0005-0000-0000-00003A180000}"/>
    <cellStyle name="Accent5 2 8 2 2" xfId="6203" xr:uid="{00000000-0005-0000-0000-00003B180000}"/>
    <cellStyle name="Accent5 2 8 3" xfId="6204" xr:uid="{00000000-0005-0000-0000-00003C180000}"/>
    <cellStyle name="Accent5 2 9" xfId="6205" xr:uid="{00000000-0005-0000-0000-00003D180000}"/>
    <cellStyle name="Accent5 2 9 2" xfId="6206" xr:uid="{00000000-0005-0000-0000-00003E180000}"/>
    <cellStyle name="Accent5 2 9 2 2" xfId="6207" xr:uid="{00000000-0005-0000-0000-00003F180000}"/>
    <cellStyle name="Accent5 2 9 3" xfId="6208" xr:uid="{00000000-0005-0000-0000-000040180000}"/>
    <cellStyle name="Accent5 20" xfId="6209" xr:uid="{00000000-0005-0000-0000-000041180000}"/>
    <cellStyle name="Accent5 20 2" xfId="6210" xr:uid="{00000000-0005-0000-0000-000042180000}"/>
    <cellStyle name="Accent5 20 2 2" xfId="6211" xr:uid="{00000000-0005-0000-0000-000043180000}"/>
    <cellStyle name="Accent5 20 3" xfId="6212" xr:uid="{00000000-0005-0000-0000-000044180000}"/>
    <cellStyle name="Accent5 21" xfId="6213" xr:uid="{00000000-0005-0000-0000-000045180000}"/>
    <cellStyle name="Accent5 21 2" xfId="6214" xr:uid="{00000000-0005-0000-0000-000046180000}"/>
    <cellStyle name="Accent5 21 2 2" xfId="6215" xr:uid="{00000000-0005-0000-0000-000047180000}"/>
    <cellStyle name="Accent5 21 3" xfId="6216" xr:uid="{00000000-0005-0000-0000-000048180000}"/>
    <cellStyle name="Accent5 22" xfId="6217" xr:uid="{00000000-0005-0000-0000-000049180000}"/>
    <cellStyle name="Accent5 22 2" xfId="6218" xr:uid="{00000000-0005-0000-0000-00004A180000}"/>
    <cellStyle name="Accent5 22 2 2" xfId="6219" xr:uid="{00000000-0005-0000-0000-00004B180000}"/>
    <cellStyle name="Accent5 22 3" xfId="6220" xr:uid="{00000000-0005-0000-0000-00004C180000}"/>
    <cellStyle name="Accent5 23" xfId="6221" xr:uid="{00000000-0005-0000-0000-00004D180000}"/>
    <cellStyle name="Accent5 23 2" xfId="6222" xr:uid="{00000000-0005-0000-0000-00004E180000}"/>
    <cellStyle name="Accent5 23 2 2" xfId="6223" xr:uid="{00000000-0005-0000-0000-00004F180000}"/>
    <cellStyle name="Accent5 23 3" xfId="6224" xr:uid="{00000000-0005-0000-0000-000050180000}"/>
    <cellStyle name="Accent5 24" xfId="6225" xr:uid="{00000000-0005-0000-0000-000051180000}"/>
    <cellStyle name="Accent5 24 2" xfId="6226" xr:uid="{00000000-0005-0000-0000-000052180000}"/>
    <cellStyle name="Accent5 24 2 2" xfId="6227" xr:uid="{00000000-0005-0000-0000-000053180000}"/>
    <cellStyle name="Accent5 24 3" xfId="6228" xr:uid="{00000000-0005-0000-0000-000054180000}"/>
    <cellStyle name="Accent5 25" xfId="6229" xr:uid="{00000000-0005-0000-0000-000055180000}"/>
    <cellStyle name="Accent5 25 2" xfId="6230" xr:uid="{00000000-0005-0000-0000-000056180000}"/>
    <cellStyle name="Accent5 25 2 2" xfId="6231" xr:uid="{00000000-0005-0000-0000-000057180000}"/>
    <cellStyle name="Accent5 25 3" xfId="6232" xr:uid="{00000000-0005-0000-0000-000058180000}"/>
    <cellStyle name="Accent5 26" xfId="6233" xr:uid="{00000000-0005-0000-0000-000059180000}"/>
    <cellStyle name="Accent5 26 2" xfId="6234" xr:uid="{00000000-0005-0000-0000-00005A180000}"/>
    <cellStyle name="Accent5 26 2 2" xfId="6235" xr:uid="{00000000-0005-0000-0000-00005B180000}"/>
    <cellStyle name="Accent5 26 3" xfId="6236" xr:uid="{00000000-0005-0000-0000-00005C180000}"/>
    <cellStyle name="Accent5 27" xfId="6237" xr:uid="{00000000-0005-0000-0000-00005D180000}"/>
    <cellStyle name="Accent5 27 2" xfId="6238" xr:uid="{00000000-0005-0000-0000-00005E180000}"/>
    <cellStyle name="Accent5 27 2 2" xfId="6239" xr:uid="{00000000-0005-0000-0000-00005F180000}"/>
    <cellStyle name="Accent5 27 3" xfId="6240" xr:uid="{00000000-0005-0000-0000-000060180000}"/>
    <cellStyle name="Accent5 28" xfId="6241" xr:uid="{00000000-0005-0000-0000-000061180000}"/>
    <cellStyle name="Accent5 28 2" xfId="6242" xr:uid="{00000000-0005-0000-0000-000062180000}"/>
    <cellStyle name="Accent5 28 2 2" xfId="6243" xr:uid="{00000000-0005-0000-0000-000063180000}"/>
    <cellStyle name="Accent5 28 3" xfId="6244" xr:uid="{00000000-0005-0000-0000-000064180000}"/>
    <cellStyle name="Accent5 29" xfId="6245" xr:uid="{00000000-0005-0000-0000-000065180000}"/>
    <cellStyle name="Accent5 29 2" xfId="6246" xr:uid="{00000000-0005-0000-0000-000066180000}"/>
    <cellStyle name="Accent5 29 2 2" xfId="6247" xr:uid="{00000000-0005-0000-0000-000067180000}"/>
    <cellStyle name="Accent5 29 3" xfId="6248" xr:uid="{00000000-0005-0000-0000-000068180000}"/>
    <cellStyle name="Accent5 3" xfId="6249" xr:uid="{00000000-0005-0000-0000-000069180000}"/>
    <cellStyle name="Accent5 3 10" xfId="6250" xr:uid="{00000000-0005-0000-0000-00006A180000}"/>
    <cellStyle name="Accent5 3 10 2" xfId="6251" xr:uid="{00000000-0005-0000-0000-00006B180000}"/>
    <cellStyle name="Accent5 3 10 2 2" xfId="6252" xr:uid="{00000000-0005-0000-0000-00006C180000}"/>
    <cellStyle name="Accent5 3 10 3" xfId="6253" xr:uid="{00000000-0005-0000-0000-00006D180000}"/>
    <cellStyle name="Accent5 3 11" xfId="6254" xr:uid="{00000000-0005-0000-0000-00006E180000}"/>
    <cellStyle name="Accent5 3 11 2" xfId="6255" xr:uid="{00000000-0005-0000-0000-00006F180000}"/>
    <cellStyle name="Accent5 3 12" xfId="6256" xr:uid="{00000000-0005-0000-0000-000070180000}"/>
    <cellStyle name="Accent5 3 2" xfId="6257" xr:uid="{00000000-0005-0000-0000-000071180000}"/>
    <cellStyle name="Accent5 3 2 2" xfId="6258" xr:uid="{00000000-0005-0000-0000-000072180000}"/>
    <cellStyle name="Accent5 3 2 2 2" xfId="6259" xr:uid="{00000000-0005-0000-0000-000073180000}"/>
    <cellStyle name="Accent5 3 2 3" xfId="6260" xr:uid="{00000000-0005-0000-0000-000074180000}"/>
    <cellStyle name="Accent5 3 2 3 2" xfId="6261" xr:uid="{00000000-0005-0000-0000-000075180000}"/>
    <cellStyle name="Accent5 3 2 3 2 2" xfId="6262" xr:uid="{00000000-0005-0000-0000-000076180000}"/>
    <cellStyle name="Accent5 3 2 3 3" xfId="6263" xr:uid="{00000000-0005-0000-0000-000077180000}"/>
    <cellStyle name="Accent5 3 2 4" xfId="6264" xr:uid="{00000000-0005-0000-0000-000078180000}"/>
    <cellStyle name="Accent5 3 3" xfId="6265" xr:uid="{00000000-0005-0000-0000-000079180000}"/>
    <cellStyle name="Accent5 3 3 2" xfId="6266" xr:uid="{00000000-0005-0000-0000-00007A180000}"/>
    <cellStyle name="Accent5 3 3 2 2" xfId="6267" xr:uid="{00000000-0005-0000-0000-00007B180000}"/>
    <cellStyle name="Accent5 3 3 3" xfId="6268" xr:uid="{00000000-0005-0000-0000-00007C180000}"/>
    <cellStyle name="Accent5 3 3 3 2" xfId="6269" xr:uid="{00000000-0005-0000-0000-00007D180000}"/>
    <cellStyle name="Accent5 3 3 3 2 2" xfId="6270" xr:uid="{00000000-0005-0000-0000-00007E180000}"/>
    <cellStyle name="Accent5 3 3 3 3" xfId="6271" xr:uid="{00000000-0005-0000-0000-00007F180000}"/>
    <cellStyle name="Accent5 3 3 4" xfId="6272" xr:uid="{00000000-0005-0000-0000-000080180000}"/>
    <cellStyle name="Accent5 3 4" xfId="6273" xr:uid="{00000000-0005-0000-0000-000081180000}"/>
    <cellStyle name="Accent5 3 4 2" xfId="6274" xr:uid="{00000000-0005-0000-0000-000082180000}"/>
    <cellStyle name="Accent5 3 4 2 2" xfId="6275" xr:uid="{00000000-0005-0000-0000-000083180000}"/>
    <cellStyle name="Accent5 3 4 3" xfId="6276" xr:uid="{00000000-0005-0000-0000-000084180000}"/>
    <cellStyle name="Accent5 3 5" xfId="6277" xr:uid="{00000000-0005-0000-0000-000085180000}"/>
    <cellStyle name="Accent5 3 5 2" xfId="6278" xr:uid="{00000000-0005-0000-0000-000086180000}"/>
    <cellStyle name="Accent5 3 5 2 2" xfId="6279" xr:uid="{00000000-0005-0000-0000-000087180000}"/>
    <cellStyle name="Accent5 3 5 3" xfId="6280" xr:uid="{00000000-0005-0000-0000-000088180000}"/>
    <cellStyle name="Accent5 3 5 3 2" xfId="6281" xr:uid="{00000000-0005-0000-0000-000089180000}"/>
    <cellStyle name="Accent5 3 5 3 2 2" xfId="6282" xr:uid="{00000000-0005-0000-0000-00008A180000}"/>
    <cellStyle name="Accent5 3 5 3 3" xfId="6283" xr:uid="{00000000-0005-0000-0000-00008B180000}"/>
    <cellStyle name="Accent5 3 5 4" xfId="6284" xr:uid="{00000000-0005-0000-0000-00008C180000}"/>
    <cellStyle name="Accent5 3 6" xfId="6285" xr:uid="{00000000-0005-0000-0000-00008D180000}"/>
    <cellStyle name="Accent5 3 6 2" xfId="6286" xr:uid="{00000000-0005-0000-0000-00008E180000}"/>
    <cellStyle name="Accent5 3 7" xfId="6287" xr:uid="{00000000-0005-0000-0000-00008F180000}"/>
    <cellStyle name="Accent5 3 7 2" xfId="6288" xr:uid="{00000000-0005-0000-0000-000090180000}"/>
    <cellStyle name="Accent5 3 8" xfId="6289" xr:uid="{00000000-0005-0000-0000-000091180000}"/>
    <cellStyle name="Accent5 3 8 2" xfId="6290" xr:uid="{00000000-0005-0000-0000-000092180000}"/>
    <cellStyle name="Accent5 3 8 2 2" xfId="6291" xr:uid="{00000000-0005-0000-0000-000093180000}"/>
    <cellStyle name="Accent5 3 8 3" xfId="6292" xr:uid="{00000000-0005-0000-0000-000094180000}"/>
    <cellStyle name="Accent5 3 9" xfId="6293" xr:uid="{00000000-0005-0000-0000-000095180000}"/>
    <cellStyle name="Accent5 3 9 2" xfId="6294" xr:uid="{00000000-0005-0000-0000-000096180000}"/>
    <cellStyle name="Accent5 3 9 2 2" xfId="6295" xr:uid="{00000000-0005-0000-0000-000097180000}"/>
    <cellStyle name="Accent5 3 9 3" xfId="6296" xr:uid="{00000000-0005-0000-0000-000098180000}"/>
    <cellStyle name="Accent5 30" xfId="6297" xr:uid="{00000000-0005-0000-0000-000099180000}"/>
    <cellStyle name="Accent5 30 2" xfId="6298" xr:uid="{00000000-0005-0000-0000-00009A180000}"/>
    <cellStyle name="Accent5 30 2 2" xfId="6299" xr:uid="{00000000-0005-0000-0000-00009B180000}"/>
    <cellStyle name="Accent5 30 3" xfId="6300" xr:uid="{00000000-0005-0000-0000-00009C180000}"/>
    <cellStyle name="Accent5 31" xfId="6301" xr:uid="{00000000-0005-0000-0000-00009D180000}"/>
    <cellStyle name="Accent5 31 2" xfId="6302" xr:uid="{00000000-0005-0000-0000-00009E180000}"/>
    <cellStyle name="Accent5 31 2 2" xfId="6303" xr:uid="{00000000-0005-0000-0000-00009F180000}"/>
    <cellStyle name="Accent5 31 3" xfId="6304" xr:uid="{00000000-0005-0000-0000-0000A0180000}"/>
    <cellStyle name="Accent5 32" xfId="6305" xr:uid="{00000000-0005-0000-0000-0000A1180000}"/>
    <cellStyle name="Accent5 32 2" xfId="6306" xr:uid="{00000000-0005-0000-0000-0000A2180000}"/>
    <cellStyle name="Accent5 32 2 2" xfId="6307" xr:uid="{00000000-0005-0000-0000-0000A3180000}"/>
    <cellStyle name="Accent5 32 3" xfId="6308" xr:uid="{00000000-0005-0000-0000-0000A4180000}"/>
    <cellStyle name="Accent5 33" xfId="6309" xr:uid="{00000000-0005-0000-0000-0000A5180000}"/>
    <cellStyle name="Accent5 33 2" xfId="6310" xr:uid="{00000000-0005-0000-0000-0000A6180000}"/>
    <cellStyle name="Accent5 33 2 2" xfId="6311" xr:uid="{00000000-0005-0000-0000-0000A7180000}"/>
    <cellStyle name="Accent5 33 3" xfId="6312" xr:uid="{00000000-0005-0000-0000-0000A8180000}"/>
    <cellStyle name="Accent5 34" xfId="6313" xr:uid="{00000000-0005-0000-0000-0000A9180000}"/>
    <cellStyle name="Accent5 34 2" xfId="6314" xr:uid="{00000000-0005-0000-0000-0000AA180000}"/>
    <cellStyle name="Accent5 34 2 2" xfId="6315" xr:uid="{00000000-0005-0000-0000-0000AB180000}"/>
    <cellStyle name="Accent5 34 3" xfId="6316" xr:uid="{00000000-0005-0000-0000-0000AC180000}"/>
    <cellStyle name="Accent5 35" xfId="6317" xr:uid="{00000000-0005-0000-0000-0000AD180000}"/>
    <cellStyle name="Accent5 35 2" xfId="6318" xr:uid="{00000000-0005-0000-0000-0000AE180000}"/>
    <cellStyle name="Accent5 35 2 2" xfId="6319" xr:uid="{00000000-0005-0000-0000-0000AF180000}"/>
    <cellStyle name="Accent5 35 3" xfId="6320" xr:uid="{00000000-0005-0000-0000-0000B0180000}"/>
    <cellStyle name="Accent5 36" xfId="6321" xr:uid="{00000000-0005-0000-0000-0000B1180000}"/>
    <cellStyle name="Accent5 36 2" xfId="6322" xr:uid="{00000000-0005-0000-0000-0000B2180000}"/>
    <cellStyle name="Accent5 36 2 2" xfId="6323" xr:uid="{00000000-0005-0000-0000-0000B3180000}"/>
    <cellStyle name="Accent5 36 3" xfId="6324" xr:uid="{00000000-0005-0000-0000-0000B4180000}"/>
    <cellStyle name="Accent5 37" xfId="6325" xr:uid="{00000000-0005-0000-0000-0000B5180000}"/>
    <cellStyle name="Accent5 37 2" xfId="6326" xr:uid="{00000000-0005-0000-0000-0000B6180000}"/>
    <cellStyle name="Accent5 37 2 2" xfId="6327" xr:uid="{00000000-0005-0000-0000-0000B7180000}"/>
    <cellStyle name="Accent5 37 3" xfId="6328" xr:uid="{00000000-0005-0000-0000-0000B8180000}"/>
    <cellStyle name="Accent5 38" xfId="6329" xr:uid="{00000000-0005-0000-0000-0000B9180000}"/>
    <cellStyle name="Accent5 38 2" xfId="6330" xr:uid="{00000000-0005-0000-0000-0000BA180000}"/>
    <cellStyle name="Accent5 38 2 2" xfId="6331" xr:uid="{00000000-0005-0000-0000-0000BB180000}"/>
    <cellStyle name="Accent5 38 3" xfId="6332" xr:uid="{00000000-0005-0000-0000-0000BC180000}"/>
    <cellStyle name="Accent5 39" xfId="6333" xr:uid="{00000000-0005-0000-0000-0000BD180000}"/>
    <cellStyle name="Accent5 39 2" xfId="6334" xr:uid="{00000000-0005-0000-0000-0000BE180000}"/>
    <cellStyle name="Accent5 39 2 2" xfId="6335" xr:uid="{00000000-0005-0000-0000-0000BF180000}"/>
    <cellStyle name="Accent5 39 3" xfId="6336" xr:uid="{00000000-0005-0000-0000-0000C0180000}"/>
    <cellStyle name="Accent5 4" xfId="6337" xr:uid="{00000000-0005-0000-0000-0000C1180000}"/>
    <cellStyle name="Accent5 4 2" xfId="6338" xr:uid="{00000000-0005-0000-0000-0000C2180000}"/>
    <cellStyle name="Accent5 4 2 2" xfId="6339" xr:uid="{00000000-0005-0000-0000-0000C3180000}"/>
    <cellStyle name="Accent5 4 2 2 2" xfId="6340" xr:uid="{00000000-0005-0000-0000-0000C4180000}"/>
    <cellStyle name="Accent5 4 2 3" xfId="6341" xr:uid="{00000000-0005-0000-0000-0000C5180000}"/>
    <cellStyle name="Accent5 4 2 3 2" xfId="6342" xr:uid="{00000000-0005-0000-0000-0000C6180000}"/>
    <cellStyle name="Accent5 4 2 3 2 2" xfId="6343" xr:uid="{00000000-0005-0000-0000-0000C7180000}"/>
    <cellStyle name="Accent5 4 2 3 3" xfId="6344" xr:uid="{00000000-0005-0000-0000-0000C8180000}"/>
    <cellStyle name="Accent5 4 2 4" xfId="6345" xr:uid="{00000000-0005-0000-0000-0000C9180000}"/>
    <cellStyle name="Accent5 4 3" xfId="6346" xr:uid="{00000000-0005-0000-0000-0000CA180000}"/>
    <cellStyle name="Accent5 4 3 2" xfId="6347" xr:uid="{00000000-0005-0000-0000-0000CB180000}"/>
    <cellStyle name="Accent5 4 3 2 2" xfId="6348" xr:uid="{00000000-0005-0000-0000-0000CC180000}"/>
    <cellStyle name="Accent5 4 3 3" xfId="6349" xr:uid="{00000000-0005-0000-0000-0000CD180000}"/>
    <cellStyle name="Accent5 4 3 3 2" xfId="6350" xr:uid="{00000000-0005-0000-0000-0000CE180000}"/>
    <cellStyle name="Accent5 4 3 3 2 2" xfId="6351" xr:uid="{00000000-0005-0000-0000-0000CF180000}"/>
    <cellStyle name="Accent5 4 3 3 3" xfId="6352" xr:uid="{00000000-0005-0000-0000-0000D0180000}"/>
    <cellStyle name="Accent5 4 3 4" xfId="6353" xr:uid="{00000000-0005-0000-0000-0000D1180000}"/>
    <cellStyle name="Accent5 4 4" xfId="6354" xr:uid="{00000000-0005-0000-0000-0000D2180000}"/>
    <cellStyle name="Accent5 4 4 2" xfId="6355" xr:uid="{00000000-0005-0000-0000-0000D3180000}"/>
    <cellStyle name="Accent5 4 4 2 2" xfId="6356" xr:uid="{00000000-0005-0000-0000-0000D4180000}"/>
    <cellStyle name="Accent5 4 4 3" xfId="6357" xr:uid="{00000000-0005-0000-0000-0000D5180000}"/>
    <cellStyle name="Accent5 4 5" xfId="6358" xr:uid="{00000000-0005-0000-0000-0000D6180000}"/>
    <cellStyle name="Accent5 4 5 2" xfId="6359" xr:uid="{00000000-0005-0000-0000-0000D7180000}"/>
    <cellStyle name="Accent5 4 6" xfId="6360" xr:uid="{00000000-0005-0000-0000-0000D8180000}"/>
    <cellStyle name="Accent5 4 6 2" xfId="6361" xr:uid="{00000000-0005-0000-0000-0000D9180000}"/>
    <cellStyle name="Accent5 4 6 2 2" xfId="6362" xr:uid="{00000000-0005-0000-0000-0000DA180000}"/>
    <cellStyle name="Accent5 4 6 3" xfId="6363" xr:uid="{00000000-0005-0000-0000-0000DB180000}"/>
    <cellStyle name="Accent5 4 7" xfId="6364" xr:uid="{00000000-0005-0000-0000-0000DC180000}"/>
    <cellStyle name="Accent5 4 7 2" xfId="6365" xr:uid="{00000000-0005-0000-0000-0000DD180000}"/>
    <cellStyle name="Accent5 4 7 2 2" xfId="6366" xr:uid="{00000000-0005-0000-0000-0000DE180000}"/>
    <cellStyle name="Accent5 4 7 3" xfId="6367" xr:uid="{00000000-0005-0000-0000-0000DF180000}"/>
    <cellStyle name="Accent5 4 8" xfId="6368" xr:uid="{00000000-0005-0000-0000-0000E0180000}"/>
    <cellStyle name="Accent5 40" xfId="6369" xr:uid="{00000000-0005-0000-0000-0000E1180000}"/>
    <cellStyle name="Accent5 40 2" xfId="6370" xr:uid="{00000000-0005-0000-0000-0000E2180000}"/>
    <cellStyle name="Accent5 40 2 2" xfId="6371" xr:uid="{00000000-0005-0000-0000-0000E3180000}"/>
    <cellStyle name="Accent5 40 3" xfId="6372" xr:uid="{00000000-0005-0000-0000-0000E4180000}"/>
    <cellStyle name="Accent5 41" xfId="6373" xr:uid="{00000000-0005-0000-0000-0000E5180000}"/>
    <cellStyle name="Accent5 41 2" xfId="6374" xr:uid="{00000000-0005-0000-0000-0000E6180000}"/>
    <cellStyle name="Accent5 41 2 2" xfId="6375" xr:uid="{00000000-0005-0000-0000-0000E7180000}"/>
    <cellStyle name="Accent5 41 3" xfId="6376" xr:uid="{00000000-0005-0000-0000-0000E8180000}"/>
    <cellStyle name="Accent5 42" xfId="6377" xr:uid="{00000000-0005-0000-0000-0000E9180000}"/>
    <cellStyle name="Accent5 42 2" xfId="6378" xr:uid="{00000000-0005-0000-0000-0000EA180000}"/>
    <cellStyle name="Accent5 42 2 2" xfId="6379" xr:uid="{00000000-0005-0000-0000-0000EB180000}"/>
    <cellStyle name="Accent5 42 3" xfId="6380" xr:uid="{00000000-0005-0000-0000-0000EC180000}"/>
    <cellStyle name="Accent5 43" xfId="6381" xr:uid="{00000000-0005-0000-0000-0000ED180000}"/>
    <cellStyle name="Accent5 43 2" xfId="6382" xr:uid="{00000000-0005-0000-0000-0000EE180000}"/>
    <cellStyle name="Accent5 43 2 2" xfId="6383" xr:uid="{00000000-0005-0000-0000-0000EF180000}"/>
    <cellStyle name="Accent5 43 3" xfId="6384" xr:uid="{00000000-0005-0000-0000-0000F0180000}"/>
    <cellStyle name="Accent5 44" xfId="6385" xr:uid="{00000000-0005-0000-0000-0000F1180000}"/>
    <cellStyle name="Accent5 44 2" xfId="6386" xr:uid="{00000000-0005-0000-0000-0000F2180000}"/>
    <cellStyle name="Accent5 44 2 2" xfId="6387" xr:uid="{00000000-0005-0000-0000-0000F3180000}"/>
    <cellStyle name="Accent5 44 3" xfId="6388" xr:uid="{00000000-0005-0000-0000-0000F4180000}"/>
    <cellStyle name="Accent5 45" xfId="6389" xr:uid="{00000000-0005-0000-0000-0000F5180000}"/>
    <cellStyle name="Accent5 45 2" xfId="6390" xr:uid="{00000000-0005-0000-0000-0000F6180000}"/>
    <cellStyle name="Accent5 45 2 2" xfId="6391" xr:uid="{00000000-0005-0000-0000-0000F7180000}"/>
    <cellStyle name="Accent5 45 3" xfId="6392" xr:uid="{00000000-0005-0000-0000-0000F8180000}"/>
    <cellStyle name="Accent5 46" xfId="6393" xr:uid="{00000000-0005-0000-0000-0000F9180000}"/>
    <cellStyle name="Accent5 46 2" xfId="6394" xr:uid="{00000000-0005-0000-0000-0000FA180000}"/>
    <cellStyle name="Accent5 46 2 2" xfId="6395" xr:uid="{00000000-0005-0000-0000-0000FB180000}"/>
    <cellStyle name="Accent5 46 3" xfId="6396" xr:uid="{00000000-0005-0000-0000-0000FC180000}"/>
    <cellStyle name="Accent5 47" xfId="6397" xr:uid="{00000000-0005-0000-0000-0000FD180000}"/>
    <cellStyle name="Accent5 47 2" xfId="6398" xr:uid="{00000000-0005-0000-0000-0000FE180000}"/>
    <cellStyle name="Accent5 47 2 2" xfId="6399" xr:uid="{00000000-0005-0000-0000-0000FF180000}"/>
    <cellStyle name="Accent5 47 3" xfId="6400" xr:uid="{00000000-0005-0000-0000-000000190000}"/>
    <cellStyle name="Accent5 48" xfId="6401" xr:uid="{00000000-0005-0000-0000-000001190000}"/>
    <cellStyle name="Accent5 48 2" xfId="6402" xr:uid="{00000000-0005-0000-0000-000002190000}"/>
    <cellStyle name="Accent5 48 2 2" xfId="6403" xr:uid="{00000000-0005-0000-0000-000003190000}"/>
    <cellStyle name="Accent5 48 3" xfId="6404" xr:uid="{00000000-0005-0000-0000-000004190000}"/>
    <cellStyle name="Accent5 48 3 2" xfId="6405" xr:uid="{00000000-0005-0000-0000-000005190000}"/>
    <cellStyle name="Accent5 48 3 2 2" xfId="6406" xr:uid="{00000000-0005-0000-0000-000006190000}"/>
    <cellStyle name="Accent5 48 3 3" xfId="6407" xr:uid="{00000000-0005-0000-0000-000007190000}"/>
    <cellStyle name="Accent5 48 4" xfId="6408" xr:uid="{00000000-0005-0000-0000-000008190000}"/>
    <cellStyle name="Accent5 49" xfId="6409" xr:uid="{00000000-0005-0000-0000-000009190000}"/>
    <cellStyle name="Accent5 49 2" xfId="6410" xr:uid="{00000000-0005-0000-0000-00000A190000}"/>
    <cellStyle name="Accent5 49 2 2" xfId="6411" xr:uid="{00000000-0005-0000-0000-00000B190000}"/>
    <cellStyle name="Accent5 49 3" xfId="6412" xr:uid="{00000000-0005-0000-0000-00000C190000}"/>
    <cellStyle name="Accent5 49 3 2" xfId="6413" xr:uid="{00000000-0005-0000-0000-00000D190000}"/>
    <cellStyle name="Accent5 49 3 2 2" xfId="6414" xr:uid="{00000000-0005-0000-0000-00000E190000}"/>
    <cellStyle name="Accent5 49 3 3" xfId="6415" xr:uid="{00000000-0005-0000-0000-00000F190000}"/>
    <cellStyle name="Accent5 49 4" xfId="6416" xr:uid="{00000000-0005-0000-0000-000010190000}"/>
    <cellStyle name="Accent5 5" xfId="6417" xr:uid="{00000000-0005-0000-0000-000011190000}"/>
    <cellStyle name="Accent5 5 2" xfId="6418" xr:uid="{00000000-0005-0000-0000-000012190000}"/>
    <cellStyle name="Accent5 5 2 2" xfId="6419" xr:uid="{00000000-0005-0000-0000-000013190000}"/>
    <cellStyle name="Accent5 5 2 2 2" xfId="6420" xr:uid="{00000000-0005-0000-0000-000014190000}"/>
    <cellStyle name="Accent5 5 2 3" xfId="6421" xr:uid="{00000000-0005-0000-0000-000015190000}"/>
    <cellStyle name="Accent5 5 2 3 2" xfId="6422" xr:uid="{00000000-0005-0000-0000-000016190000}"/>
    <cellStyle name="Accent5 5 2 3 2 2" xfId="6423" xr:uid="{00000000-0005-0000-0000-000017190000}"/>
    <cellStyle name="Accent5 5 2 3 3" xfId="6424" xr:uid="{00000000-0005-0000-0000-000018190000}"/>
    <cellStyle name="Accent5 5 2 4" xfId="6425" xr:uid="{00000000-0005-0000-0000-000019190000}"/>
    <cellStyle name="Accent5 5 3" xfId="6426" xr:uid="{00000000-0005-0000-0000-00001A190000}"/>
    <cellStyle name="Accent5 5 3 2" xfId="6427" xr:uid="{00000000-0005-0000-0000-00001B190000}"/>
    <cellStyle name="Accent5 5 3 2 2" xfId="6428" xr:uid="{00000000-0005-0000-0000-00001C190000}"/>
    <cellStyle name="Accent5 5 3 3" xfId="6429" xr:uid="{00000000-0005-0000-0000-00001D190000}"/>
    <cellStyle name="Accent5 5 3 3 2" xfId="6430" xr:uid="{00000000-0005-0000-0000-00001E190000}"/>
    <cellStyle name="Accent5 5 3 3 2 2" xfId="6431" xr:uid="{00000000-0005-0000-0000-00001F190000}"/>
    <cellStyle name="Accent5 5 3 3 3" xfId="6432" xr:uid="{00000000-0005-0000-0000-000020190000}"/>
    <cellStyle name="Accent5 5 3 4" xfId="6433" xr:uid="{00000000-0005-0000-0000-000021190000}"/>
    <cellStyle name="Accent5 5 4" xfId="6434" xr:uid="{00000000-0005-0000-0000-000022190000}"/>
    <cellStyle name="Accent5 5 4 2" xfId="6435" xr:uid="{00000000-0005-0000-0000-000023190000}"/>
    <cellStyle name="Accent5 5 5" xfId="6436" xr:uid="{00000000-0005-0000-0000-000024190000}"/>
    <cellStyle name="Accent5 5 5 2" xfId="6437" xr:uid="{00000000-0005-0000-0000-000025190000}"/>
    <cellStyle name="Accent5 5 5 2 2" xfId="6438" xr:uid="{00000000-0005-0000-0000-000026190000}"/>
    <cellStyle name="Accent5 5 5 3" xfId="6439" xr:uid="{00000000-0005-0000-0000-000027190000}"/>
    <cellStyle name="Accent5 5 6" xfId="6440" xr:uid="{00000000-0005-0000-0000-000028190000}"/>
    <cellStyle name="Accent5 5 6 2" xfId="6441" xr:uid="{00000000-0005-0000-0000-000029190000}"/>
    <cellStyle name="Accent5 5 7" xfId="6442" xr:uid="{00000000-0005-0000-0000-00002A190000}"/>
    <cellStyle name="Accent5 50" xfId="6443" xr:uid="{00000000-0005-0000-0000-00002B190000}"/>
    <cellStyle name="Accent5 50 2" xfId="6444" xr:uid="{00000000-0005-0000-0000-00002C190000}"/>
    <cellStyle name="Accent5 50 2 2" xfId="6445" xr:uid="{00000000-0005-0000-0000-00002D190000}"/>
    <cellStyle name="Accent5 50 3" xfId="6446" xr:uid="{00000000-0005-0000-0000-00002E190000}"/>
    <cellStyle name="Accent5 50 3 2" xfId="6447" xr:uid="{00000000-0005-0000-0000-00002F190000}"/>
    <cellStyle name="Accent5 50 3 2 2" xfId="6448" xr:uid="{00000000-0005-0000-0000-000030190000}"/>
    <cellStyle name="Accent5 50 3 3" xfId="6449" xr:uid="{00000000-0005-0000-0000-000031190000}"/>
    <cellStyle name="Accent5 50 4" xfId="6450" xr:uid="{00000000-0005-0000-0000-000032190000}"/>
    <cellStyle name="Accent5 51" xfId="6451" xr:uid="{00000000-0005-0000-0000-000033190000}"/>
    <cellStyle name="Accent5 51 2" xfId="6452" xr:uid="{00000000-0005-0000-0000-000034190000}"/>
    <cellStyle name="Accent5 51 2 2" xfId="6453" xr:uid="{00000000-0005-0000-0000-000035190000}"/>
    <cellStyle name="Accent5 51 3" xfId="6454" xr:uid="{00000000-0005-0000-0000-000036190000}"/>
    <cellStyle name="Accent5 51 3 2" xfId="6455" xr:uid="{00000000-0005-0000-0000-000037190000}"/>
    <cellStyle name="Accent5 51 3 2 2" xfId="6456" xr:uid="{00000000-0005-0000-0000-000038190000}"/>
    <cellStyle name="Accent5 51 3 3" xfId="6457" xr:uid="{00000000-0005-0000-0000-000039190000}"/>
    <cellStyle name="Accent5 51 4" xfId="6458" xr:uid="{00000000-0005-0000-0000-00003A190000}"/>
    <cellStyle name="Accent5 52" xfId="6459" xr:uid="{00000000-0005-0000-0000-00003B190000}"/>
    <cellStyle name="Accent5 52 2" xfId="6460" xr:uid="{00000000-0005-0000-0000-00003C190000}"/>
    <cellStyle name="Accent5 52 2 2" xfId="6461" xr:uid="{00000000-0005-0000-0000-00003D190000}"/>
    <cellStyle name="Accent5 52 3" xfId="6462" xr:uid="{00000000-0005-0000-0000-00003E190000}"/>
    <cellStyle name="Accent5 53" xfId="6463" xr:uid="{00000000-0005-0000-0000-00003F190000}"/>
    <cellStyle name="Accent5 53 2" xfId="6464" xr:uid="{00000000-0005-0000-0000-000040190000}"/>
    <cellStyle name="Accent5 53 2 2" xfId="6465" xr:uid="{00000000-0005-0000-0000-000041190000}"/>
    <cellStyle name="Accent5 53 3" xfId="6466" xr:uid="{00000000-0005-0000-0000-000042190000}"/>
    <cellStyle name="Accent5 54" xfId="6467" xr:uid="{00000000-0005-0000-0000-000043190000}"/>
    <cellStyle name="Accent5 54 2" xfId="6468" xr:uid="{00000000-0005-0000-0000-000044190000}"/>
    <cellStyle name="Accent5 54 2 2" xfId="6469" xr:uid="{00000000-0005-0000-0000-000045190000}"/>
    <cellStyle name="Accent5 54 3" xfId="6470" xr:uid="{00000000-0005-0000-0000-000046190000}"/>
    <cellStyle name="Accent5 55" xfId="6471" xr:uid="{00000000-0005-0000-0000-000047190000}"/>
    <cellStyle name="Accent5 55 2" xfId="6472" xr:uid="{00000000-0005-0000-0000-000048190000}"/>
    <cellStyle name="Accent5 55 2 2" xfId="6473" xr:uid="{00000000-0005-0000-0000-000049190000}"/>
    <cellStyle name="Accent5 55 3" xfId="6474" xr:uid="{00000000-0005-0000-0000-00004A190000}"/>
    <cellStyle name="Accent5 56" xfId="6475" xr:uid="{00000000-0005-0000-0000-00004B190000}"/>
    <cellStyle name="Accent5 56 2" xfId="6476" xr:uid="{00000000-0005-0000-0000-00004C190000}"/>
    <cellStyle name="Accent5 56 2 2" xfId="6477" xr:uid="{00000000-0005-0000-0000-00004D190000}"/>
    <cellStyle name="Accent5 56 3" xfId="6478" xr:uid="{00000000-0005-0000-0000-00004E190000}"/>
    <cellStyle name="Accent5 57" xfId="6479" xr:uid="{00000000-0005-0000-0000-00004F190000}"/>
    <cellStyle name="Accent5 57 2" xfId="6480" xr:uid="{00000000-0005-0000-0000-000050190000}"/>
    <cellStyle name="Accent5 57 2 2" xfId="6481" xr:uid="{00000000-0005-0000-0000-000051190000}"/>
    <cellStyle name="Accent5 57 3" xfId="6482" xr:uid="{00000000-0005-0000-0000-000052190000}"/>
    <cellStyle name="Accent5 58" xfId="6483" xr:uid="{00000000-0005-0000-0000-000053190000}"/>
    <cellStyle name="Accent5 58 2" xfId="6484" xr:uid="{00000000-0005-0000-0000-000054190000}"/>
    <cellStyle name="Accent5 58 2 2" xfId="6485" xr:uid="{00000000-0005-0000-0000-000055190000}"/>
    <cellStyle name="Accent5 58 3" xfId="6486" xr:uid="{00000000-0005-0000-0000-000056190000}"/>
    <cellStyle name="Accent5 58 3 2" xfId="6487" xr:uid="{00000000-0005-0000-0000-000057190000}"/>
    <cellStyle name="Accent5 58 3 2 2" xfId="6488" xr:uid="{00000000-0005-0000-0000-000058190000}"/>
    <cellStyle name="Accent5 58 3 3" xfId="6489" xr:uid="{00000000-0005-0000-0000-000059190000}"/>
    <cellStyle name="Accent5 58 4" xfId="6490" xr:uid="{00000000-0005-0000-0000-00005A190000}"/>
    <cellStyle name="Accent5 59" xfId="6491" xr:uid="{00000000-0005-0000-0000-00005B190000}"/>
    <cellStyle name="Accent5 59 2" xfId="6492" xr:uid="{00000000-0005-0000-0000-00005C190000}"/>
    <cellStyle name="Accent5 59 2 2" xfId="6493" xr:uid="{00000000-0005-0000-0000-00005D190000}"/>
    <cellStyle name="Accent5 59 3" xfId="6494" xr:uid="{00000000-0005-0000-0000-00005E190000}"/>
    <cellStyle name="Accent5 59 3 2" xfId="6495" xr:uid="{00000000-0005-0000-0000-00005F190000}"/>
    <cellStyle name="Accent5 59 3 2 2" xfId="6496" xr:uid="{00000000-0005-0000-0000-000060190000}"/>
    <cellStyle name="Accent5 59 3 3" xfId="6497" xr:uid="{00000000-0005-0000-0000-000061190000}"/>
    <cellStyle name="Accent5 59 4" xfId="6498" xr:uid="{00000000-0005-0000-0000-000062190000}"/>
    <cellStyle name="Accent5 6" xfId="6499" xr:uid="{00000000-0005-0000-0000-000063190000}"/>
    <cellStyle name="Accent5 6 2" xfId="6500" xr:uid="{00000000-0005-0000-0000-000064190000}"/>
    <cellStyle name="Accent5 6 2 2" xfId="6501" xr:uid="{00000000-0005-0000-0000-000065190000}"/>
    <cellStyle name="Accent5 6 2 2 2" xfId="6502" xr:uid="{00000000-0005-0000-0000-000066190000}"/>
    <cellStyle name="Accent5 6 2 3" xfId="6503" xr:uid="{00000000-0005-0000-0000-000067190000}"/>
    <cellStyle name="Accent5 6 2 3 2" xfId="6504" xr:uid="{00000000-0005-0000-0000-000068190000}"/>
    <cellStyle name="Accent5 6 2 3 2 2" xfId="6505" xr:uid="{00000000-0005-0000-0000-000069190000}"/>
    <cellStyle name="Accent5 6 2 3 3" xfId="6506" xr:uid="{00000000-0005-0000-0000-00006A190000}"/>
    <cellStyle name="Accent5 6 2 4" xfId="6507" xr:uid="{00000000-0005-0000-0000-00006B190000}"/>
    <cellStyle name="Accent5 6 3" xfId="6508" xr:uid="{00000000-0005-0000-0000-00006C190000}"/>
    <cellStyle name="Accent5 6 3 2" xfId="6509" xr:uid="{00000000-0005-0000-0000-00006D190000}"/>
    <cellStyle name="Accent5 6 4" xfId="6510" xr:uid="{00000000-0005-0000-0000-00006E190000}"/>
    <cellStyle name="Accent5 6 4 2" xfId="6511" xr:uid="{00000000-0005-0000-0000-00006F190000}"/>
    <cellStyle name="Accent5 6 4 2 2" xfId="6512" xr:uid="{00000000-0005-0000-0000-000070190000}"/>
    <cellStyle name="Accent5 6 4 3" xfId="6513" xr:uid="{00000000-0005-0000-0000-000071190000}"/>
    <cellStyle name="Accent5 6 5" xfId="6514" xr:uid="{00000000-0005-0000-0000-000072190000}"/>
    <cellStyle name="Accent5 60" xfId="6515" xr:uid="{00000000-0005-0000-0000-000073190000}"/>
    <cellStyle name="Accent5 60 2" xfId="6516" xr:uid="{00000000-0005-0000-0000-000074190000}"/>
    <cellStyle name="Accent5 60 2 2" xfId="6517" xr:uid="{00000000-0005-0000-0000-000075190000}"/>
    <cellStyle name="Accent5 60 3" xfId="6518" xr:uid="{00000000-0005-0000-0000-000076190000}"/>
    <cellStyle name="Accent5 60 3 2" xfId="6519" xr:uid="{00000000-0005-0000-0000-000077190000}"/>
    <cellStyle name="Accent5 60 3 2 2" xfId="6520" xr:uid="{00000000-0005-0000-0000-000078190000}"/>
    <cellStyle name="Accent5 60 3 3" xfId="6521" xr:uid="{00000000-0005-0000-0000-000079190000}"/>
    <cellStyle name="Accent5 60 4" xfId="6522" xr:uid="{00000000-0005-0000-0000-00007A190000}"/>
    <cellStyle name="Accent5 61" xfId="6523" xr:uid="{00000000-0005-0000-0000-00007B190000}"/>
    <cellStyle name="Accent5 61 2" xfId="6524" xr:uid="{00000000-0005-0000-0000-00007C190000}"/>
    <cellStyle name="Accent5 61 2 2" xfId="6525" xr:uid="{00000000-0005-0000-0000-00007D190000}"/>
    <cellStyle name="Accent5 61 3" xfId="6526" xr:uid="{00000000-0005-0000-0000-00007E190000}"/>
    <cellStyle name="Accent5 61 3 2" xfId="6527" xr:uid="{00000000-0005-0000-0000-00007F190000}"/>
    <cellStyle name="Accent5 61 3 2 2" xfId="6528" xr:uid="{00000000-0005-0000-0000-000080190000}"/>
    <cellStyle name="Accent5 61 3 3" xfId="6529" xr:uid="{00000000-0005-0000-0000-000081190000}"/>
    <cellStyle name="Accent5 61 4" xfId="6530" xr:uid="{00000000-0005-0000-0000-000082190000}"/>
    <cellStyle name="Accent5 62" xfId="6531" xr:uid="{00000000-0005-0000-0000-000083190000}"/>
    <cellStyle name="Accent5 62 2" xfId="6532" xr:uid="{00000000-0005-0000-0000-000084190000}"/>
    <cellStyle name="Accent5 62 2 2" xfId="6533" xr:uid="{00000000-0005-0000-0000-000085190000}"/>
    <cellStyle name="Accent5 62 3" xfId="6534" xr:uid="{00000000-0005-0000-0000-000086190000}"/>
    <cellStyle name="Accent5 62 3 2" xfId="6535" xr:uid="{00000000-0005-0000-0000-000087190000}"/>
    <cellStyle name="Accent5 62 3 2 2" xfId="6536" xr:uid="{00000000-0005-0000-0000-000088190000}"/>
    <cellStyle name="Accent5 62 3 3" xfId="6537" xr:uid="{00000000-0005-0000-0000-000089190000}"/>
    <cellStyle name="Accent5 62 4" xfId="6538" xr:uid="{00000000-0005-0000-0000-00008A190000}"/>
    <cellStyle name="Accent5 63" xfId="6539" xr:uid="{00000000-0005-0000-0000-00008B190000}"/>
    <cellStyle name="Accent5 63 2" xfId="6540" xr:uid="{00000000-0005-0000-0000-00008C190000}"/>
    <cellStyle name="Accent5 63 2 2" xfId="6541" xr:uid="{00000000-0005-0000-0000-00008D190000}"/>
    <cellStyle name="Accent5 63 3" xfId="6542" xr:uid="{00000000-0005-0000-0000-00008E190000}"/>
    <cellStyle name="Accent5 63 3 2" xfId="6543" xr:uid="{00000000-0005-0000-0000-00008F190000}"/>
    <cellStyle name="Accent5 63 3 2 2" xfId="6544" xr:uid="{00000000-0005-0000-0000-000090190000}"/>
    <cellStyle name="Accent5 63 3 3" xfId="6545" xr:uid="{00000000-0005-0000-0000-000091190000}"/>
    <cellStyle name="Accent5 63 4" xfId="6546" xr:uid="{00000000-0005-0000-0000-000092190000}"/>
    <cellStyle name="Accent5 64" xfId="6547" xr:uid="{00000000-0005-0000-0000-000093190000}"/>
    <cellStyle name="Accent5 64 2" xfId="6548" xr:uid="{00000000-0005-0000-0000-000094190000}"/>
    <cellStyle name="Accent5 64 2 2" xfId="6549" xr:uid="{00000000-0005-0000-0000-000095190000}"/>
    <cellStyle name="Accent5 64 3" xfId="6550" xr:uid="{00000000-0005-0000-0000-000096190000}"/>
    <cellStyle name="Accent5 64 3 2" xfId="6551" xr:uid="{00000000-0005-0000-0000-000097190000}"/>
    <cellStyle name="Accent5 64 3 2 2" xfId="6552" xr:uid="{00000000-0005-0000-0000-000098190000}"/>
    <cellStyle name="Accent5 64 3 3" xfId="6553" xr:uid="{00000000-0005-0000-0000-000099190000}"/>
    <cellStyle name="Accent5 64 4" xfId="6554" xr:uid="{00000000-0005-0000-0000-00009A190000}"/>
    <cellStyle name="Accent5 65" xfId="6555" xr:uid="{00000000-0005-0000-0000-00009B190000}"/>
    <cellStyle name="Accent5 65 2" xfId="6556" xr:uid="{00000000-0005-0000-0000-00009C190000}"/>
    <cellStyle name="Accent5 65 2 2" xfId="6557" xr:uid="{00000000-0005-0000-0000-00009D190000}"/>
    <cellStyle name="Accent5 65 3" xfId="6558" xr:uid="{00000000-0005-0000-0000-00009E190000}"/>
    <cellStyle name="Accent5 65 3 2" xfId="6559" xr:uid="{00000000-0005-0000-0000-00009F190000}"/>
    <cellStyle name="Accent5 65 3 2 2" xfId="6560" xr:uid="{00000000-0005-0000-0000-0000A0190000}"/>
    <cellStyle name="Accent5 65 3 3" xfId="6561" xr:uid="{00000000-0005-0000-0000-0000A1190000}"/>
    <cellStyle name="Accent5 65 4" xfId="6562" xr:uid="{00000000-0005-0000-0000-0000A2190000}"/>
    <cellStyle name="Accent5 66" xfId="6563" xr:uid="{00000000-0005-0000-0000-0000A3190000}"/>
    <cellStyle name="Accent5 66 2" xfId="6564" xr:uid="{00000000-0005-0000-0000-0000A4190000}"/>
    <cellStyle name="Accent5 66 2 2" xfId="6565" xr:uid="{00000000-0005-0000-0000-0000A5190000}"/>
    <cellStyle name="Accent5 66 3" xfId="6566" xr:uid="{00000000-0005-0000-0000-0000A6190000}"/>
    <cellStyle name="Accent5 66 3 2" xfId="6567" xr:uid="{00000000-0005-0000-0000-0000A7190000}"/>
    <cellStyle name="Accent5 66 3 2 2" xfId="6568" xr:uid="{00000000-0005-0000-0000-0000A8190000}"/>
    <cellStyle name="Accent5 66 3 3" xfId="6569" xr:uid="{00000000-0005-0000-0000-0000A9190000}"/>
    <cellStyle name="Accent5 66 4" xfId="6570" xr:uid="{00000000-0005-0000-0000-0000AA190000}"/>
    <cellStyle name="Accent5 67" xfId="6571" xr:uid="{00000000-0005-0000-0000-0000AB190000}"/>
    <cellStyle name="Accent5 67 2" xfId="6572" xr:uid="{00000000-0005-0000-0000-0000AC190000}"/>
    <cellStyle name="Accent5 67 2 2" xfId="6573" xr:uid="{00000000-0005-0000-0000-0000AD190000}"/>
    <cellStyle name="Accent5 67 3" xfId="6574" xr:uid="{00000000-0005-0000-0000-0000AE190000}"/>
    <cellStyle name="Accent5 67 3 2" xfId="6575" xr:uid="{00000000-0005-0000-0000-0000AF190000}"/>
    <cellStyle name="Accent5 67 3 2 2" xfId="6576" xr:uid="{00000000-0005-0000-0000-0000B0190000}"/>
    <cellStyle name="Accent5 67 3 3" xfId="6577" xr:uid="{00000000-0005-0000-0000-0000B1190000}"/>
    <cellStyle name="Accent5 67 4" xfId="6578" xr:uid="{00000000-0005-0000-0000-0000B2190000}"/>
    <cellStyle name="Accent5 68" xfId="6579" xr:uid="{00000000-0005-0000-0000-0000B3190000}"/>
    <cellStyle name="Accent5 68 2" xfId="6580" xr:uid="{00000000-0005-0000-0000-0000B4190000}"/>
    <cellStyle name="Accent5 68 2 2" xfId="6581" xr:uid="{00000000-0005-0000-0000-0000B5190000}"/>
    <cellStyle name="Accent5 68 3" xfId="6582" xr:uid="{00000000-0005-0000-0000-0000B6190000}"/>
    <cellStyle name="Accent5 68 3 2" xfId="6583" xr:uid="{00000000-0005-0000-0000-0000B7190000}"/>
    <cellStyle name="Accent5 68 3 2 2" xfId="6584" xr:uid="{00000000-0005-0000-0000-0000B8190000}"/>
    <cellStyle name="Accent5 68 3 3" xfId="6585" xr:uid="{00000000-0005-0000-0000-0000B9190000}"/>
    <cellStyle name="Accent5 68 4" xfId="6586" xr:uid="{00000000-0005-0000-0000-0000BA190000}"/>
    <cellStyle name="Accent5 69" xfId="6587" xr:uid="{00000000-0005-0000-0000-0000BB190000}"/>
    <cellStyle name="Accent5 69 2" xfId="6588" xr:uid="{00000000-0005-0000-0000-0000BC190000}"/>
    <cellStyle name="Accent5 69 2 2" xfId="6589" xr:uid="{00000000-0005-0000-0000-0000BD190000}"/>
    <cellStyle name="Accent5 69 3" xfId="6590" xr:uid="{00000000-0005-0000-0000-0000BE190000}"/>
    <cellStyle name="Accent5 69 3 2" xfId="6591" xr:uid="{00000000-0005-0000-0000-0000BF190000}"/>
    <cellStyle name="Accent5 69 3 2 2" xfId="6592" xr:uid="{00000000-0005-0000-0000-0000C0190000}"/>
    <cellStyle name="Accent5 69 3 3" xfId="6593" xr:uid="{00000000-0005-0000-0000-0000C1190000}"/>
    <cellStyle name="Accent5 69 4" xfId="6594" xr:uid="{00000000-0005-0000-0000-0000C2190000}"/>
    <cellStyle name="Accent5 7" xfId="6595" xr:uid="{00000000-0005-0000-0000-0000C3190000}"/>
    <cellStyle name="Accent5 7 2" xfId="6596" xr:uid="{00000000-0005-0000-0000-0000C4190000}"/>
    <cellStyle name="Accent5 7 2 2" xfId="6597" xr:uid="{00000000-0005-0000-0000-0000C5190000}"/>
    <cellStyle name="Accent5 7 2 2 2" xfId="6598" xr:uid="{00000000-0005-0000-0000-0000C6190000}"/>
    <cellStyle name="Accent5 7 2 3" xfId="6599" xr:uid="{00000000-0005-0000-0000-0000C7190000}"/>
    <cellStyle name="Accent5 7 2 3 2" xfId="6600" xr:uid="{00000000-0005-0000-0000-0000C8190000}"/>
    <cellStyle name="Accent5 7 2 3 2 2" xfId="6601" xr:uid="{00000000-0005-0000-0000-0000C9190000}"/>
    <cellStyle name="Accent5 7 2 3 3" xfId="6602" xr:uid="{00000000-0005-0000-0000-0000CA190000}"/>
    <cellStyle name="Accent5 7 2 4" xfId="6603" xr:uid="{00000000-0005-0000-0000-0000CB190000}"/>
    <cellStyle name="Accent5 7 3" xfId="6604" xr:uid="{00000000-0005-0000-0000-0000CC190000}"/>
    <cellStyle name="Accent5 7 3 2" xfId="6605" xr:uid="{00000000-0005-0000-0000-0000CD190000}"/>
    <cellStyle name="Accent5 7 4" xfId="6606" xr:uid="{00000000-0005-0000-0000-0000CE190000}"/>
    <cellStyle name="Accent5 7 4 2" xfId="6607" xr:uid="{00000000-0005-0000-0000-0000CF190000}"/>
    <cellStyle name="Accent5 7 4 2 2" xfId="6608" xr:uid="{00000000-0005-0000-0000-0000D0190000}"/>
    <cellStyle name="Accent5 7 4 3" xfId="6609" xr:uid="{00000000-0005-0000-0000-0000D1190000}"/>
    <cellStyle name="Accent5 7 5" xfId="6610" xr:uid="{00000000-0005-0000-0000-0000D2190000}"/>
    <cellStyle name="Accent5 70" xfId="6611" xr:uid="{00000000-0005-0000-0000-0000D3190000}"/>
    <cellStyle name="Accent5 70 2" xfId="6612" xr:uid="{00000000-0005-0000-0000-0000D4190000}"/>
    <cellStyle name="Accent5 70 2 2" xfId="6613" xr:uid="{00000000-0005-0000-0000-0000D5190000}"/>
    <cellStyle name="Accent5 70 3" xfId="6614" xr:uid="{00000000-0005-0000-0000-0000D6190000}"/>
    <cellStyle name="Accent5 70 3 2" xfId="6615" xr:uid="{00000000-0005-0000-0000-0000D7190000}"/>
    <cellStyle name="Accent5 70 3 2 2" xfId="6616" xr:uid="{00000000-0005-0000-0000-0000D8190000}"/>
    <cellStyle name="Accent5 70 3 3" xfId="6617" xr:uid="{00000000-0005-0000-0000-0000D9190000}"/>
    <cellStyle name="Accent5 70 4" xfId="6618" xr:uid="{00000000-0005-0000-0000-0000DA190000}"/>
    <cellStyle name="Accent5 71" xfId="6619" xr:uid="{00000000-0005-0000-0000-0000DB190000}"/>
    <cellStyle name="Accent5 71 2" xfId="6620" xr:uid="{00000000-0005-0000-0000-0000DC190000}"/>
    <cellStyle name="Accent5 71 2 2" xfId="6621" xr:uid="{00000000-0005-0000-0000-0000DD190000}"/>
    <cellStyle name="Accent5 71 3" xfId="6622" xr:uid="{00000000-0005-0000-0000-0000DE190000}"/>
    <cellStyle name="Accent5 71 3 2" xfId="6623" xr:uid="{00000000-0005-0000-0000-0000DF190000}"/>
    <cellStyle name="Accent5 71 3 2 2" xfId="6624" xr:uid="{00000000-0005-0000-0000-0000E0190000}"/>
    <cellStyle name="Accent5 71 3 3" xfId="6625" xr:uid="{00000000-0005-0000-0000-0000E1190000}"/>
    <cellStyle name="Accent5 71 4" xfId="6626" xr:uid="{00000000-0005-0000-0000-0000E2190000}"/>
    <cellStyle name="Accent5 72" xfId="6627" xr:uid="{00000000-0005-0000-0000-0000E3190000}"/>
    <cellStyle name="Accent5 72 2" xfId="6628" xr:uid="{00000000-0005-0000-0000-0000E4190000}"/>
    <cellStyle name="Accent5 72 2 2" xfId="6629" xr:uid="{00000000-0005-0000-0000-0000E5190000}"/>
    <cellStyle name="Accent5 72 3" xfId="6630" xr:uid="{00000000-0005-0000-0000-0000E6190000}"/>
    <cellStyle name="Accent5 72 3 2" xfId="6631" xr:uid="{00000000-0005-0000-0000-0000E7190000}"/>
    <cellStyle name="Accent5 72 3 2 2" xfId="6632" xr:uid="{00000000-0005-0000-0000-0000E8190000}"/>
    <cellStyle name="Accent5 72 3 3" xfId="6633" xr:uid="{00000000-0005-0000-0000-0000E9190000}"/>
    <cellStyle name="Accent5 72 4" xfId="6634" xr:uid="{00000000-0005-0000-0000-0000EA190000}"/>
    <cellStyle name="Accent5 73" xfId="6635" xr:uid="{00000000-0005-0000-0000-0000EB190000}"/>
    <cellStyle name="Accent5 73 2" xfId="6636" xr:uid="{00000000-0005-0000-0000-0000EC190000}"/>
    <cellStyle name="Accent5 73 2 2" xfId="6637" xr:uid="{00000000-0005-0000-0000-0000ED190000}"/>
    <cellStyle name="Accent5 73 3" xfId="6638" xr:uid="{00000000-0005-0000-0000-0000EE190000}"/>
    <cellStyle name="Accent5 73 3 2" xfId="6639" xr:uid="{00000000-0005-0000-0000-0000EF190000}"/>
    <cellStyle name="Accent5 73 3 2 2" xfId="6640" xr:uid="{00000000-0005-0000-0000-0000F0190000}"/>
    <cellStyle name="Accent5 73 3 3" xfId="6641" xr:uid="{00000000-0005-0000-0000-0000F1190000}"/>
    <cellStyle name="Accent5 73 4" xfId="6642" xr:uid="{00000000-0005-0000-0000-0000F2190000}"/>
    <cellStyle name="Accent5 74" xfId="6643" xr:uid="{00000000-0005-0000-0000-0000F3190000}"/>
    <cellStyle name="Accent5 74 2" xfId="6644" xr:uid="{00000000-0005-0000-0000-0000F4190000}"/>
    <cellStyle name="Accent5 74 2 2" xfId="6645" xr:uid="{00000000-0005-0000-0000-0000F5190000}"/>
    <cellStyle name="Accent5 74 3" xfId="6646" xr:uid="{00000000-0005-0000-0000-0000F6190000}"/>
    <cellStyle name="Accent5 74 3 2" xfId="6647" xr:uid="{00000000-0005-0000-0000-0000F7190000}"/>
    <cellStyle name="Accent5 74 3 2 2" xfId="6648" xr:uid="{00000000-0005-0000-0000-0000F8190000}"/>
    <cellStyle name="Accent5 74 3 3" xfId="6649" xr:uid="{00000000-0005-0000-0000-0000F9190000}"/>
    <cellStyle name="Accent5 74 4" xfId="6650" xr:uid="{00000000-0005-0000-0000-0000FA190000}"/>
    <cellStyle name="Accent5 75" xfId="6651" xr:uid="{00000000-0005-0000-0000-0000FB190000}"/>
    <cellStyle name="Accent5 75 2" xfId="6652" xr:uid="{00000000-0005-0000-0000-0000FC190000}"/>
    <cellStyle name="Accent5 75 2 2" xfId="6653" xr:uid="{00000000-0005-0000-0000-0000FD190000}"/>
    <cellStyle name="Accent5 75 3" xfId="6654" xr:uid="{00000000-0005-0000-0000-0000FE190000}"/>
    <cellStyle name="Accent5 75 3 2" xfId="6655" xr:uid="{00000000-0005-0000-0000-0000FF190000}"/>
    <cellStyle name="Accent5 75 3 2 2" xfId="6656" xr:uid="{00000000-0005-0000-0000-0000001A0000}"/>
    <cellStyle name="Accent5 75 3 3" xfId="6657" xr:uid="{00000000-0005-0000-0000-0000011A0000}"/>
    <cellStyle name="Accent5 75 4" xfId="6658" xr:uid="{00000000-0005-0000-0000-0000021A0000}"/>
    <cellStyle name="Accent5 76" xfId="6659" xr:uid="{00000000-0005-0000-0000-0000031A0000}"/>
    <cellStyle name="Accent5 76 2" xfId="6660" xr:uid="{00000000-0005-0000-0000-0000041A0000}"/>
    <cellStyle name="Accent5 76 2 2" xfId="6661" xr:uid="{00000000-0005-0000-0000-0000051A0000}"/>
    <cellStyle name="Accent5 76 3" xfId="6662" xr:uid="{00000000-0005-0000-0000-0000061A0000}"/>
    <cellStyle name="Accent5 76 3 2" xfId="6663" xr:uid="{00000000-0005-0000-0000-0000071A0000}"/>
    <cellStyle name="Accent5 76 3 2 2" xfId="6664" xr:uid="{00000000-0005-0000-0000-0000081A0000}"/>
    <cellStyle name="Accent5 76 3 3" xfId="6665" xr:uid="{00000000-0005-0000-0000-0000091A0000}"/>
    <cellStyle name="Accent5 76 4" xfId="6666" xr:uid="{00000000-0005-0000-0000-00000A1A0000}"/>
    <cellStyle name="Accent5 77" xfId="6667" xr:uid="{00000000-0005-0000-0000-00000B1A0000}"/>
    <cellStyle name="Accent5 77 2" xfId="6668" xr:uid="{00000000-0005-0000-0000-00000C1A0000}"/>
    <cellStyle name="Accent5 77 2 2" xfId="6669" xr:uid="{00000000-0005-0000-0000-00000D1A0000}"/>
    <cellStyle name="Accent5 77 3" xfId="6670" xr:uid="{00000000-0005-0000-0000-00000E1A0000}"/>
    <cellStyle name="Accent5 77 3 2" xfId="6671" xr:uid="{00000000-0005-0000-0000-00000F1A0000}"/>
    <cellStyle name="Accent5 77 3 2 2" xfId="6672" xr:uid="{00000000-0005-0000-0000-0000101A0000}"/>
    <cellStyle name="Accent5 77 3 3" xfId="6673" xr:uid="{00000000-0005-0000-0000-0000111A0000}"/>
    <cellStyle name="Accent5 77 4" xfId="6674" xr:uid="{00000000-0005-0000-0000-0000121A0000}"/>
    <cellStyle name="Accent5 78" xfId="6675" xr:uid="{00000000-0005-0000-0000-0000131A0000}"/>
    <cellStyle name="Accent5 78 2" xfId="6676" xr:uid="{00000000-0005-0000-0000-0000141A0000}"/>
    <cellStyle name="Accent5 78 2 2" xfId="6677" xr:uid="{00000000-0005-0000-0000-0000151A0000}"/>
    <cellStyle name="Accent5 78 3" xfId="6678" xr:uid="{00000000-0005-0000-0000-0000161A0000}"/>
    <cellStyle name="Accent5 78 3 2" xfId="6679" xr:uid="{00000000-0005-0000-0000-0000171A0000}"/>
    <cellStyle name="Accent5 78 3 2 2" xfId="6680" xr:uid="{00000000-0005-0000-0000-0000181A0000}"/>
    <cellStyle name="Accent5 78 3 3" xfId="6681" xr:uid="{00000000-0005-0000-0000-0000191A0000}"/>
    <cellStyle name="Accent5 78 4" xfId="6682" xr:uid="{00000000-0005-0000-0000-00001A1A0000}"/>
    <cellStyle name="Accent5 79" xfId="6683" xr:uid="{00000000-0005-0000-0000-00001B1A0000}"/>
    <cellStyle name="Accent5 79 2" xfId="6684" xr:uid="{00000000-0005-0000-0000-00001C1A0000}"/>
    <cellStyle name="Accent5 79 2 2" xfId="6685" xr:uid="{00000000-0005-0000-0000-00001D1A0000}"/>
    <cellStyle name="Accent5 79 3" xfId="6686" xr:uid="{00000000-0005-0000-0000-00001E1A0000}"/>
    <cellStyle name="Accent5 79 3 2" xfId="6687" xr:uid="{00000000-0005-0000-0000-00001F1A0000}"/>
    <cellStyle name="Accent5 79 3 2 2" xfId="6688" xr:uid="{00000000-0005-0000-0000-0000201A0000}"/>
    <cellStyle name="Accent5 79 3 3" xfId="6689" xr:uid="{00000000-0005-0000-0000-0000211A0000}"/>
    <cellStyle name="Accent5 79 4" xfId="6690" xr:uid="{00000000-0005-0000-0000-0000221A0000}"/>
    <cellStyle name="Accent5 8" xfId="6691" xr:uid="{00000000-0005-0000-0000-0000231A0000}"/>
    <cellStyle name="Accent5 8 2" xfId="6692" xr:uid="{00000000-0005-0000-0000-0000241A0000}"/>
    <cellStyle name="Accent5 8 2 2" xfId="6693" xr:uid="{00000000-0005-0000-0000-0000251A0000}"/>
    <cellStyle name="Accent5 8 3" xfId="6694" xr:uid="{00000000-0005-0000-0000-0000261A0000}"/>
    <cellStyle name="Accent5 80" xfId="6695" xr:uid="{00000000-0005-0000-0000-0000271A0000}"/>
    <cellStyle name="Accent5 80 2" xfId="6696" xr:uid="{00000000-0005-0000-0000-0000281A0000}"/>
    <cellStyle name="Accent5 80 2 2" xfId="6697" xr:uid="{00000000-0005-0000-0000-0000291A0000}"/>
    <cellStyle name="Accent5 80 3" xfId="6698" xr:uid="{00000000-0005-0000-0000-00002A1A0000}"/>
    <cellStyle name="Accent5 80 3 2" xfId="6699" xr:uid="{00000000-0005-0000-0000-00002B1A0000}"/>
    <cellStyle name="Accent5 80 3 2 2" xfId="6700" xr:uid="{00000000-0005-0000-0000-00002C1A0000}"/>
    <cellStyle name="Accent5 80 3 3" xfId="6701" xr:uid="{00000000-0005-0000-0000-00002D1A0000}"/>
    <cellStyle name="Accent5 80 4" xfId="6702" xr:uid="{00000000-0005-0000-0000-00002E1A0000}"/>
    <cellStyle name="Accent5 81" xfId="6703" xr:uid="{00000000-0005-0000-0000-00002F1A0000}"/>
    <cellStyle name="Accent5 81 2" xfId="6704" xr:uid="{00000000-0005-0000-0000-0000301A0000}"/>
    <cellStyle name="Accent5 81 2 2" xfId="6705" xr:uid="{00000000-0005-0000-0000-0000311A0000}"/>
    <cellStyle name="Accent5 81 3" xfId="6706" xr:uid="{00000000-0005-0000-0000-0000321A0000}"/>
    <cellStyle name="Accent5 81 3 2" xfId="6707" xr:uid="{00000000-0005-0000-0000-0000331A0000}"/>
    <cellStyle name="Accent5 81 3 2 2" xfId="6708" xr:uid="{00000000-0005-0000-0000-0000341A0000}"/>
    <cellStyle name="Accent5 81 3 3" xfId="6709" xr:uid="{00000000-0005-0000-0000-0000351A0000}"/>
    <cellStyle name="Accent5 81 4" xfId="6710" xr:uid="{00000000-0005-0000-0000-0000361A0000}"/>
    <cellStyle name="Accent5 82" xfId="6711" xr:uid="{00000000-0005-0000-0000-0000371A0000}"/>
    <cellStyle name="Accent5 82 2" xfId="6712" xr:uid="{00000000-0005-0000-0000-0000381A0000}"/>
    <cellStyle name="Accent5 82 2 2" xfId="6713" xr:uid="{00000000-0005-0000-0000-0000391A0000}"/>
    <cellStyle name="Accent5 82 3" xfId="6714" xr:uid="{00000000-0005-0000-0000-00003A1A0000}"/>
    <cellStyle name="Accent5 82 3 2" xfId="6715" xr:uid="{00000000-0005-0000-0000-00003B1A0000}"/>
    <cellStyle name="Accent5 82 3 2 2" xfId="6716" xr:uid="{00000000-0005-0000-0000-00003C1A0000}"/>
    <cellStyle name="Accent5 82 3 3" xfId="6717" xr:uid="{00000000-0005-0000-0000-00003D1A0000}"/>
    <cellStyle name="Accent5 82 4" xfId="6718" xr:uid="{00000000-0005-0000-0000-00003E1A0000}"/>
    <cellStyle name="Accent5 83" xfId="6719" xr:uid="{00000000-0005-0000-0000-00003F1A0000}"/>
    <cellStyle name="Accent5 83 2" xfId="6720" xr:uid="{00000000-0005-0000-0000-0000401A0000}"/>
    <cellStyle name="Accent5 83 2 2" xfId="6721" xr:uid="{00000000-0005-0000-0000-0000411A0000}"/>
    <cellStyle name="Accent5 83 3" xfId="6722" xr:uid="{00000000-0005-0000-0000-0000421A0000}"/>
    <cellStyle name="Accent5 83 3 2" xfId="6723" xr:uid="{00000000-0005-0000-0000-0000431A0000}"/>
    <cellStyle name="Accent5 83 3 2 2" xfId="6724" xr:uid="{00000000-0005-0000-0000-0000441A0000}"/>
    <cellStyle name="Accent5 83 3 3" xfId="6725" xr:uid="{00000000-0005-0000-0000-0000451A0000}"/>
    <cellStyle name="Accent5 83 4" xfId="6726" xr:uid="{00000000-0005-0000-0000-0000461A0000}"/>
    <cellStyle name="Accent5 84" xfId="6727" xr:uid="{00000000-0005-0000-0000-0000471A0000}"/>
    <cellStyle name="Accent5 84 2" xfId="6728" xr:uid="{00000000-0005-0000-0000-0000481A0000}"/>
    <cellStyle name="Accent5 84 2 2" xfId="6729" xr:uid="{00000000-0005-0000-0000-0000491A0000}"/>
    <cellStyle name="Accent5 84 3" xfId="6730" xr:uid="{00000000-0005-0000-0000-00004A1A0000}"/>
    <cellStyle name="Accent5 85" xfId="6731" xr:uid="{00000000-0005-0000-0000-00004B1A0000}"/>
    <cellStyle name="Accent5 85 2" xfId="6732" xr:uid="{00000000-0005-0000-0000-00004C1A0000}"/>
    <cellStyle name="Accent5 85 2 2" xfId="6733" xr:uid="{00000000-0005-0000-0000-00004D1A0000}"/>
    <cellStyle name="Accent5 85 3" xfId="6734" xr:uid="{00000000-0005-0000-0000-00004E1A0000}"/>
    <cellStyle name="Accent5 86" xfId="6735" xr:uid="{00000000-0005-0000-0000-00004F1A0000}"/>
    <cellStyle name="Accent5 86 2" xfId="6736" xr:uid="{00000000-0005-0000-0000-0000501A0000}"/>
    <cellStyle name="Accent5 86 2 2" xfId="6737" xr:uid="{00000000-0005-0000-0000-0000511A0000}"/>
    <cellStyle name="Accent5 86 3" xfId="6738" xr:uid="{00000000-0005-0000-0000-0000521A0000}"/>
    <cellStyle name="Accent5 87" xfId="6739" xr:uid="{00000000-0005-0000-0000-0000531A0000}"/>
    <cellStyle name="Accent5 87 2" xfId="6740" xr:uid="{00000000-0005-0000-0000-0000541A0000}"/>
    <cellStyle name="Accent5 87 2 2" xfId="6741" xr:uid="{00000000-0005-0000-0000-0000551A0000}"/>
    <cellStyle name="Accent5 87 3" xfId="6742" xr:uid="{00000000-0005-0000-0000-0000561A0000}"/>
    <cellStyle name="Accent5 88" xfId="6743" xr:uid="{00000000-0005-0000-0000-0000571A0000}"/>
    <cellStyle name="Accent5 88 2" xfId="6744" xr:uid="{00000000-0005-0000-0000-0000581A0000}"/>
    <cellStyle name="Accent5 88 2 2" xfId="6745" xr:uid="{00000000-0005-0000-0000-0000591A0000}"/>
    <cellStyle name="Accent5 88 3" xfId="6746" xr:uid="{00000000-0005-0000-0000-00005A1A0000}"/>
    <cellStyle name="Accent5 89" xfId="6747" xr:uid="{00000000-0005-0000-0000-00005B1A0000}"/>
    <cellStyle name="Accent5 89 2" xfId="6748" xr:uid="{00000000-0005-0000-0000-00005C1A0000}"/>
    <cellStyle name="Accent5 89 2 2" xfId="6749" xr:uid="{00000000-0005-0000-0000-00005D1A0000}"/>
    <cellStyle name="Accent5 89 3" xfId="6750" xr:uid="{00000000-0005-0000-0000-00005E1A0000}"/>
    <cellStyle name="Accent5 9" xfId="6751" xr:uid="{00000000-0005-0000-0000-00005F1A0000}"/>
    <cellStyle name="Accent5 9 2" xfId="6752" xr:uid="{00000000-0005-0000-0000-0000601A0000}"/>
    <cellStyle name="Accent5 9 2 2" xfId="6753" xr:uid="{00000000-0005-0000-0000-0000611A0000}"/>
    <cellStyle name="Accent5 9 3" xfId="6754" xr:uid="{00000000-0005-0000-0000-0000621A0000}"/>
    <cellStyle name="Accent5 90" xfId="6755" xr:uid="{00000000-0005-0000-0000-0000631A0000}"/>
    <cellStyle name="Accent5 90 2" xfId="6756" xr:uid="{00000000-0005-0000-0000-0000641A0000}"/>
    <cellStyle name="Accent5 90 2 2" xfId="6757" xr:uid="{00000000-0005-0000-0000-0000651A0000}"/>
    <cellStyle name="Accent5 90 3" xfId="6758" xr:uid="{00000000-0005-0000-0000-0000661A0000}"/>
    <cellStyle name="Accent5 91" xfId="6759" xr:uid="{00000000-0005-0000-0000-0000671A0000}"/>
    <cellStyle name="Accent5 91 2" xfId="6760" xr:uid="{00000000-0005-0000-0000-0000681A0000}"/>
    <cellStyle name="Accent5 91 2 2" xfId="6761" xr:uid="{00000000-0005-0000-0000-0000691A0000}"/>
    <cellStyle name="Accent5 91 3" xfId="6762" xr:uid="{00000000-0005-0000-0000-00006A1A0000}"/>
    <cellStyle name="Accent5 92" xfId="6763" xr:uid="{00000000-0005-0000-0000-00006B1A0000}"/>
    <cellStyle name="Accent5 92 2" xfId="6764" xr:uid="{00000000-0005-0000-0000-00006C1A0000}"/>
    <cellStyle name="Accent5 92 2 2" xfId="6765" xr:uid="{00000000-0005-0000-0000-00006D1A0000}"/>
    <cellStyle name="Accent5 92 3" xfId="6766" xr:uid="{00000000-0005-0000-0000-00006E1A0000}"/>
    <cellStyle name="Accent5 93" xfId="6767" xr:uid="{00000000-0005-0000-0000-00006F1A0000}"/>
    <cellStyle name="Accent5 93 2" xfId="6768" xr:uid="{00000000-0005-0000-0000-0000701A0000}"/>
    <cellStyle name="Accent5 93 2 2" xfId="6769" xr:uid="{00000000-0005-0000-0000-0000711A0000}"/>
    <cellStyle name="Accent5 93 3" xfId="6770" xr:uid="{00000000-0005-0000-0000-0000721A0000}"/>
    <cellStyle name="Accent5 94" xfId="6771" xr:uid="{00000000-0005-0000-0000-0000731A0000}"/>
    <cellStyle name="Accent5 94 2" xfId="6772" xr:uid="{00000000-0005-0000-0000-0000741A0000}"/>
    <cellStyle name="Accent5 94 2 2" xfId="6773" xr:uid="{00000000-0005-0000-0000-0000751A0000}"/>
    <cellStyle name="Accent5 94 3" xfId="6774" xr:uid="{00000000-0005-0000-0000-0000761A0000}"/>
    <cellStyle name="Accent5 95" xfId="6775" xr:uid="{00000000-0005-0000-0000-0000771A0000}"/>
    <cellStyle name="Accent5 95 2" xfId="6776" xr:uid="{00000000-0005-0000-0000-0000781A0000}"/>
    <cellStyle name="Accent5 95 2 2" xfId="6777" xr:uid="{00000000-0005-0000-0000-0000791A0000}"/>
    <cellStyle name="Accent5 95 3" xfId="6778" xr:uid="{00000000-0005-0000-0000-00007A1A0000}"/>
    <cellStyle name="Accent5 96" xfId="6779" xr:uid="{00000000-0005-0000-0000-00007B1A0000}"/>
    <cellStyle name="Accent5 96 2" xfId="6780" xr:uid="{00000000-0005-0000-0000-00007C1A0000}"/>
    <cellStyle name="Accent5 96 2 2" xfId="6781" xr:uid="{00000000-0005-0000-0000-00007D1A0000}"/>
    <cellStyle name="Accent5 96 3" xfId="6782" xr:uid="{00000000-0005-0000-0000-00007E1A0000}"/>
    <cellStyle name="Accent5 97" xfId="6783" xr:uid="{00000000-0005-0000-0000-00007F1A0000}"/>
    <cellStyle name="Accent5 97 2" xfId="6784" xr:uid="{00000000-0005-0000-0000-0000801A0000}"/>
    <cellStyle name="Accent5 97 2 2" xfId="6785" xr:uid="{00000000-0005-0000-0000-0000811A0000}"/>
    <cellStyle name="Accent5 97 3" xfId="6786" xr:uid="{00000000-0005-0000-0000-0000821A0000}"/>
    <cellStyle name="Accent5 98" xfId="6787" xr:uid="{00000000-0005-0000-0000-0000831A0000}"/>
    <cellStyle name="Accent5 98 2" xfId="6788" xr:uid="{00000000-0005-0000-0000-0000841A0000}"/>
    <cellStyle name="Accent5 98 2 2" xfId="6789" xr:uid="{00000000-0005-0000-0000-0000851A0000}"/>
    <cellStyle name="Accent5 98 3" xfId="6790" xr:uid="{00000000-0005-0000-0000-0000861A0000}"/>
    <cellStyle name="Accent5 99" xfId="6791" xr:uid="{00000000-0005-0000-0000-0000871A0000}"/>
    <cellStyle name="Accent5 99 2" xfId="6792" xr:uid="{00000000-0005-0000-0000-0000881A0000}"/>
    <cellStyle name="Accent5 99 2 2" xfId="6793" xr:uid="{00000000-0005-0000-0000-0000891A0000}"/>
    <cellStyle name="Accent5 99 3" xfId="6794" xr:uid="{00000000-0005-0000-0000-00008A1A0000}"/>
    <cellStyle name="Accent6 - 20%" xfId="6795" xr:uid="{00000000-0005-0000-0000-00008B1A0000}"/>
    <cellStyle name="Accent6 - 20% 2" xfId="6796" xr:uid="{00000000-0005-0000-0000-00008C1A0000}"/>
    <cellStyle name="Accent6 - 20% 2 2" xfId="6797" xr:uid="{00000000-0005-0000-0000-00008D1A0000}"/>
    <cellStyle name="Accent6 - 20% 2 2 2" xfId="6798" xr:uid="{00000000-0005-0000-0000-00008E1A0000}"/>
    <cellStyle name="Accent6 - 20% 2 2 2 2" xfId="6799" xr:uid="{00000000-0005-0000-0000-00008F1A0000}"/>
    <cellStyle name="Accent6 - 20% 2 2 3" xfId="6800" xr:uid="{00000000-0005-0000-0000-0000901A0000}"/>
    <cellStyle name="Accent6 - 20% 2 3" xfId="6801" xr:uid="{00000000-0005-0000-0000-0000911A0000}"/>
    <cellStyle name="Accent6 - 20% 2 3 2" xfId="6802" xr:uid="{00000000-0005-0000-0000-0000921A0000}"/>
    <cellStyle name="Accent6 - 20% 2 3 2 2" xfId="6803" xr:uid="{00000000-0005-0000-0000-0000931A0000}"/>
    <cellStyle name="Accent6 - 20% 2 3 2 2 2" xfId="6804" xr:uid="{00000000-0005-0000-0000-0000941A0000}"/>
    <cellStyle name="Accent6 - 20% 2 3 2 3" xfId="6805" xr:uid="{00000000-0005-0000-0000-0000951A0000}"/>
    <cellStyle name="Accent6 - 20% 2 3 3" xfId="6806" xr:uid="{00000000-0005-0000-0000-0000961A0000}"/>
    <cellStyle name="Accent6 - 20% 2 3 3 2" xfId="6807" xr:uid="{00000000-0005-0000-0000-0000971A0000}"/>
    <cellStyle name="Accent6 - 20% 2 3 4" xfId="6808" xr:uid="{00000000-0005-0000-0000-0000981A0000}"/>
    <cellStyle name="Accent6 - 20% 2 4" xfId="6809" xr:uid="{00000000-0005-0000-0000-0000991A0000}"/>
    <cellStyle name="Accent6 - 20% 2 4 2" xfId="6810" xr:uid="{00000000-0005-0000-0000-00009A1A0000}"/>
    <cellStyle name="Accent6 - 20% 2 5" xfId="6811" xr:uid="{00000000-0005-0000-0000-00009B1A0000}"/>
    <cellStyle name="Accent6 - 20% 2 5 2" xfId="6812" xr:uid="{00000000-0005-0000-0000-00009C1A0000}"/>
    <cellStyle name="Accent6 - 20% 2 6" xfId="6813" xr:uid="{00000000-0005-0000-0000-00009D1A0000}"/>
    <cellStyle name="Accent6 - 20% 3" xfId="6814" xr:uid="{00000000-0005-0000-0000-00009E1A0000}"/>
    <cellStyle name="Accent6 - 20% 3 2" xfId="6815" xr:uid="{00000000-0005-0000-0000-00009F1A0000}"/>
    <cellStyle name="Accent6 - 20% 3 2 2" xfId="6816" xr:uid="{00000000-0005-0000-0000-0000A01A0000}"/>
    <cellStyle name="Accent6 - 20% 3 2 2 2" xfId="6817" xr:uid="{00000000-0005-0000-0000-0000A11A0000}"/>
    <cellStyle name="Accent6 - 20% 3 2 3" xfId="6818" xr:uid="{00000000-0005-0000-0000-0000A21A0000}"/>
    <cellStyle name="Accent6 - 20% 3 3" xfId="6819" xr:uid="{00000000-0005-0000-0000-0000A31A0000}"/>
    <cellStyle name="Accent6 - 20% 3 3 2" xfId="6820" xr:uid="{00000000-0005-0000-0000-0000A41A0000}"/>
    <cellStyle name="Accent6 - 20% 3 4" xfId="6821" xr:uid="{00000000-0005-0000-0000-0000A51A0000}"/>
    <cellStyle name="Accent6 - 20% 4" xfId="6822" xr:uid="{00000000-0005-0000-0000-0000A61A0000}"/>
    <cellStyle name="Accent6 - 20% 4 2" xfId="6823" xr:uid="{00000000-0005-0000-0000-0000A71A0000}"/>
    <cellStyle name="Accent6 - 20% 4 2 2" xfId="6824" xr:uid="{00000000-0005-0000-0000-0000A81A0000}"/>
    <cellStyle name="Accent6 - 20% 4 3" xfId="6825" xr:uid="{00000000-0005-0000-0000-0000A91A0000}"/>
    <cellStyle name="Accent6 - 20% 5" xfId="6826" xr:uid="{00000000-0005-0000-0000-0000AA1A0000}"/>
    <cellStyle name="Accent6 - 20% 5 2" xfId="6827" xr:uid="{00000000-0005-0000-0000-0000AB1A0000}"/>
    <cellStyle name="Accent6 - 20% 6" xfId="6828" xr:uid="{00000000-0005-0000-0000-0000AC1A0000}"/>
    <cellStyle name="Accent6 - 20% 6 2" xfId="6829" xr:uid="{00000000-0005-0000-0000-0000AD1A0000}"/>
    <cellStyle name="Accent6 - 20% 7" xfId="6830" xr:uid="{00000000-0005-0000-0000-0000AE1A0000}"/>
    <cellStyle name="Accent6 - 20% 8" xfId="6831" xr:uid="{00000000-0005-0000-0000-0000AF1A0000}"/>
    <cellStyle name="Accent6 - 40%" xfId="6832" xr:uid="{00000000-0005-0000-0000-0000B01A0000}"/>
    <cellStyle name="Accent6 - 40% 10" xfId="6833" xr:uid="{00000000-0005-0000-0000-0000B11A0000}"/>
    <cellStyle name="Accent6 - 40% 11" xfId="6834" xr:uid="{00000000-0005-0000-0000-0000B21A0000}"/>
    <cellStyle name="Accent6 - 40% 2" xfId="6835" xr:uid="{00000000-0005-0000-0000-0000B31A0000}"/>
    <cellStyle name="Accent6 - 40% 2 2" xfId="6836" xr:uid="{00000000-0005-0000-0000-0000B41A0000}"/>
    <cellStyle name="Accent6 - 40% 2 2 2" xfId="6837" xr:uid="{00000000-0005-0000-0000-0000B51A0000}"/>
    <cellStyle name="Accent6 - 40% 2 2 2 2" xfId="6838" xr:uid="{00000000-0005-0000-0000-0000B61A0000}"/>
    <cellStyle name="Accent6 - 40% 2 2 3" xfId="6839" xr:uid="{00000000-0005-0000-0000-0000B71A0000}"/>
    <cellStyle name="Accent6 - 40% 2 3" xfId="6840" xr:uid="{00000000-0005-0000-0000-0000B81A0000}"/>
    <cellStyle name="Accent6 - 40% 2 3 2" xfId="6841" xr:uid="{00000000-0005-0000-0000-0000B91A0000}"/>
    <cellStyle name="Accent6 - 40% 2 3 2 2" xfId="6842" xr:uid="{00000000-0005-0000-0000-0000BA1A0000}"/>
    <cellStyle name="Accent6 - 40% 2 3 2 2 2" xfId="6843" xr:uid="{00000000-0005-0000-0000-0000BB1A0000}"/>
    <cellStyle name="Accent6 - 40% 2 3 2 3" xfId="6844" xr:uid="{00000000-0005-0000-0000-0000BC1A0000}"/>
    <cellStyle name="Accent6 - 40% 2 3 3" xfId="6845" xr:uid="{00000000-0005-0000-0000-0000BD1A0000}"/>
    <cellStyle name="Accent6 - 40% 2 3 3 2" xfId="6846" xr:uid="{00000000-0005-0000-0000-0000BE1A0000}"/>
    <cellStyle name="Accent6 - 40% 2 3 4" xfId="6847" xr:uid="{00000000-0005-0000-0000-0000BF1A0000}"/>
    <cellStyle name="Accent6 - 40% 2 4" xfId="6848" xr:uid="{00000000-0005-0000-0000-0000C01A0000}"/>
    <cellStyle name="Accent6 - 40% 2 4 2" xfId="6849" xr:uid="{00000000-0005-0000-0000-0000C11A0000}"/>
    <cellStyle name="Accent6 - 40% 2 4 2 2" xfId="6850" xr:uid="{00000000-0005-0000-0000-0000C21A0000}"/>
    <cellStyle name="Accent6 - 40% 2 4 2 2 2" xfId="6851" xr:uid="{00000000-0005-0000-0000-0000C31A0000}"/>
    <cellStyle name="Accent6 - 40% 2 4 2 3" xfId="6852" xr:uid="{00000000-0005-0000-0000-0000C41A0000}"/>
    <cellStyle name="Accent6 - 40% 2 4 3" xfId="6853" xr:uid="{00000000-0005-0000-0000-0000C51A0000}"/>
    <cellStyle name="Accent6 - 40% 2 4 3 2" xfId="6854" xr:uid="{00000000-0005-0000-0000-0000C61A0000}"/>
    <cellStyle name="Accent6 - 40% 2 4 4" xfId="6855" xr:uid="{00000000-0005-0000-0000-0000C71A0000}"/>
    <cellStyle name="Accent6 - 40% 2 5" xfId="6856" xr:uid="{00000000-0005-0000-0000-0000C81A0000}"/>
    <cellStyle name="Accent6 - 40% 2 5 2" xfId="6857" xr:uid="{00000000-0005-0000-0000-0000C91A0000}"/>
    <cellStyle name="Accent6 - 40% 2 6" xfId="6858" xr:uid="{00000000-0005-0000-0000-0000CA1A0000}"/>
    <cellStyle name="Accent6 - 40% 2 6 2" xfId="6859" xr:uid="{00000000-0005-0000-0000-0000CB1A0000}"/>
    <cellStyle name="Accent6 - 40% 2 7" xfId="6860" xr:uid="{00000000-0005-0000-0000-0000CC1A0000}"/>
    <cellStyle name="Accent6 - 40% 3" xfId="6861" xr:uid="{00000000-0005-0000-0000-0000CD1A0000}"/>
    <cellStyle name="Accent6 - 40% 3 2" xfId="6862" xr:uid="{00000000-0005-0000-0000-0000CE1A0000}"/>
    <cellStyle name="Accent6 - 40% 3 2 2" xfId="6863" xr:uid="{00000000-0005-0000-0000-0000CF1A0000}"/>
    <cellStyle name="Accent6 - 40% 3 2 2 2" xfId="6864" xr:uid="{00000000-0005-0000-0000-0000D01A0000}"/>
    <cellStyle name="Accent6 - 40% 3 2 3" xfId="6865" xr:uid="{00000000-0005-0000-0000-0000D11A0000}"/>
    <cellStyle name="Accent6 - 40% 3 3" xfId="6866" xr:uid="{00000000-0005-0000-0000-0000D21A0000}"/>
    <cellStyle name="Accent6 - 40% 3 3 2" xfId="6867" xr:uid="{00000000-0005-0000-0000-0000D31A0000}"/>
    <cellStyle name="Accent6 - 40% 3 4" xfId="6868" xr:uid="{00000000-0005-0000-0000-0000D41A0000}"/>
    <cellStyle name="Accent6 - 40% 4" xfId="6869" xr:uid="{00000000-0005-0000-0000-0000D51A0000}"/>
    <cellStyle name="Accent6 - 40% 4 2" xfId="6870" xr:uid="{00000000-0005-0000-0000-0000D61A0000}"/>
    <cellStyle name="Accent6 - 40% 4 2 2" xfId="6871" xr:uid="{00000000-0005-0000-0000-0000D71A0000}"/>
    <cellStyle name="Accent6 - 40% 4 3" xfId="6872" xr:uid="{00000000-0005-0000-0000-0000D81A0000}"/>
    <cellStyle name="Accent6 - 40% 5" xfId="6873" xr:uid="{00000000-0005-0000-0000-0000D91A0000}"/>
    <cellStyle name="Accent6 - 40% 5 2" xfId="6874" xr:uid="{00000000-0005-0000-0000-0000DA1A0000}"/>
    <cellStyle name="Accent6 - 40% 5 2 2" xfId="6875" xr:uid="{00000000-0005-0000-0000-0000DB1A0000}"/>
    <cellStyle name="Accent6 - 40% 5 3" xfId="6876" xr:uid="{00000000-0005-0000-0000-0000DC1A0000}"/>
    <cellStyle name="Accent6 - 40% 6" xfId="6877" xr:uid="{00000000-0005-0000-0000-0000DD1A0000}"/>
    <cellStyle name="Accent6 - 40% 6 2" xfId="6878" xr:uid="{00000000-0005-0000-0000-0000DE1A0000}"/>
    <cellStyle name="Accent6 - 40% 7" xfId="6879" xr:uid="{00000000-0005-0000-0000-0000DF1A0000}"/>
    <cellStyle name="Accent6 - 40% 7 2" xfId="6880" xr:uid="{00000000-0005-0000-0000-0000E01A0000}"/>
    <cellStyle name="Accent6 - 40% 8" xfId="6881" xr:uid="{00000000-0005-0000-0000-0000E11A0000}"/>
    <cellStyle name="Accent6 - 40% 8 2" xfId="6882" xr:uid="{00000000-0005-0000-0000-0000E21A0000}"/>
    <cellStyle name="Accent6 - 40% 9" xfId="6883" xr:uid="{00000000-0005-0000-0000-0000E31A0000}"/>
    <cellStyle name="Accent6 - 40% 9 2" xfId="6884" xr:uid="{00000000-0005-0000-0000-0000E41A0000}"/>
    <cellStyle name="Accent6 - 60%" xfId="6885" xr:uid="{00000000-0005-0000-0000-0000E51A0000}"/>
    <cellStyle name="Accent6 - 60% 10" xfId="6886" xr:uid="{00000000-0005-0000-0000-0000E61A0000}"/>
    <cellStyle name="Accent6 - 60% 2" xfId="6887" xr:uid="{00000000-0005-0000-0000-0000E71A0000}"/>
    <cellStyle name="Accent6 - 60% 2 2" xfId="6888" xr:uid="{00000000-0005-0000-0000-0000E81A0000}"/>
    <cellStyle name="Accent6 - 60% 2 2 2" xfId="6889" xr:uid="{00000000-0005-0000-0000-0000E91A0000}"/>
    <cellStyle name="Accent6 - 60% 2 3" xfId="6890" xr:uid="{00000000-0005-0000-0000-0000EA1A0000}"/>
    <cellStyle name="Accent6 - 60% 2 3 2" xfId="6891" xr:uid="{00000000-0005-0000-0000-0000EB1A0000}"/>
    <cellStyle name="Accent6 - 60% 2 3 2 2" xfId="6892" xr:uid="{00000000-0005-0000-0000-0000EC1A0000}"/>
    <cellStyle name="Accent6 - 60% 2 3 3" xfId="6893" xr:uid="{00000000-0005-0000-0000-0000ED1A0000}"/>
    <cellStyle name="Accent6 - 60% 2 4" xfId="6894" xr:uid="{00000000-0005-0000-0000-0000EE1A0000}"/>
    <cellStyle name="Accent6 - 60% 2 4 2" xfId="6895" xr:uid="{00000000-0005-0000-0000-0000EF1A0000}"/>
    <cellStyle name="Accent6 - 60% 2 4 2 2" xfId="6896" xr:uid="{00000000-0005-0000-0000-0000F01A0000}"/>
    <cellStyle name="Accent6 - 60% 2 4 3" xfId="6897" xr:uid="{00000000-0005-0000-0000-0000F11A0000}"/>
    <cellStyle name="Accent6 - 60% 2 5" xfId="6898" xr:uid="{00000000-0005-0000-0000-0000F21A0000}"/>
    <cellStyle name="Accent6 - 60% 3" xfId="6899" xr:uid="{00000000-0005-0000-0000-0000F31A0000}"/>
    <cellStyle name="Accent6 - 60% 3 2" xfId="6900" xr:uid="{00000000-0005-0000-0000-0000F41A0000}"/>
    <cellStyle name="Accent6 - 60% 3 2 2" xfId="6901" xr:uid="{00000000-0005-0000-0000-0000F51A0000}"/>
    <cellStyle name="Accent6 - 60% 3 3" xfId="6902" xr:uid="{00000000-0005-0000-0000-0000F61A0000}"/>
    <cellStyle name="Accent6 - 60% 4" xfId="6903" xr:uid="{00000000-0005-0000-0000-0000F71A0000}"/>
    <cellStyle name="Accent6 - 60% 4 2" xfId="6904" xr:uid="{00000000-0005-0000-0000-0000F81A0000}"/>
    <cellStyle name="Accent6 - 60% 5" xfId="6905" xr:uid="{00000000-0005-0000-0000-0000F91A0000}"/>
    <cellStyle name="Accent6 - 60% 5 2" xfId="6906" xr:uid="{00000000-0005-0000-0000-0000FA1A0000}"/>
    <cellStyle name="Accent6 - 60% 6" xfId="6907" xr:uid="{00000000-0005-0000-0000-0000FB1A0000}"/>
    <cellStyle name="Accent6 - 60% 6 2" xfId="6908" xr:uid="{00000000-0005-0000-0000-0000FC1A0000}"/>
    <cellStyle name="Accent6 - 60% 6 2 2" xfId="6909" xr:uid="{00000000-0005-0000-0000-0000FD1A0000}"/>
    <cellStyle name="Accent6 - 60% 6 3" xfId="6910" xr:uid="{00000000-0005-0000-0000-0000FE1A0000}"/>
    <cellStyle name="Accent6 - 60% 7" xfId="6911" xr:uid="{00000000-0005-0000-0000-0000FF1A0000}"/>
    <cellStyle name="Accent6 - 60% 7 2" xfId="6912" xr:uid="{00000000-0005-0000-0000-0000001B0000}"/>
    <cellStyle name="Accent6 - 60% 8" xfId="6913" xr:uid="{00000000-0005-0000-0000-0000011B0000}"/>
    <cellStyle name="Accent6 - 60% 8 2" xfId="6914" xr:uid="{00000000-0005-0000-0000-0000021B0000}"/>
    <cellStyle name="Accent6 - 60% 9" xfId="6915" xr:uid="{00000000-0005-0000-0000-0000031B0000}"/>
    <cellStyle name="Accent6 10" xfId="6916" xr:uid="{00000000-0005-0000-0000-0000041B0000}"/>
    <cellStyle name="Accent6 10 2" xfId="6917" xr:uid="{00000000-0005-0000-0000-0000051B0000}"/>
    <cellStyle name="Accent6 10 2 2" xfId="6918" xr:uid="{00000000-0005-0000-0000-0000061B0000}"/>
    <cellStyle name="Accent6 10 3" xfId="6919" xr:uid="{00000000-0005-0000-0000-0000071B0000}"/>
    <cellStyle name="Accent6 100" xfId="6920" xr:uid="{00000000-0005-0000-0000-0000081B0000}"/>
    <cellStyle name="Accent6 100 2" xfId="6921" xr:uid="{00000000-0005-0000-0000-0000091B0000}"/>
    <cellStyle name="Accent6 100 2 2" xfId="6922" xr:uid="{00000000-0005-0000-0000-00000A1B0000}"/>
    <cellStyle name="Accent6 100 3" xfId="6923" xr:uid="{00000000-0005-0000-0000-00000B1B0000}"/>
    <cellStyle name="Accent6 101" xfId="6924" xr:uid="{00000000-0005-0000-0000-00000C1B0000}"/>
    <cellStyle name="Accent6 101 2" xfId="6925" xr:uid="{00000000-0005-0000-0000-00000D1B0000}"/>
    <cellStyle name="Accent6 101 2 2" xfId="6926" xr:uid="{00000000-0005-0000-0000-00000E1B0000}"/>
    <cellStyle name="Accent6 101 3" xfId="6927" xr:uid="{00000000-0005-0000-0000-00000F1B0000}"/>
    <cellStyle name="Accent6 102" xfId="6928" xr:uid="{00000000-0005-0000-0000-0000101B0000}"/>
    <cellStyle name="Accent6 102 2" xfId="6929" xr:uid="{00000000-0005-0000-0000-0000111B0000}"/>
    <cellStyle name="Accent6 103" xfId="6930" xr:uid="{00000000-0005-0000-0000-0000121B0000}"/>
    <cellStyle name="Accent6 103 2" xfId="6931" xr:uid="{00000000-0005-0000-0000-0000131B0000}"/>
    <cellStyle name="Accent6 104" xfId="6932" xr:uid="{00000000-0005-0000-0000-0000141B0000}"/>
    <cellStyle name="Accent6 104 2" xfId="6933" xr:uid="{00000000-0005-0000-0000-0000151B0000}"/>
    <cellStyle name="Accent6 104 2 2" xfId="6934" xr:uid="{00000000-0005-0000-0000-0000161B0000}"/>
    <cellStyle name="Accent6 104 3" xfId="6935" xr:uid="{00000000-0005-0000-0000-0000171B0000}"/>
    <cellStyle name="Accent6 105" xfId="6936" xr:uid="{00000000-0005-0000-0000-0000181B0000}"/>
    <cellStyle name="Accent6 105 2" xfId="6937" xr:uid="{00000000-0005-0000-0000-0000191B0000}"/>
    <cellStyle name="Accent6 105 2 2" xfId="6938" xr:uid="{00000000-0005-0000-0000-00001A1B0000}"/>
    <cellStyle name="Accent6 105 3" xfId="6939" xr:uid="{00000000-0005-0000-0000-00001B1B0000}"/>
    <cellStyle name="Accent6 106" xfId="6940" xr:uid="{00000000-0005-0000-0000-00001C1B0000}"/>
    <cellStyle name="Accent6 106 2" xfId="6941" xr:uid="{00000000-0005-0000-0000-00001D1B0000}"/>
    <cellStyle name="Accent6 106 2 2" xfId="6942" xr:uid="{00000000-0005-0000-0000-00001E1B0000}"/>
    <cellStyle name="Accent6 106 3" xfId="6943" xr:uid="{00000000-0005-0000-0000-00001F1B0000}"/>
    <cellStyle name="Accent6 107" xfId="6944" xr:uid="{00000000-0005-0000-0000-0000201B0000}"/>
    <cellStyle name="Accent6 107 2" xfId="6945" xr:uid="{00000000-0005-0000-0000-0000211B0000}"/>
    <cellStyle name="Accent6 107 2 2" xfId="6946" xr:uid="{00000000-0005-0000-0000-0000221B0000}"/>
    <cellStyle name="Accent6 107 3" xfId="6947" xr:uid="{00000000-0005-0000-0000-0000231B0000}"/>
    <cellStyle name="Accent6 108" xfId="6948" xr:uid="{00000000-0005-0000-0000-0000241B0000}"/>
    <cellStyle name="Accent6 108 2" xfId="6949" xr:uid="{00000000-0005-0000-0000-0000251B0000}"/>
    <cellStyle name="Accent6 108 2 2" xfId="6950" xr:uid="{00000000-0005-0000-0000-0000261B0000}"/>
    <cellStyle name="Accent6 108 3" xfId="6951" xr:uid="{00000000-0005-0000-0000-0000271B0000}"/>
    <cellStyle name="Accent6 109" xfId="6952" xr:uid="{00000000-0005-0000-0000-0000281B0000}"/>
    <cellStyle name="Accent6 109 2" xfId="6953" xr:uid="{00000000-0005-0000-0000-0000291B0000}"/>
    <cellStyle name="Accent6 109 2 2" xfId="6954" xr:uid="{00000000-0005-0000-0000-00002A1B0000}"/>
    <cellStyle name="Accent6 109 3" xfId="6955" xr:uid="{00000000-0005-0000-0000-00002B1B0000}"/>
    <cellStyle name="Accent6 11" xfId="6956" xr:uid="{00000000-0005-0000-0000-00002C1B0000}"/>
    <cellStyle name="Accent6 11 2" xfId="6957" xr:uid="{00000000-0005-0000-0000-00002D1B0000}"/>
    <cellStyle name="Accent6 11 2 2" xfId="6958" xr:uid="{00000000-0005-0000-0000-00002E1B0000}"/>
    <cellStyle name="Accent6 11 3" xfId="6959" xr:uid="{00000000-0005-0000-0000-00002F1B0000}"/>
    <cellStyle name="Accent6 110" xfId="6960" xr:uid="{00000000-0005-0000-0000-0000301B0000}"/>
    <cellStyle name="Accent6 110 2" xfId="6961" xr:uid="{00000000-0005-0000-0000-0000311B0000}"/>
    <cellStyle name="Accent6 110 2 2" xfId="6962" xr:uid="{00000000-0005-0000-0000-0000321B0000}"/>
    <cellStyle name="Accent6 110 3" xfId="6963" xr:uid="{00000000-0005-0000-0000-0000331B0000}"/>
    <cellStyle name="Accent6 111" xfId="6964" xr:uid="{00000000-0005-0000-0000-0000341B0000}"/>
    <cellStyle name="Accent6 111 2" xfId="6965" xr:uid="{00000000-0005-0000-0000-0000351B0000}"/>
    <cellStyle name="Accent6 111 2 2" xfId="6966" xr:uid="{00000000-0005-0000-0000-0000361B0000}"/>
    <cellStyle name="Accent6 111 3" xfId="6967" xr:uid="{00000000-0005-0000-0000-0000371B0000}"/>
    <cellStyle name="Accent6 112" xfId="6968" xr:uid="{00000000-0005-0000-0000-0000381B0000}"/>
    <cellStyle name="Accent6 112 2" xfId="6969" xr:uid="{00000000-0005-0000-0000-0000391B0000}"/>
    <cellStyle name="Accent6 112 2 2" xfId="6970" xr:uid="{00000000-0005-0000-0000-00003A1B0000}"/>
    <cellStyle name="Accent6 112 3" xfId="6971" xr:uid="{00000000-0005-0000-0000-00003B1B0000}"/>
    <cellStyle name="Accent6 113" xfId="6972" xr:uid="{00000000-0005-0000-0000-00003C1B0000}"/>
    <cellStyle name="Accent6 113 2" xfId="6973" xr:uid="{00000000-0005-0000-0000-00003D1B0000}"/>
    <cellStyle name="Accent6 113 2 2" xfId="6974" xr:uid="{00000000-0005-0000-0000-00003E1B0000}"/>
    <cellStyle name="Accent6 113 3" xfId="6975" xr:uid="{00000000-0005-0000-0000-00003F1B0000}"/>
    <cellStyle name="Accent6 114" xfId="6976" xr:uid="{00000000-0005-0000-0000-0000401B0000}"/>
    <cellStyle name="Accent6 114 2" xfId="6977" xr:uid="{00000000-0005-0000-0000-0000411B0000}"/>
    <cellStyle name="Accent6 115" xfId="6978" xr:uid="{00000000-0005-0000-0000-0000421B0000}"/>
    <cellStyle name="Accent6 115 2" xfId="6979" xr:uid="{00000000-0005-0000-0000-0000431B0000}"/>
    <cellStyle name="Accent6 116" xfId="6980" xr:uid="{00000000-0005-0000-0000-0000441B0000}"/>
    <cellStyle name="Accent6 116 2" xfId="6981" xr:uid="{00000000-0005-0000-0000-0000451B0000}"/>
    <cellStyle name="Accent6 117" xfId="6982" xr:uid="{00000000-0005-0000-0000-0000461B0000}"/>
    <cellStyle name="Accent6 117 2" xfId="6983" xr:uid="{00000000-0005-0000-0000-0000471B0000}"/>
    <cellStyle name="Accent6 118" xfId="6984" xr:uid="{00000000-0005-0000-0000-0000481B0000}"/>
    <cellStyle name="Accent6 118 2" xfId="6985" xr:uid="{00000000-0005-0000-0000-0000491B0000}"/>
    <cellStyle name="Accent6 119" xfId="6986" xr:uid="{00000000-0005-0000-0000-00004A1B0000}"/>
    <cellStyle name="Accent6 119 2" xfId="6987" xr:uid="{00000000-0005-0000-0000-00004B1B0000}"/>
    <cellStyle name="Accent6 12" xfId="6988" xr:uid="{00000000-0005-0000-0000-00004C1B0000}"/>
    <cellStyle name="Accent6 12 2" xfId="6989" xr:uid="{00000000-0005-0000-0000-00004D1B0000}"/>
    <cellStyle name="Accent6 12 2 2" xfId="6990" xr:uid="{00000000-0005-0000-0000-00004E1B0000}"/>
    <cellStyle name="Accent6 12 3" xfId="6991" xr:uid="{00000000-0005-0000-0000-00004F1B0000}"/>
    <cellStyle name="Accent6 120" xfId="6992" xr:uid="{00000000-0005-0000-0000-0000501B0000}"/>
    <cellStyle name="Accent6 120 2" xfId="6993" xr:uid="{00000000-0005-0000-0000-0000511B0000}"/>
    <cellStyle name="Accent6 121" xfId="6994" xr:uid="{00000000-0005-0000-0000-0000521B0000}"/>
    <cellStyle name="Accent6 121 2" xfId="6995" xr:uid="{00000000-0005-0000-0000-0000531B0000}"/>
    <cellStyle name="Accent6 122" xfId="6996" xr:uid="{00000000-0005-0000-0000-0000541B0000}"/>
    <cellStyle name="Accent6 122 2" xfId="6997" xr:uid="{00000000-0005-0000-0000-0000551B0000}"/>
    <cellStyle name="Accent6 123" xfId="6998" xr:uid="{00000000-0005-0000-0000-0000561B0000}"/>
    <cellStyle name="Accent6 123 2" xfId="6999" xr:uid="{00000000-0005-0000-0000-0000571B0000}"/>
    <cellStyle name="Accent6 124" xfId="7000" xr:uid="{00000000-0005-0000-0000-0000581B0000}"/>
    <cellStyle name="Accent6 124 2" xfId="7001" xr:uid="{00000000-0005-0000-0000-0000591B0000}"/>
    <cellStyle name="Accent6 125" xfId="7002" xr:uid="{00000000-0005-0000-0000-00005A1B0000}"/>
    <cellStyle name="Accent6 125 2" xfId="7003" xr:uid="{00000000-0005-0000-0000-00005B1B0000}"/>
    <cellStyle name="Accent6 126" xfId="7004" xr:uid="{00000000-0005-0000-0000-00005C1B0000}"/>
    <cellStyle name="Accent6 127" xfId="7005" xr:uid="{00000000-0005-0000-0000-00005D1B0000}"/>
    <cellStyle name="Accent6 128" xfId="7006" xr:uid="{00000000-0005-0000-0000-00005E1B0000}"/>
    <cellStyle name="Accent6 129" xfId="7007" xr:uid="{00000000-0005-0000-0000-00005F1B0000}"/>
    <cellStyle name="Accent6 13" xfId="7008" xr:uid="{00000000-0005-0000-0000-0000601B0000}"/>
    <cellStyle name="Accent6 13 2" xfId="7009" xr:uid="{00000000-0005-0000-0000-0000611B0000}"/>
    <cellStyle name="Accent6 13 2 2" xfId="7010" xr:uid="{00000000-0005-0000-0000-0000621B0000}"/>
    <cellStyle name="Accent6 13 3" xfId="7011" xr:uid="{00000000-0005-0000-0000-0000631B0000}"/>
    <cellStyle name="Accent6 130" xfId="7012" xr:uid="{00000000-0005-0000-0000-0000641B0000}"/>
    <cellStyle name="Accent6 131" xfId="7013" xr:uid="{00000000-0005-0000-0000-0000651B0000}"/>
    <cellStyle name="Accent6 132" xfId="7014" xr:uid="{00000000-0005-0000-0000-0000661B0000}"/>
    <cellStyle name="Accent6 133" xfId="7015" xr:uid="{00000000-0005-0000-0000-0000671B0000}"/>
    <cellStyle name="Accent6 134" xfId="7016" xr:uid="{00000000-0005-0000-0000-0000681B0000}"/>
    <cellStyle name="Accent6 135" xfId="7017" xr:uid="{00000000-0005-0000-0000-0000691B0000}"/>
    <cellStyle name="Accent6 136" xfId="7018" xr:uid="{00000000-0005-0000-0000-00006A1B0000}"/>
    <cellStyle name="Accent6 137" xfId="7019" xr:uid="{00000000-0005-0000-0000-00006B1B0000}"/>
    <cellStyle name="Accent6 138" xfId="7020" xr:uid="{00000000-0005-0000-0000-00006C1B0000}"/>
    <cellStyle name="Accent6 139" xfId="7021" xr:uid="{00000000-0005-0000-0000-00006D1B0000}"/>
    <cellStyle name="Accent6 14" xfId="7022" xr:uid="{00000000-0005-0000-0000-00006E1B0000}"/>
    <cellStyle name="Accent6 14 2" xfId="7023" xr:uid="{00000000-0005-0000-0000-00006F1B0000}"/>
    <cellStyle name="Accent6 14 2 2" xfId="7024" xr:uid="{00000000-0005-0000-0000-0000701B0000}"/>
    <cellStyle name="Accent6 14 3" xfId="7025" xr:uid="{00000000-0005-0000-0000-0000711B0000}"/>
    <cellStyle name="Accent6 140" xfId="7026" xr:uid="{00000000-0005-0000-0000-0000721B0000}"/>
    <cellStyle name="Accent6 141" xfId="7027" xr:uid="{00000000-0005-0000-0000-0000731B0000}"/>
    <cellStyle name="Accent6 142" xfId="7028" xr:uid="{00000000-0005-0000-0000-0000741B0000}"/>
    <cellStyle name="Accent6 143" xfId="7029" xr:uid="{00000000-0005-0000-0000-0000751B0000}"/>
    <cellStyle name="Accent6 144" xfId="7030" xr:uid="{00000000-0005-0000-0000-0000761B0000}"/>
    <cellStyle name="Accent6 145" xfId="7031" xr:uid="{00000000-0005-0000-0000-0000771B0000}"/>
    <cellStyle name="Accent6 146" xfId="7032" xr:uid="{00000000-0005-0000-0000-0000781B0000}"/>
    <cellStyle name="Accent6 147" xfId="7033" xr:uid="{00000000-0005-0000-0000-0000791B0000}"/>
    <cellStyle name="Accent6 148" xfId="7034" xr:uid="{00000000-0005-0000-0000-00007A1B0000}"/>
    <cellStyle name="Accent6 149" xfId="7035" xr:uid="{00000000-0005-0000-0000-00007B1B0000}"/>
    <cellStyle name="Accent6 15" xfId="7036" xr:uid="{00000000-0005-0000-0000-00007C1B0000}"/>
    <cellStyle name="Accent6 15 2" xfId="7037" xr:uid="{00000000-0005-0000-0000-00007D1B0000}"/>
    <cellStyle name="Accent6 15 2 2" xfId="7038" xr:uid="{00000000-0005-0000-0000-00007E1B0000}"/>
    <cellStyle name="Accent6 15 3" xfId="7039" xr:uid="{00000000-0005-0000-0000-00007F1B0000}"/>
    <cellStyle name="Accent6 150" xfId="7040" xr:uid="{00000000-0005-0000-0000-0000801B0000}"/>
    <cellStyle name="Accent6 151" xfId="7041" xr:uid="{00000000-0005-0000-0000-0000811B0000}"/>
    <cellStyle name="Accent6 152" xfId="7042" xr:uid="{00000000-0005-0000-0000-0000821B0000}"/>
    <cellStyle name="Accent6 153" xfId="7043" xr:uid="{00000000-0005-0000-0000-0000831B0000}"/>
    <cellStyle name="Accent6 154" xfId="7044" xr:uid="{00000000-0005-0000-0000-0000841B0000}"/>
    <cellStyle name="Accent6 155" xfId="7045" xr:uid="{00000000-0005-0000-0000-0000851B0000}"/>
    <cellStyle name="Accent6 156" xfId="7046" xr:uid="{00000000-0005-0000-0000-0000861B0000}"/>
    <cellStyle name="Accent6 157" xfId="7047" xr:uid="{00000000-0005-0000-0000-0000871B0000}"/>
    <cellStyle name="Accent6 158" xfId="7048" xr:uid="{00000000-0005-0000-0000-0000881B0000}"/>
    <cellStyle name="Accent6 159" xfId="7049" xr:uid="{00000000-0005-0000-0000-0000891B0000}"/>
    <cellStyle name="Accent6 16" xfId="7050" xr:uid="{00000000-0005-0000-0000-00008A1B0000}"/>
    <cellStyle name="Accent6 16 2" xfId="7051" xr:uid="{00000000-0005-0000-0000-00008B1B0000}"/>
    <cellStyle name="Accent6 16 2 2" xfId="7052" xr:uid="{00000000-0005-0000-0000-00008C1B0000}"/>
    <cellStyle name="Accent6 16 3" xfId="7053" xr:uid="{00000000-0005-0000-0000-00008D1B0000}"/>
    <cellStyle name="Accent6 160" xfId="7054" xr:uid="{00000000-0005-0000-0000-00008E1B0000}"/>
    <cellStyle name="Accent6 161" xfId="7055" xr:uid="{00000000-0005-0000-0000-00008F1B0000}"/>
    <cellStyle name="Accent6 162" xfId="7056" xr:uid="{00000000-0005-0000-0000-0000901B0000}"/>
    <cellStyle name="Accent6 163" xfId="7057" xr:uid="{00000000-0005-0000-0000-0000911B0000}"/>
    <cellStyle name="Accent6 164" xfId="7058" xr:uid="{00000000-0005-0000-0000-0000921B0000}"/>
    <cellStyle name="Accent6 165" xfId="7059" xr:uid="{00000000-0005-0000-0000-0000931B0000}"/>
    <cellStyle name="Accent6 166" xfId="7060" xr:uid="{00000000-0005-0000-0000-0000941B0000}"/>
    <cellStyle name="Accent6 167" xfId="7061" xr:uid="{00000000-0005-0000-0000-0000951B0000}"/>
    <cellStyle name="Accent6 168" xfId="7062" xr:uid="{00000000-0005-0000-0000-0000961B0000}"/>
    <cellStyle name="Accent6 169" xfId="7063" xr:uid="{00000000-0005-0000-0000-0000971B0000}"/>
    <cellStyle name="Accent6 17" xfId="7064" xr:uid="{00000000-0005-0000-0000-0000981B0000}"/>
    <cellStyle name="Accent6 17 2" xfId="7065" xr:uid="{00000000-0005-0000-0000-0000991B0000}"/>
    <cellStyle name="Accent6 17 2 2" xfId="7066" xr:uid="{00000000-0005-0000-0000-00009A1B0000}"/>
    <cellStyle name="Accent6 17 3" xfId="7067" xr:uid="{00000000-0005-0000-0000-00009B1B0000}"/>
    <cellStyle name="Accent6 170" xfId="7068" xr:uid="{00000000-0005-0000-0000-00009C1B0000}"/>
    <cellStyle name="Accent6 171" xfId="7069" xr:uid="{00000000-0005-0000-0000-00009D1B0000}"/>
    <cellStyle name="Accent6 172" xfId="7070" xr:uid="{00000000-0005-0000-0000-00009E1B0000}"/>
    <cellStyle name="Accent6 173" xfId="7071" xr:uid="{00000000-0005-0000-0000-00009F1B0000}"/>
    <cellStyle name="Accent6 174" xfId="7072" xr:uid="{00000000-0005-0000-0000-0000A01B0000}"/>
    <cellStyle name="Accent6 175" xfId="7073" xr:uid="{00000000-0005-0000-0000-0000A11B0000}"/>
    <cellStyle name="Accent6 176" xfId="7074" xr:uid="{00000000-0005-0000-0000-0000A21B0000}"/>
    <cellStyle name="Accent6 177" xfId="7075" xr:uid="{00000000-0005-0000-0000-0000A31B0000}"/>
    <cellStyle name="Accent6 178" xfId="7076" xr:uid="{00000000-0005-0000-0000-0000A41B0000}"/>
    <cellStyle name="Accent6 179" xfId="7077" xr:uid="{00000000-0005-0000-0000-0000A51B0000}"/>
    <cellStyle name="Accent6 18" xfId="7078" xr:uid="{00000000-0005-0000-0000-0000A61B0000}"/>
    <cellStyle name="Accent6 18 2" xfId="7079" xr:uid="{00000000-0005-0000-0000-0000A71B0000}"/>
    <cellStyle name="Accent6 18 2 2" xfId="7080" xr:uid="{00000000-0005-0000-0000-0000A81B0000}"/>
    <cellStyle name="Accent6 18 3" xfId="7081" xr:uid="{00000000-0005-0000-0000-0000A91B0000}"/>
    <cellStyle name="Accent6 19" xfId="7082" xr:uid="{00000000-0005-0000-0000-0000AA1B0000}"/>
    <cellStyle name="Accent6 19 2" xfId="7083" xr:uid="{00000000-0005-0000-0000-0000AB1B0000}"/>
    <cellStyle name="Accent6 19 2 2" xfId="7084" xr:uid="{00000000-0005-0000-0000-0000AC1B0000}"/>
    <cellStyle name="Accent6 19 3" xfId="7085" xr:uid="{00000000-0005-0000-0000-0000AD1B0000}"/>
    <cellStyle name="Accent6 2" xfId="7086" xr:uid="{00000000-0005-0000-0000-0000AE1B0000}"/>
    <cellStyle name="Accent6 2 10" xfId="7087" xr:uid="{00000000-0005-0000-0000-0000AF1B0000}"/>
    <cellStyle name="Accent6 2 10 2" xfId="7088" xr:uid="{00000000-0005-0000-0000-0000B01B0000}"/>
    <cellStyle name="Accent6 2 11" xfId="7089" xr:uid="{00000000-0005-0000-0000-0000B11B0000}"/>
    <cellStyle name="Accent6 2 12" xfId="7090" xr:uid="{00000000-0005-0000-0000-0000B21B0000}"/>
    <cellStyle name="Accent6 2 2" xfId="7091" xr:uid="{00000000-0005-0000-0000-0000B31B0000}"/>
    <cellStyle name="Accent6 2 2 2" xfId="7092" xr:uid="{00000000-0005-0000-0000-0000B41B0000}"/>
    <cellStyle name="Accent6 2 2 2 2" xfId="7093" xr:uid="{00000000-0005-0000-0000-0000B51B0000}"/>
    <cellStyle name="Accent6 2 2 3" xfId="7094" xr:uid="{00000000-0005-0000-0000-0000B61B0000}"/>
    <cellStyle name="Accent6 2 2 3 2" xfId="7095" xr:uid="{00000000-0005-0000-0000-0000B71B0000}"/>
    <cellStyle name="Accent6 2 2 3 2 2" xfId="7096" xr:uid="{00000000-0005-0000-0000-0000B81B0000}"/>
    <cellStyle name="Accent6 2 2 3 3" xfId="7097" xr:uid="{00000000-0005-0000-0000-0000B91B0000}"/>
    <cellStyle name="Accent6 2 2 4" xfId="7098" xr:uid="{00000000-0005-0000-0000-0000BA1B0000}"/>
    <cellStyle name="Accent6 2 3" xfId="7099" xr:uid="{00000000-0005-0000-0000-0000BB1B0000}"/>
    <cellStyle name="Accent6 2 3 2" xfId="7100" xr:uid="{00000000-0005-0000-0000-0000BC1B0000}"/>
    <cellStyle name="Accent6 2 3 2 2" xfId="7101" xr:uid="{00000000-0005-0000-0000-0000BD1B0000}"/>
    <cellStyle name="Accent6 2 3 3" xfId="7102" xr:uid="{00000000-0005-0000-0000-0000BE1B0000}"/>
    <cellStyle name="Accent6 2 3 3 2" xfId="7103" xr:uid="{00000000-0005-0000-0000-0000BF1B0000}"/>
    <cellStyle name="Accent6 2 3 3 2 2" xfId="7104" xr:uid="{00000000-0005-0000-0000-0000C01B0000}"/>
    <cellStyle name="Accent6 2 3 3 3" xfId="7105" xr:uid="{00000000-0005-0000-0000-0000C11B0000}"/>
    <cellStyle name="Accent6 2 3 4" xfId="7106" xr:uid="{00000000-0005-0000-0000-0000C21B0000}"/>
    <cellStyle name="Accent6 2 4" xfId="7107" xr:uid="{00000000-0005-0000-0000-0000C31B0000}"/>
    <cellStyle name="Accent6 2 4 2" xfId="7108" xr:uid="{00000000-0005-0000-0000-0000C41B0000}"/>
    <cellStyle name="Accent6 2 4 2 2" xfId="7109" xr:uid="{00000000-0005-0000-0000-0000C51B0000}"/>
    <cellStyle name="Accent6 2 4 3" xfId="7110" xr:uid="{00000000-0005-0000-0000-0000C61B0000}"/>
    <cellStyle name="Accent6 2 5" xfId="7111" xr:uid="{00000000-0005-0000-0000-0000C71B0000}"/>
    <cellStyle name="Accent6 2 5 2" xfId="7112" xr:uid="{00000000-0005-0000-0000-0000C81B0000}"/>
    <cellStyle name="Accent6 2 5 2 2" xfId="7113" xr:uid="{00000000-0005-0000-0000-0000C91B0000}"/>
    <cellStyle name="Accent6 2 5 3" xfId="7114" xr:uid="{00000000-0005-0000-0000-0000CA1B0000}"/>
    <cellStyle name="Accent6 2 5 3 2" xfId="7115" xr:uid="{00000000-0005-0000-0000-0000CB1B0000}"/>
    <cellStyle name="Accent6 2 5 3 2 2" xfId="7116" xr:uid="{00000000-0005-0000-0000-0000CC1B0000}"/>
    <cellStyle name="Accent6 2 5 3 3" xfId="7117" xr:uid="{00000000-0005-0000-0000-0000CD1B0000}"/>
    <cellStyle name="Accent6 2 5 4" xfId="7118" xr:uid="{00000000-0005-0000-0000-0000CE1B0000}"/>
    <cellStyle name="Accent6 2 6" xfId="7119" xr:uid="{00000000-0005-0000-0000-0000CF1B0000}"/>
    <cellStyle name="Accent6 2 6 2" xfId="7120" xr:uid="{00000000-0005-0000-0000-0000D01B0000}"/>
    <cellStyle name="Accent6 2 6 2 2" xfId="7121" xr:uid="{00000000-0005-0000-0000-0000D11B0000}"/>
    <cellStyle name="Accent6 2 6 3" xfId="7122" xr:uid="{00000000-0005-0000-0000-0000D21B0000}"/>
    <cellStyle name="Accent6 2 6 3 2" xfId="7123" xr:uid="{00000000-0005-0000-0000-0000D31B0000}"/>
    <cellStyle name="Accent6 2 6 4" xfId="7124" xr:uid="{00000000-0005-0000-0000-0000D41B0000}"/>
    <cellStyle name="Accent6 2 7" xfId="7125" xr:uid="{00000000-0005-0000-0000-0000D51B0000}"/>
    <cellStyle name="Accent6 2 7 2" xfId="7126" xr:uid="{00000000-0005-0000-0000-0000D61B0000}"/>
    <cellStyle name="Accent6 2 8" xfId="7127" xr:uid="{00000000-0005-0000-0000-0000D71B0000}"/>
    <cellStyle name="Accent6 2 8 2" xfId="7128" xr:uid="{00000000-0005-0000-0000-0000D81B0000}"/>
    <cellStyle name="Accent6 2 8 2 2" xfId="7129" xr:uid="{00000000-0005-0000-0000-0000D91B0000}"/>
    <cellStyle name="Accent6 2 8 3" xfId="7130" xr:uid="{00000000-0005-0000-0000-0000DA1B0000}"/>
    <cellStyle name="Accent6 2 9" xfId="7131" xr:uid="{00000000-0005-0000-0000-0000DB1B0000}"/>
    <cellStyle name="Accent6 2 9 2" xfId="7132" xr:uid="{00000000-0005-0000-0000-0000DC1B0000}"/>
    <cellStyle name="Accent6 2 9 2 2" xfId="7133" xr:uid="{00000000-0005-0000-0000-0000DD1B0000}"/>
    <cellStyle name="Accent6 2 9 3" xfId="7134" xr:uid="{00000000-0005-0000-0000-0000DE1B0000}"/>
    <cellStyle name="Accent6 20" xfId="7135" xr:uid="{00000000-0005-0000-0000-0000DF1B0000}"/>
    <cellStyle name="Accent6 20 2" xfId="7136" xr:uid="{00000000-0005-0000-0000-0000E01B0000}"/>
    <cellStyle name="Accent6 20 2 2" xfId="7137" xr:uid="{00000000-0005-0000-0000-0000E11B0000}"/>
    <cellStyle name="Accent6 20 3" xfId="7138" xr:uid="{00000000-0005-0000-0000-0000E21B0000}"/>
    <cellStyle name="Accent6 21" xfId="7139" xr:uid="{00000000-0005-0000-0000-0000E31B0000}"/>
    <cellStyle name="Accent6 21 2" xfId="7140" xr:uid="{00000000-0005-0000-0000-0000E41B0000}"/>
    <cellStyle name="Accent6 21 2 2" xfId="7141" xr:uid="{00000000-0005-0000-0000-0000E51B0000}"/>
    <cellStyle name="Accent6 21 3" xfId="7142" xr:uid="{00000000-0005-0000-0000-0000E61B0000}"/>
    <cellStyle name="Accent6 22" xfId="7143" xr:uid="{00000000-0005-0000-0000-0000E71B0000}"/>
    <cellStyle name="Accent6 22 2" xfId="7144" xr:uid="{00000000-0005-0000-0000-0000E81B0000}"/>
    <cellStyle name="Accent6 22 2 2" xfId="7145" xr:uid="{00000000-0005-0000-0000-0000E91B0000}"/>
    <cellStyle name="Accent6 22 3" xfId="7146" xr:uid="{00000000-0005-0000-0000-0000EA1B0000}"/>
    <cellStyle name="Accent6 23" xfId="7147" xr:uid="{00000000-0005-0000-0000-0000EB1B0000}"/>
    <cellStyle name="Accent6 23 2" xfId="7148" xr:uid="{00000000-0005-0000-0000-0000EC1B0000}"/>
    <cellStyle name="Accent6 23 2 2" xfId="7149" xr:uid="{00000000-0005-0000-0000-0000ED1B0000}"/>
    <cellStyle name="Accent6 23 3" xfId="7150" xr:uid="{00000000-0005-0000-0000-0000EE1B0000}"/>
    <cellStyle name="Accent6 24" xfId="7151" xr:uid="{00000000-0005-0000-0000-0000EF1B0000}"/>
    <cellStyle name="Accent6 24 2" xfId="7152" xr:uid="{00000000-0005-0000-0000-0000F01B0000}"/>
    <cellStyle name="Accent6 24 2 2" xfId="7153" xr:uid="{00000000-0005-0000-0000-0000F11B0000}"/>
    <cellStyle name="Accent6 24 3" xfId="7154" xr:uid="{00000000-0005-0000-0000-0000F21B0000}"/>
    <cellStyle name="Accent6 25" xfId="7155" xr:uid="{00000000-0005-0000-0000-0000F31B0000}"/>
    <cellStyle name="Accent6 25 2" xfId="7156" xr:uid="{00000000-0005-0000-0000-0000F41B0000}"/>
    <cellStyle name="Accent6 25 2 2" xfId="7157" xr:uid="{00000000-0005-0000-0000-0000F51B0000}"/>
    <cellStyle name="Accent6 25 3" xfId="7158" xr:uid="{00000000-0005-0000-0000-0000F61B0000}"/>
    <cellStyle name="Accent6 26" xfId="7159" xr:uid="{00000000-0005-0000-0000-0000F71B0000}"/>
    <cellStyle name="Accent6 26 2" xfId="7160" xr:uid="{00000000-0005-0000-0000-0000F81B0000}"/>
    <cellStyle name="Accent6 26 2 2" xfId="7161" xr:uid="{00000000-0005-0000-0000-0000F91B0000}"/>
    <cellStyle name="Accent6 26 3" xfId="7162" xr:uid="{00000000-0005-0000-0000-0000FA1B0000}"/>
    <cellStyle name="Accent6 27" xfId="7163" xr:uid="{00000000-0005-0000-0000-0000FB1B0000}"/>
    <cellStyle name="Accent6 27 2" xfId="7164" xr:uid="{00000000-0005-0000-0000-0000FC1B0000}"/>
    <cellStyle name="Accent6 27 2 2" xfId="7165" xr:uid="{00000000-0005-0000-0000-0000FD1B0000}"/>
    <cellStyle name="Accent6 27 3" xfId="7166" xr:uid="{00000000-0005-0000-0000-0000FE1B0000}"/>
    <cellStyle name="Accent6 28" xfId="7167" xr:uid="{00000000-0005-0000-0000-0000FF1B0000}"/>
    <cellStyle name="Accent6 28 2" xfId="7168" xr:uid="{00000000-0005-0000-0000-0000001C0000}"/>
    <cellStyle name="Accent6 28 2 2" xfId="7169" xr:uid="{00000000-0005-0000-0000-0000011C0000}"/>
    <cellStyle name="Accent6 28 3" xfId="7170" xr:uid="{00000000-0005-0000-0000-0000021C0000}"/>
    <cellStyle name="Accent6 29" xfId="7171" xr:uid="{00000000-0005-0000-0000-0000031C0000}"/>
    <cellStyle name="Accent6 29 2" xfId="7172" xr:uid="{00000000-0005-0000-0000-0000041C0000}"/>
    <cellStyle name="Accent6 29 2 2" xfId="7173" xr:uid="{00000000-0005-0000-0000-0000051C0000}"/>
    <cellStyle name="Accent6 29 3" xfId="7174" xr:uid="{00000000-0005-0000-0000-0000061C0000}"/>
    <cellStyle name="Accent6 3" xfId="7175" xr:uid="{00000000-0005-0000-0000-0000071C0000}"/>
    <cellStyle name="Accent6 3 10" xfId="7176" xr:uid="{00000000-0005-0000-0000-0000081C0000}"/>
    <cellStyle name="Accent6 3 10 2" xfId="7177" xr:uid="{00000000-0005-0000-0000-0000091C0000}"/>
    <cellStyle name="Accent6 3 10 2 2" xfId="7178" xr:uid="{00000000-0005-0000-0000-00000A1C0000}"/>
    <cellStyle name="Accent6 3 10 3" xfId="7179" xr:uid="{00000000-0005-0000-0000-00000B1C0000}"/>
    <cellStyle name="Accent6 3 11" xfId="7180" xr:uid="{00000000-0005-0000-0000-00000C1C0000}"/>
    <cellStyle name="Accent6 3 11 2" xfId="7181" xr:uid="{00000000-0005-0000-0000-00000D1C0000}"/>
    <cellStyle name="Accent6 3 12" xfId="7182" xr:uid="{00000000-0005-0000-0000-00000E1C0000}"/>
    <cellStyle name="Accent6 3 2" xfId="7183" xr:uid="{00000000-0005-0000-0000-00000F1C0000}"/>
    <cellStyle name="Accent6 3 2 2" xfId="7184" xr:uid="{00000000-0005-0000-0000-0000101C0000}"/>
    <cellStyle name="Accent6 3 2 2 2" xfId="7185" xr:uid="{00000000-0005-0000-0000-0000111C0000}"/>
    <cellStyle name="Accent6 3 2 3" xfId="7186" xr:uid="{00000000-0005-0000-0000-0000121C0000}"/>
    <cellStyle name="Accent6 3 2 3 2" xfId="7187" xr:uid="{00000000-0005-0000-0000-0000131C0000}"/>
    <cellStyle name="Accent6 3 2 3 2 2" xfId="7188" xr:uid="{00000000-0005-0000-0000-0000141C0000}"/>
    <cellStyle name="Accent6 3 2 3 3" xfId="7189" xr:uid="{00000000-0005-0000-0000-0000151C0000}"/>
    <cellStyle name="Accent6 3 2 4" xfId="7190" xr:uid="{00000000-0005-0000-0000-0000161C0000}"/>
    <cellStyle name="Accent6 3 3" xfId="7191" xr:uid="{00000000-0005-0000-0000-0000171C0000}"/>
    <cellStyle name="Accent6 3 3 2" xfId="7192" xr:uid="{00000000-0005-0000-0000-0000181C0000}"/>
    <cellStyle name="Accent6 3 3 2 2" xfId="7193" xr:uid="{00000000-0005-0000-0000-0000191C0000}"/>
    <cellStyle name="Accent6 3 3 3" xfId="7194" xr:uid="{00000000-0005-0000-0000-00001A1C0000}"/>
    <cellStyle name="Accent6 3 3 3 2" xfId="7195" xr:uid="{00000000-0005-0000-0000-00001B1C0000}"/>
    <cellStyle name="Accent6 3 3 3 2 2" xfId="7196" xr:uid="{00000000-0005-0000-0000-00001C1C0000}"/>
    <cellStyle name="Accent6 3 3 3 3" xfId="7197" xr:uid="{00000000-0005-0000-0000-00001D1C0000}"/>
    <cellStyle name="Accent6 3 3 4" xfId="7198" xr:uid="{00000000-0005-0000-0000-00001E1C0000}"/>
    <cellStyle name="Accent6 3 4" xfId="7199" xr:uid="{00000000-0005-0000-0000-00001F1C0000}"/>
    <cellStyle name="Accent6 3 4 2" xfId="7200" xr:uid="{00000000-0005-0000-0000-0000201C0000}"/>
    <cellStyle name="Accent6 3 4 2 2" xfId="7201" xr:uid="{00000000-0005-0000-0000-0000211C0000}"/>
    <cellStyle name="Accent6 3 4 3" xfId="7202" xr:uid="{00000000-0005-0000-0000-0000221C0000}"/>
    <cellStyle name="Accent6 3 5" xfId="7203" xr:uid="{00000000-0005-0000-0000-0000231C0000}"/>
    <cellStyle name="Accent6 3 5 2" xfId="7204" xr:uid="{00000000-0005-0000-0000-0000241C0000}"/>
    <cellStyle name="Accent6 3 5 2 2" xfId="7205" xr:uid="{00000000-0005-0000-0000-0000251C0000}"/>
    <cellStyle name="Accent6 3 5 3" xfId="7206" xr:uid="{00000000-0005-0000-0000-0000261C0000}"/>
    <cellStyle name="Accent6 3 5 3 2" xfId="7207" xr:uid="{00000000-0005-0000-0000-0000271C0000}"/>
    <cellStyle name="Accent6 3 5 3 2 2" xfId="7208" xr:uid="{00000000-0005-0000-0000-0000281C0000}"/>
    <cellStyle name="Accent6 3 5 3 3" xfId="7209" xr:uid="{00000000-0005-0000-0000-0000291C0000}"/>
    <cellStyle name="Accent6 3 5 4" xfId="7210" xr:uid="{00000000-0005-0000-0000-00002A1C0000}"/>
    <cellStyle name="Accent6 3 6" xfId="7211" xr:uid="{00000000-0005-0000-0000-00002B1C0000}"/>
    <cellStyle name="Accent6 3 6 2" xfId="7212" xr:uid="{00000000-0005-0000-0000-00002C1C0000}"/>
    <cellStyle name="Accent6 3 7" xfId="7213" xr:uid="{00000000-0005-0000-0000-00002D1C0000}"/>
    <cellStyle name="Accent6 3 7 2" xfId="7214" xr:uid="{00000000-0005-0000-0000-00002E1C0000}"/>
    <cellStyle name="Accent6 3 8" xfId="7215" xr:uid="{00000000-0005-0000-0000-00002F1C0000}"/>
    <cellStyle name="Accent6 3 8 2" xfId="7216" xr:uid="{00000000-0005-0000-0000-0000301C0000}"/>
    <cellStyle name="Accent6 3 8 2 2" xfId="7217" xr:uid="{00000000-0005-0000-0000-0000311C0000}"/>
    <cellStyle name="Accent6 3 8 3" xfId="7218" xr:uid="{00000000-0005-0000-0000-0000321C0000}"/>
    <cellStyle name="Accent6 3 9" xfId="7219" xr:uid="{00000000-0005-0000-0000-0000331C0000}"/>
    <cellStyle name="Accent6 3 9 2" xfId="7220" xr:uid="{00000000-0005-0000-0000-0000341C0000}"/>
    <cellStyle name="Accent6 3 9 2 2" xfId="7221" xr:uid="{00000000-0005-0000-0000-0000351C0000}"/>
    <cellStyle name="Accent6 3 9 3" xfId="7222" xr:uid="{00000000-0005-0000-0000-0000361C0000}"/>
    <cellStyle name="Accent6 30" xfId="7223" xr:uid="{00000000-0005-0000-0000-0000371C0000}"/>
    <cellStyle name="Accent6 30 2" xfId="7224" xr:uid="{00000000-0005-0000-0000-0000381C0000}"/>
    <cellStyle name="Accent6 30 2 2" xfId="7225" xr:uid="{00000000-0005-0000-0000-0000391C0000}"/>
    <cellStyle name="Accent6 30 3" xfId="7226" xr:uid="{00000000-0005-0000-0000-00003A1C0000}"/>
    <cellStyle name="Accent6 31" xfId="7227" xr:uid="{00000000-0005-0000-0000-00003B1C0000}"/>
    <cellStyle name="Accent6 31 2" xfId="7228" xr:uid="{00000000-0005-0000-0000-00003C1C0000}"/>
    <cellStyle name="Accent6 31 2 2" xfId="7229" xr:uid="{00000000-0005-0000-0000-00003D1C0000}"/>
    <cellStyle name="Accent6 31 3" xfId="7230" xr:uid="{00000000-0005-0000-0000-00003E1C0000}"/>
    <cellStyle name="Accent6 32" xfId="7231" xr:uid="{00000000-0005-0000-0000-00003F1C0000}"/>
    <cellStyle name="Accent6 32 2" xfId="7232" xr:uid="{00000000-0005-0000-0000-0000401C0000}"/>
    <cellStyle name="Accent6 32 2 2" xfId="7233" xr:uid="{00000000-0005-0000-0000-0000411C0000}"/>
    <cellStyle name="Accent6 32 3" xfId="7234" xr:uid="{00000000-0005-0000-0000-0000421C0000}"/>
    <cellStyle name="Accent6 33" xfId="7235" xr:uid="{00000000-0005-0000-0000-0000431C0000}"/>
    <cellStyle name="Accent6 33 2" xfId="7236" xr:uid="{00000000-0005-0000-0000-0000441C0000}"/>
    <cellStyle name="Accent6 33 2 2" xfId="7237" xr:uid="{00000000-0005-0000-0000-0000451C0000}"/>
    <cellStyle name="Accent6 33 3" xfId="7238" xr:uid="{00000000-0005-0000-0000-0000461C0000}"/>
    <cellStyle name="Accent6 34" xfId="7239" xr:uid="{00000000-0005-0000-0000-0000471C0000}"/>
    <cellStyle name="Accent6 34 2" xfId="7240" xr:uid="{00000000-0005-0000-0000-0000481C0000}"/>
    <cellStyle name="Accent6 34 2 2" xfId="7241" xr:uid="{00000000-0005-0000-0000-0000491C0000}"/>
    <cellStyle name="Accent6 34 3" xfId="7242" xr:uid="{00000000-0005-0000-0000-00004A1C0000}"/>
    <cellStyle name="Accent6 35" xfId="7243" xr:uid="{00000000-0005-0000-0000-00004B1C0000}"/>
    <cellStyle name="Accent6 35 2" xfId="7244" xr:uid="{00000000-0005-0000-0000-00004C1C0000}"/>
    <cellStyle name="Accent6 35 2 2" xfId="7245" xr:uid="{00000000-0005-0000-0000-00004D1C0000}"/>
    <cellStyle name="Accent6 35 3" xfId="7246" xr:uid="{00000000-0005-0000-0000-00004E1C0000}"/>
    <cellStyle name="Accent6 36" xfId="7247" xr:uid="{00000000-0005-0000-0000-00004F1C0000}"/>
    <cellStyle name="Accent6 36 2" xfId="7248" xr:uid="{00000000-0005-0000-0000-0000501C0000}"/>
    <cellStyle name="Accent6 36 2 2" xfId="7249" xr:uid="{00000000-0005-0000-0000-0000511C0000}"/>
    <cellStyle name="Accent6 36 3" xfId="7250" xr:uid="{00000000-0005-0000-0000-0000521C0000}"/>
    <cellStyle name="Accent6 37" xfId="7251" xr:uid="{00000000-0005-0000-0000-0000531C0000}"/>
    <cellStyle name="Accent6 37 2" xfId="7252" xr:uid="{00000000-0005-0000-0000-0000541C0000}"/>
    <cellStyle name="Accent6 37 2 2" xfId="7253" xr:uid="{00000000-0005-0000-0000-0000551C0000}"/>
    <cellStyle name="Accent6 37 3" xfId="7254" xr:uid="{00000000-0005-0000-0000-0000561C0000}"/>
    <cellStyle name="Accent6 38" xfId="7255" xr:uid="{00000000-0005-0000-0000-0000571C0000}"/>
    <cellStyle name="Accent6 38 2" xfId="7256" xr:uid="{00000000-0005-0000-0000-0000581C0000}"/>
    <cellStyle name="Accent6 38 2 2" xfId="7257" xr:uid="{00000000-0005-0000-0000-0000591C0000}"/>
    <cellStyle name="Accent6 38 3" xfId="7258" xr:uid="{00000000-0005-0000-0000-00005A1C0000}"/>
    <cellStyle name="Accent6 39" xfId="7259" xr:uid="{00000000-0005-0000-0000-00005B1C0000}"/>
    <cellStyle name="Accent6 39 2" xfId="7260" xr:uid="{00000000-0005-0000-0000-00005C1C0000}"/>
    <cellStyle name="Accent6 39 2 2" xfId="7261" xr:uid="{00000000-0005-0000-0000-00005D1C0000}"/>
    <cellStyle name="Accent6 39 3" xfId="7262" xr:uid="{00000000-0005-0000-0000-00005E1C0000}"/>
    <cellStyle name="Accent6 4" xfId="7263" xr:uid="{00000000-0005-0000-0000-00005F1C0000}"/>
    <cellStyle name="Accent6 4 2" xfId="7264" xr:uid="{00000000-0005-0000-0000-0000601C0000}"/>
    <cellStyle name="Accent6 4 2 2" xfId="7265" xr:uid="{00000000-0005-0000-0000-0000611C0000}"/>
    <cellStyle name="Accent6 4 2 2 2" xfId="7266" xr:uid="{00000000-0005-0000-0000-0000621C0000}"/>
    <cellStyle name="Accent6 4 2 3" xfId="7267" xr:uid="{00000000-0005-0000-0000-0000631C0000}"/>
    <cellStyle name="Accent6 4 2 3 2" xfId="7268" xr:uid="{00000000-0005-0000-0000-0000641C0000}"/>
    <cellStyle name="Accent6 4 2 3 2 2" xfId="7269" xr:uid="{00000000-0005-0000-0000-0000651C0000}"/>
    <cellStyle name="Accent6 4 2 3 3" xfId="7270" xr:uid="{00000000-0005-0000-0000-0000661C0000}"/>
    <cellStyle name="Accent6 4 2 4" xfId="7271" xr:uid="{00000000-0005-0000-0000-0000671C0000}"/>
    <cellStyle name="Accent6 4 3" xfId="7272" xr:uid="{00000000-0005-0000-0000-0000681C0000}"/>
    <cellStyle name="Accent6 4 3 2" xfId="7273" xr:uid="{00000000-0005-0000-0000-0000691C0000}"/>
    <cellStyle name="Accent6 4 3 2 2" xfId="7274" xr:uid="{00000000-0005-0000-0000-00006A1C0000}"/>
    <cellStyle name="Accent6 4 3 3" xfId="7275" xr:uid="{00000000-0005-0000-0000-00006B1C0000}"/>
    <cellStyle name="Accent6 4 3 3 2" xfId="7276" xr:uid="{00000000-0005-0000-0000-00006C1C0000}"/>
    <cellStyle name="Accent6 4 3 3 2 2" xfId="7277" xr:uid="{00000000-0005-0000-0000-00006D1C0000}"/>
    <cellStyle name="Accent6 4 3 3 3" xfId="7278" xr:uid="{00000000-0005-0000-0000-00006E1C0000}"/>
    <cellStyle name="Accent6 4 3 4" xfId="7279" xr:uid="{00000000-0005-0000-0000-00006F1C0000}"/>
    <cellStyle name="Accent6 4 4" xfId="7280" xr:uid="{00000000-0005-0000-0000-0000701C0000}"/>
    <cellStyle name="Accent6 4 4 2" xfId="7281" xr:uid="{00000000-0005-0000-0000-0000711C0000}"/>
    <cellStyle name="Accent6 4 4 2 2" xfId="7282" xr:uid="{00000000-0005-0000-0000-0000721C0000}"/>
    <cellStyle name="Accent6 4 4 3" xfId="7283" xr:uid="{00000000-0005-0000-0000-0000731C0000}"/>
    <cellStyle name="Accent6 4 5" xfId="7284" xr:uid="{00000000-0005-0000-0000-0000741C0000}"/>
    <cellStyle name="Accent6 4 5 2" xfId="7285" xr:uid="{00000000-0005-0000-0000-0000751C0000}"/>
    <cellStyle name="Accent6 4 6" xfId="7286" xr:uid="{00000000-0005-0000-0000-0000761C0000}"/>
    <cellStyle name="Accent6 4 6 2" xfId="7287" xr:uid="{00000000-0005-0000-0000-0000771C0000}"/>
    <cellStyle name="Accent6 4 6 2 2" xfId="7288" xr:uid="{00000000-0005-0000-0000-0000781C0000}"/>
    <cellStyle name="Accent6 4 6 3" xfId="7289" xr:uid="{00000000-0005-0000-0000-0000791C0000}"/>
    <cellStyle name="Accent6 4 7" xfId="7290" xr:uid="{00000000-0005-0000-0000-00007A1C0000}"/>
    <cellStyle name="Accent6 4 7 2" xfId="7291" xr:uid="{00000000-0005-0000-0000-00007B1C0000}"/>
    <cellStyle name="Accent6 4 7 2 2" xfId="7292" xr:uid="{00000000-0005-0000-0000-00007C1C0000}"/>
    <cellStyle name="Accent6 4 7 3" xfId="7293" xr:uid="{00000000-0005-0000-0000-00007D1C0000}"/>
    <cellStyle name="Accent6 4 8" xfId="7294" xr:uid="{00000000-0005-0000-0000-00007E1C0000}"/>
    <cellStyle name="Accent6 40" xfId="7295" xr:uid="{00000000-0005-0000-0000-00007F1C0000}"/>
    <cellStyle name="Accent6 40 2" xfId="7296" xr:uid="{00000000-0005-0000-0000-0000801C0000}"/>
    <cellStyle name="Accent6 40 2 2" xfId="7297" xr:uid="{00000000-0005-0000-0000-0000811C0000}"/>
    <cellStyle name="Accent6 40 3" xfId="7298" xr:uid="{00000000-0005-0000-0000-0000821C0000}"/>
    <cellStyle name="Accent6 41" xfId="7299" xr:uid="{00000000-0005-0000-0000-0000831C0000}"/>
    <cellStyle name="Accent6 41 2" xfId="7300" xr:uid="{00000000-0005-0000-0000-0000841C0000}"/>
    <cellStyle name="Accent6 41 2 2" xfId="7301" xr:uid="{00000000-0005-0000-0000-0000851C0000}"/>
    <cellStyle name="Accent6 41 3" xfId="7302" xr:uid="{00000000-0005-0000-0000-0000861C0000}"/>
    <cellStyle name="Accent6 42" xfId="7303" xr:uid="{00000000-0005-0000-0000-0000871C0000}"/>
    <cellStyle name="Accent6 42 2" xfId="7304" xr:uid="{00000000-0005-0000-0000-0000881C0000}"/>
    <cellStyle name="Accent6 42 2 2" xfId="7305" xr:uid="{00000000-0005-0000-0000-0000891C0000}"/>
    <cellStyle name="Accent6 42 3" xfId="7306" xr:uid="{00000000-0005-0000-0000-00008A1C0000}"/>
    <cellStyle name="Accent6 43" xfId="7307" xr:uid="{00000000-0005-0000-0000-00008B1C0000}"/>
    <cellStyle name="Accent6 43 2" xfId="7308" xr:uid="{00000000-0005-0000-0000-00008C1C0000}"/>
    <cellStyle name="Accent6 43 2 2" xfId="7309" xr:uid="{00000000-0005-0000-0000-00008D1C0000}"/>
    <cellStyle name="Accent6 43 3" xfId="7310" xr:uid="{00000000-0005-0000-0000-00008E1C0000}"/>
    <cellStyle name="Accent6 44" xfId="7311" xr:uid="{00000000-0005-0000-0000-00008F1C0000}"/>
    <cellStyle name="Accent6 44 2" xfId="7312" xr:uid="{00000000-0005-0000-0000-0000901C0000}"/>
    <cellStyle name="Accent6 44 2 2" xfId="7313" xr:uid="{00000000-0005-0000-0000-0000911C0000}"/>
    <cellStyle name="Accent6 44 3" xfId="7314" xr:uid="{00000000-0005-0000-0000-0000921C0000}"/>
    <cellStyle name="Accent6 45" xfId="7315" xr:uid="{00000000-0005-0000-0000-0000931C0000}"/>
    <cellStyle name="Accent6 45 2" xfId="7316" xr:uid="{00000000-0005-0000-0000-0000941C0000}"/>
    <cellStyle name="Accent6 45 2 2" xfId="7317" xr:uid="{00000000-0005-0000-0000-0000951C0000}"/>
    <cellStyle name="Accent6 45 3" xfId="7318" xr:uid="{00000000-0005-0000-0000-0000961C0000}"/>
    <cellStyle name="Accent6 46" xfId="7319" xr:uid="{00000000-0005-0000-0000-0000971C0000}"/>
    <cellStyle name="Accent6 46 2" xfId="7320" xr:uid="{00000000-0005-0000-0000-0000981C0000}"/>
    <cellStyle name="Accent6 46 2 2" xfId="7321" xr:uid="{00000000-0005-0000-0000-0000991C0000}"/>
    <cellStyle name="Accent6 46 3" xfId="7322" xr:uid="{00000000-0005-0000-0000-00009A1C0000}"/>
    <cellStyle name="Accent6 47" xfId="7323" xr:uid="{00000000-0005-0000-0000-00009B1C0000}"/>
    <cellStyle name="Accent6 47 2" xfId="7324" xr:uid="{00000000-0005-0000-0000-00009C1C0000}"/>
    <cellStyle name="Accent6 47 2 2" xfId="7325" xr:uid="{00000000-0005-0000-0000-00009D1C0000}"/>
    <cellStyle name="Accent6 47 3" xfId="7326" xr:uid="{00000000-0005-0000-0000-00009E1C0000}"/>
    <cellStyle name="Accent6 48" xfId="7327" xr:uid="{00000000-0005-0000-0000-00009F1C0000}"/>
    <cellStyle name="Accent6 48 2" xfId="7328" xr:uid="{00000000-0005-0000-0000-0000A01C0000}"/>
    <cellStyle name="Accent6 48 2 2" xfId="7329" xr:uid="{00000000-0005-0000-0000-0000A11C0000}"/>
    <cellStyle name="Accent6 48 3" xfId="7330" xr:uid="{00000000-0005-0000-0000-0000A21C0000}"/>
    <cellStyle name="Accent6 48 3 2" xfId="7331" xr:uid="{00000000-0005-0000-0000-0000A31C0000}"/>
    <cellStyle name="Accent6 48 3 2 2" xfId="7332" xr:uid="{00000000-0005-0000-0000-0000A41C0000}"/>
    <cellStyle name="Accent6 48 3 3" xfId="7333" xr:uid="{00000000-0005-0000-0000-0000A51C0000}"/>
    <cellStyle name="Accent6 48 4" xfId="7334" xr:uid="{00000000-0005-0000-0000-0000A61C0000}"/>
    <cellStyle name="Accent6 49" xfId="7335" xr:uid="{00000000-0005-0000-0000-0000A71C0000}"/>
    <cellStyle name="Accent6 49 2" xfId="7336" xr:uid="{00000000-0005-0000-0000-0000A81C0000}"/>
    <cellStyle name="Accent6 49 2 2" xfId="7337" xr:uid="{00000000-0005-0000-0000-0000A91C0000}"/>
    <cellStyle name="Accent6 49 3" xfId="7338" xr:uid="{00000000-0005-0000-0000-0000AA1C0000}"/>
    <cellStyle name="Accent6 49 3 2" xfId="7339" xr:uid="{00000000-0005-0000-0000-0000AB1C0000}"/>
    <cellStyle name="Accent6 49 3 2 2" xfId="7340" xr:uid="{00000000-0005-0000-0000-0000AC1C0000}"/>
    <cellStyle name="Accent6 49 3 3" xfId="7341" xr:uid="{00000000-0005-0000-0000-0000AD1C0000}"/>
    <cellStyle name="Accent6 49 4" xfId="7342" xr:uid="{00000000-0005-0000-0000-0000AE1C0000}"/>
    <cellStyle name="Accent6 5" xfId="7343" xr:uid="{00000000-0005-0000-0000-0000AF1C0000}"/>
    <cellStyle name="Accent6 5 2" xfId="7344" xr:uid="{00000000-0005-0000-0000-0000B01C0000}"/>
    <cellStyle name="Accent6 5 2 2" xfId="7345" xr:uid="{00000000-0005-0000-0000-0000B11C0000}"/>
    <cellStyle name="Accent6 5 2 2 2" xfId="7346" xr:uid="{00000000-0005-0000-0000-0000B21C0000}"/>
    <cellStyle name="Accent6 5 2 3" xfId="7347" xr:uid="{00000000-0005-0000-0000-0000B31C0000}"/>
    <cellStyle name="Accent6 5 2 3 2" xfId="7348" xr:uid="{00000000-0005-0000-0000-0000B41C0000}"/>
    <cellStyle name="Accent6 5 2 3 2 2" xfId="7349" xr:uid="{00000000-0005-0000-0000-0000B51C0000}"/>
    <cellStyle name="Accent6 5 2 3 3" xfId="7350" xr:uid="{00000000-0005-0000-0000-0000B61C0000}"/>
    <cellStyle name="Accent6 5 2 4" xfId="7351" xr:uid="{00000000-0005-0000-0000-0000B71C0000}"/>
    <cellStyle name="Accent6 5 3" xfId="7352" xr:uid="{00000000-0005-0000-0000-0000B81C0000}"/>
    <cellStyle name="Accent6 5 3 2" xfId="7353" xr:uid="{00000000-0005-0000-0000-0000B91C0000}"/>
    <cellStyle name="Accent6 5 3 2 2" xfId="7354" xr:uid="{00000000-0005-0000-0000-0000BA1C0000}"/>
    <cellStyle name="Accent6 5 3 3" xfId="7355" xr:uid="{00000000-0005-0000-0000-0000BB1C0000}"/>
    <cellStyle name="Accent6 5 3 3 2" xfId="7356" xr:uid="{00000000-0005-0000-0000-0000BC1C0000}"/>
    <cellStyle name="Accent6 5 3 3 2 2" xfId="7357" xr:uid="{00000000-0005-0000-0000-0000BD1C0000}"/>
    <cellStyle name="Accent6 5 3 3 3" xfId="7358" xr:uid="{00000000-0005-0000-0000-0000BE1C0000}"/>
    <cellStyle name="Accent6 5 3 4" xfId="7359" xr:uid="{00000000-0005-0000-0000-0000BF1C0000}"/>
    <cellStyle name="Accent6 5 4" xfId="7360" xr:uid="{00000000-0005-0000-0000-0000C01C0000}"/>
    <cellStyle name="Accent6 5 4 2" xfId="7361" xr:uid="{00000000-0005-0000-0000-0000C11C0000}"/>
    <cellStyle name="Accent6 5 5" xfId="7362" xr:uid="{00000000-0005-0000-0000-0000C21C0000}"/>
    <cellStyle name="Accent6 5 5 2" xfId="7363" xr:uid="{00000000-0005-0000-0000-0000C31C0000}"/>
    <cellStyle name="Accent6 5 5 2 2" xfId="7364" xr:uid="{00000000-0005-0000-0000-0000C41C0000}"/>
    <cellStyle name="Accent6 5 5 3" xfId="7365" xr:uid="{00000000-0005-0000-0000-0000C51C0000}"/>
    <cellStyle name="Accent6 5 6" xfId="7366" xr:uid="{00000000-0005-0000-0000-0000C61C0000}"/>
    <cellStyle name="Accent6 5 6 2" xfId="7367" xr:uid="{00000000-0005-0000-0000-0000C71C0000}"/>
    <cellStyle name="Accent6 5 7" xfId="7368" xr:uid="{00000000-0005-0000-0000-0000C81C0000}"/>
    <cellStyle name="Accent6 50" xfId="7369" xr:uid="{00000000-0005-0000-0000-0000C91C0000}"/>
    <cellStyle name="Accent6 50 2" xfId="7370" xr:uid="{00000000-0005-0000-0000-0000CA1C0000}"/>
    <cellStyle name="Accent6 50 2 2" xfId="7371" xr:uid="{00000000-0005-0000-0000-0000CB1C0000}"/>
    <cellStyle name="Accent6 50 3" xfId="7372" xr:uid="{00000000-0005-0000-0000-0000CC1C0000}"/>
    <cellStyle name="Accent6 50 3 2" xfId="7373" xr:uid="{00000000-0005-0000-0000-0000CD1C0000}"/>
    <cellStyle name="Accent6 50 3 2 2" xfId="7374" xr:uid="{00000000-0005-0000-0000-0000CE1C0000}"/>
    <cellStyle name="Accent6 50 3 3" xfId="7375" xr:uid="{00000000-0005-0000-0000-0000CF1C0000}"/>
    <cellStyle name="Accent6 50 4" xfId="7376" xr:uid="{00000000-0005-0000-0000-0000D01C0000}"/>
    <cellStyle name="Accent6 51" xfId="7377" xr:uid="{00000000-0005-0000-0000-0000D11C0000}"/>
    <cellStyle name="Accent6 51 2" xfId="7378" xr:uid="{00000000-0005-0000-0000-0000D21C0000}"/>
    <cellStyle name="Accent6 51 2 2" xfId="7379" xr:uid="{00000000-0005-0000-0000-0000D31C0000}"/>
    <cellStyle name="Accent6 51 3" xfId="7380" xr:uid="{00000000-0005-0000-0000-0000D41C0000}"/>
    <cellStyle name="Accent6 51 3 2" xfId="7381" xr:uid="{00000000-0005-0000-0000-0000D51C0000}"/>
    <cellStyle name="Accent6 51 3 2 2" xfId="7382" xr:uid="{00000000-0005-0000-0000-0000D61C0000}"/>
    <cellStyle name="Accent6 51 3 3" xfId="7383" xr:uid="{00000000-0005-0000-0000-0000D71C0000}"/>
    <cellStyle name="Accent6 51 4" xfId="7384" xr:uid="{00000000-0005-0000-0000-0000D81C0000}"/>
    <cellStyle name="Accent6 52" xfId="7385" xr:uid="{00000000-0005-0000-0000-0000D91C0000}"/>
    <cellStyle name="Accent6 52 2" xfId="7386" xr:uid="{00000000-0005-0000-0000-0000DA1C0000}"/>
    <cellStyle name="Accent6 52 2 2" xfId="7387" xr:uid="{00000000-0005-0000-0000-0000DB1C0000}"/>
    <cellStyle name="Accent6 52 3" xfId="7388" xr:uid="{00000000-0005-0000-0000-0000DC1C0000}"/>
    <cellStyle name="Accent6 53" xfId="7389" xr:uid="{00000000-0005-0000-0000-0000DD1C0000}"/>
    <cellStyle name="Accent6 53 2" xfId="7390" xr:uid="{00000000-0005-0000-0000-0000DE1C0000}"/>
    <cellStyle name="Accent6 53 2 2" xfId="7391" xr:uid="{00000000-0005-0000-0000-0000DF1C0000}"/>
    <cellStyle name="Accent6 53 3" xfId="7392" xr:uid="{00000000-0005-0000-0000-0000E01C0000}"/>
    <cellStyle name="Accent6 54" xfId="7393" xr:uid="{00000000-0005-0000-0000-0000E11C0000}"/>
    <cellStyle name="Accent6 54 2" xfId="7394" xr:uid="{00000000-0005-0000-0000-0000E21C0000}"/>
    <cellStyle name="Accent6 54 2 2" xfId="7395" xr:uid="{00000000-0005-0000-0000-0000E31C0000}"/>
    <cellStyle name="Accent6 54 3" xfId="7396" xr:uid="{00000000-0005-0000-0000-0000E41C0000}"/>
    <cellStyle name="Accent6 55" xfId="7397" xr:uid="{00000000-0005-0000-0000-0000E51C0000}"/>
    <cellStyle name="Accent6 55 2" xfId="7398" xr:uid="{00000000-0005-0000-0000-0000E61C0000}"/>
    <cellStyle name="Accent6 55 2 2" xfId="7399" xr:uid="{00000000-0005-0000-0000-0000E71C0000}"/>
    <cellStyle name="Accent6 55 3" xfId="7400" xr:uid="{00000000-0005-0000-0000-0000E81C0000}"/>
    <cellStyle name="Accent6 56" xfId="7401" xr:uid="{00000000-0005-0000-0000-0000E91C0000}"/>
    <cellStyle name="Accent6 56 2" xfId="7402" xr:uid="{00000000-0005-0000-0000-0000EA1C0000}"/>
    <cellStyle name="Accent6 56 2 2" xfId="7403" xr:uid="{00000000-0005-0000-0000-0000EB1C0000}"/>
    <cellStyle name="Accent6 56 3" xfId="7404" xr:uid="{00000000-0005-0000-0000-0000EC1C0000}"/>
    <cellStyle name="Accent6 57" xfId="7405" xr:uid="{00000000-0005-0000-0000-0000ED1C0000}"/>
    <cellStyle name="Accent6 57 2" xfId="7406" xr:uid="{00000000-0005-0000-0000-0000EE1C0000}"/>
    <cellStyle name="Accent6 57 2 2" xfId="7407" xr:uid="{00000000-0005-0000-0000-0000EF1C0000}"/>
    <cellStyle name="Accent6 57 3" xfId="7408" xr:uid="{00000000-0005-0000-0000-0000F01C0000}"/>
    <cellStyle name="Accent6 58" xfId="7409" xr:uid="{00000000-0005-0000-0000-0000F11C0000}"/>
    <cellStyle name="Accent6 58 2" xfId="7410" xr:uid="{00000000-0005-0000-0000-0000F21C0000}"/>
    <cellStyle name="Accent6 58 2 2" xfId="7411" xr:uid="{00000000-0005-0000-0000-0000F31C0000}"/>
    <cellStyle name="Accent6 58 3" xfId="7412" xr:uid="{00000000-0005-0000-0000-0000F41C0000}"/>
    <cellStyle name="Accent6 58 3 2" xfId="7413" xr:uid="{00000000-0005-0000-0000-0000F51C0000}"/>
    <cellStyle name="Accent6 58 3 2 2" xfId="7414" xr:uid="{00000000-0005-0000-0000-0000F61C0000}"/>
    <cellStyle name="Accent6 58 3 3" xfId="7415" xr:uid="{00000000-0005-0000-0000-0000F71C0000}"/>
    <cellStyle name="Accent6 58 4" xfId="7416" xr:uid="{00000000-0005-0000-0000-0000F81C0000}"/>
    <cellStyle name="Accent6 59" xfId="7417" xr:uid="{00000000-0005-0000-0000-0000F91C0000}"/>
    <cellStyle name="Accent6 59 2" xfId="7418" xr:uid="{00000000-0005-0000-0000-0000FA1C0000}"/>
    <cellStyle name="Accent6 59 2 2" xfId="7419" xr:uid="{00000000-0005-0000-0000-0000FB1C0000}"/>
    <cellStyle name="Accent6 59 3" xfId="7420" xr:uid="{00000000-0005-0000-0000-0000FC1C0000}"/>
    <cellStyle name="Accent6 59 3 2" xfId="7421" xr:uid="{00000000-0005-0000-0000-0000FD1C0000}"/>
    <cellStyle name="Accent6 59 3 2 2" xfId="7422" xr:uid="{00000000-0005-0000-0000-0000FE1C0000}"/>
    <cellStyle name="Accent6 59 3 3" xfId="7423" xr:uid="{00000000-0005-0000-0000-0000FF1C0000}"/>
    <cellStyle name="Accent6 59 4" xfId="7424" xr:uid="{00000000-0005-0000-0000-0000001D0000}"/>
    <cellStyle name="Accent6 6" xfId="7425" xr:uid="{00000000-0005-0000-0000-0000011D0000}"/>
    <cellStyle name="Accent6 6 2" xfId="7426" xr:uid="{00000000-0005-0000-0000-0000021D0000}"/>
    <cellStyle name="Accent6 6 2 2" xfId="7427" xr:uid="{00000000-0005-0000-0000-0000031D0000}"/>
    <cellStyle name="Accent6 6 2 2 2" xfId="7428" xr:uid="{00000000-0005-0000-0000-0000041D0000}"/>
    <cellStyle name="Accent6 6 2 3" xfId="7429" xr:uid="{00000000-0005-0000-0000-0000051D0000}"/>
    <cellStyle name="Accent6 6 2 3 2" xfId="7430" xr:uid="{00000000-0005-0000-0000-0000061D0000}"/>
    <cellStyle name="Accent6 6 2 3 2 2" xfId="7431" xr:uid="{00000000-0005-0000-0000-0000071D0000}"/>
    <cellStyle name="Accent6 6 2 3 3" xfId="7432" xr:uid="{00000000-0005-0000-0000-0000081D0000}"/>
    <cellStyle name="Accent6 6 2 4" xfId="7433" xr:uid="{00000000-0005-0000-0000-0000091D0000}"/>
    <cellStyle name="Accent6 6 3" xfId="7434" xr:uid="{00000000-0005-0000-0000-00000A1D0000}"/>
    <cellStyle name="Accent6 6 3 2" xfId="7435" xr:uid="{00000000-0005-0000-0000-00000B1D0000}"/>
    <cellStyle name="Accent6 6 4" xfId="7436" xr:uid="{00000000-0005-0000-0000-00000C1D0000}"/>
    <cellStyle name="Accent6 6 4 2" xfId="7437" xr:uid="{00000000-0005-0000-0000-00000D1D0000}"/>
    <cellStyle name="Accent6 6 4 2 2" xfId="7438" xr:uid="{00000000-0005-0000-0000-00000E1D0000}"/>
    <cellStyle name="Accent6 6 4 3" xfId="7439" xr:uid="{00000000-0005-0000-0000-00000F1D0000}"/>
    <cellStyle name="Accent6 6 5" xfId="7440" xr:uid="{00000000-0005-0000-0000-0000101D0000}"/>
    <cellStyle name="Accent6 60" xfId="7441" xr:uid="{00000000-0005-0000-0000-0000111D0000}"/>
    <cellStyle name="Accent6 60 2" xfId="7442" xr:uid="{00000000-0005-0000-0000-0000121D0000}"/>
    <cellStyle name="Accent6 60 2 2" xfId="7443" xr:uid="{00000000-0005-0000-0000-0000131D0000}"/>
    <cellStyle name="Accent6 60 3" xfId="7444" xr:uid="{00000000-0005-0000-0000-0000141D0000}"/>
    <cellStyle name="Accent6 60 3 2" xfId="7445" xr:uid="{00000000-0005-0000-0000-0000151D0000}"/>
    <cellStyle name="Accent6 60 3 2 2" xfId="7446" xr:uid="{00000000-0005-0000-0000-0000161D0000}"/>
    <cellStyle name="Accent6 60 3 3" xfId="7447" xr:uid="{00000000-0005-0000-0000-0000171D0000}"/>
    <cellStyle name="Accent6 60 4" xfId="7448" xr:uid="{00000000-0005-0000-0000-0000181D0000}"/>
    <cellStyle name="Accent6 61" xfId="7449" xr:uid="{00000000-0005-0000-0000-0000191D0000}"/>
    <cellStyle name="Accent6 61 2" xfId="7450" xr:uid="{00000000-0005-0000-0000-00001A1D0000}"/>
    <cellStyle name="Accent6 61 2 2" xfId="7451" xr:uid="{00000000-0005-0000-0000-00001B1D0000}"/>
    <cellStyle name="Accent6 61 3" xfId="7452" xr:uid="{00000000-0005-0000-0000-00001C1D0000}"/>
    <cellStyle name="Accent6 61 3 2" xfId="7453" xr:uid="{00000000-0005-0000-0000-00001D1D0000}"/>
    <cellStyle name="Accent6 61 3 2 2" xfId="7454" xr:uid="{00000000-0005-0000-0000-00001E1D0000}"/>
    <cellStyle name="Accent6 61 3 3" xfId="7455" xr:uid="{00000000-0005-0000-0000-00001F1D0000}"/>
    <cellStyle name="Accent6 61 4" xfId="7456" xr:uid="{00000000-0005-0000-0000-0000201D0000}"/>
    <cellStyle name="Accent6 62" xfId="7457" xr:uid="{00000000-0005-0000-0000-0000211D0000}"/>
    <cellStyle name="Accent6 62 2" xfId="7458" xr:uid="{00000000-0005-0000-0000-0000221D0000}"/>
    <cellStyle name="Accent6 62 2 2" xfId="7459" xr:uid="{00000000-0005-0000-0000-0000231D0000}"/>
    <cellStyle name="Accent6 62 3" xfId="7460" xr:uid="{00000000-0005-0000-0000-0000241D0000}"/>
    <cellStyle name="Accent6 62 3 2" xfId="7461" xr:uid="{00000000-0005-0000-0000-0000251D0000}"/>
    <cellStyle name="Accent6 62 3 2 2" xfId="7462" xr:uid="{00000000-0005-0000-0000-0000261D0000}"/>
    <cellStyle name="Accent6 62 3 3" xfId="7463" xr:uid="{00000000-0005-0000-0000-0000271D0000}"/>
    <cellStyle name="Accent6 62 4" xfId="7464" xr:uid="{00000000-0005-0000-0000-0000281D0000}"/>
    <cellStyle name="Accent6 63" xfId="7465" xr:uid="{00000000-0005-0000-0000-0000291D0000}"/>
    <cellStyle name="Accent6 63 2" xfId="7466" xr:uid="{00000000-0005-0000-0000-00002A1D0000}"/>
    <cellStyle name="Accent6 63 2 2" xfId="7467" xr:uid="{00000000-0005-0000-0000-00002B1D0000}"/>
    <cellStyle name="Accent6 63 3" xfId="7468" xr:uid="{00000000-0005-0000-0000-00002C1D0000}"/>
    <cellStyle name="Accent6 63 3 2" xfId="7469" xr:uid="{00000000-0005-0000-0000-00002D1D0000}"/>
    <cellStyle name="Accent6 63 3 2 2" xfId="7470" xr:uid="{00000000-0005-0000-0000-00002E1D0000}"/>
    <cellStyle name="Accent6 63 3 3" xfId="7471" xr:uid="{00000000-0005-0000-0000-00002F1D0000}"/>
    <cellStyle name="Accent6 63 4" xfId="7472" xr:uid="{00000000-0005-0000-0000-0000301D0000}"/>
    <cellStyle name="Accent6 64" xfId="7473" xr:uid="{00000000-0005-0000-0000-0000311D0000}"/>
    <cellStyle name="Accent6 64 2" xfId="7474" xr:uid="{00000000-0005-0000-0000-0000321D0000}"/>
    <cellStyle name="Accent6 64 2 2" xfId="7475" xr:uid="{00000000-0005-0000-0000-0000331D0000}"/>
    <cellStyle name="Accent6 64 3" xfId="7476" xr:uid="{00000000-0005-0000-0000-0000341D0000}"/>
    <cellStyle name="Accent6 64 3 2" xfId="7477" xr:uid="{00000000-0005-0000-0000-0000351D0000}"/>
    <cellStyle name="Accent6 64 3 2 2" xfId="7478" xr:uid="{00000000-0005-0000-0000-0000361D0000}"/>
    <cellStyle name="Accent6 64 3 3" xfId="7479" xr:uid="{00000000-0005-0000-0000-0000371D0000}"/>
    <cellStyle name="Accent6 64 4" xfId="7480" xr:uid="{00000000-0005-0000-0000-0000381D0000}"/>
    <cellStyle name="Accent6 65" xfId="7481" xr:uid="{00000000-0005-0000-0000-0000391D0000}"/>
    <cellStyle name="Accent6 65 2" xfId="7482" xr:uid="{00000000-0005-0000-0000-00003A1D0000}"/>
    <cellStyle name="Accent6 65 2 2" xfId="7483" xr:uid="{00000000-0005-0000-0000-00003B1D0000}"/>
    <cellStyle name="Accent6 65 3" xfId="7484" xr:uid="{00000000-0005-0000-0000-00003C1D0000}"/>
    <cellStyle name="Accent6 65 3 2" xfId="7485" xr:uid="{00000000-0005-0000-0000-00003D1D0000}"/>
    <cellStyle name="Accent6 65 3 2 2" xfId="7486" xr:uid="{00000000-0005-0000-0000-00003E1D0000}"/>
    <cellStyle name="Accent6 65 3 3" xfId="7487" xr:uid="{00000000-0005-0000-0000-00003F1D0000}"/>
    <cellStyle name="Accent6 65 4" xfId="7488" xr:uid="{00000000-0005-0000-0000-0000401D0000}"/>
    <cellStyle name="Accent6 66" xfId="7489" xr:uid="{00000000-0005-0000-0000-0000411D0000}"/>
    <cellStyle name="Accent6 66 2" xfId="7490" xr:uid="{00000000-0005-0000-0000-0000421D0000}"/>
    <cellStyle name="Accent6 66 2 2" xfId="7491" xr:uid="{00000000-0005-0000-0000-0000431D0000}"/>
    <cellStyle name="Accent6 66 3" xfId="7492" xr:uid="{00000000-0005-0000-0000-0000441D0000}"/>
    <cellStyle name="Accent6 66 3 2" xfId="7493" xr:uid="{00000000-0005-0000-0000-0000451D0000}"/>
    <cellStyle name="Accent6 66 3 2 2" xfId="7494" xr:uid="{00000000-0005-0000-0000-0000461D0000}"/>
    <cellStyle name="Accent6 66 3 3" xfId="7495" xr:uid="{00000000-0005-0000-0000-0000471D0000}"/>
    <cellStyle name="Accent6 66 4" xfId="7496" xr:uid="{00000000-0005-0000-0000-0000481D0000}"/>
    <cellStyle name="Accent6 67" xfId="7497" xr:uid="{00000000-0005-0000-0000-0000491D0000}"/>
    <cellStyle name="Accent6 67 2" xfId="7498" xr:uid="{00000000-0005-0000-0000-00004A1D0000}"/>
    <cellStyle name="Accent6 67 2 2" xfId="7499" xr:uid="{00000000-0005-0000-0000-00004B1D0000}"/>
    <cellStyle name="Accent6 67 3" xfId="7500" xr:uid="{00000000-0005-0000-0000-00004C1D0000}"/>
    <cellStyle name="Accent6 67 3 2" xfId="7501" xr:uid="{00000000-0005-0000-0000-00004D1D0000}"/>
    <cellStyle name="Accent6 67 3 2 2" xfId="7502" xr:uid="{00000000-0005-0000-0000-00004E1D0000}"/>
    <cellStyle name="Accent6 67 3 3" xfId="7503" xr:uid="{00000000-0005-0000-0000-00004F1D0000}"/>
    <cellStyle name="Accent6 67 4" xfId="7504" xr:uid="{00000000-0005-0000-0000-0000501D0000}"/>
    <cellStyle name="Accent6 68" xfId="7505" xr:uid="{00000000-0005-0000-0000-0000511D0000}"/>
    <cellStyle name="Accent6 68 2" xfId="7506" xr:uid="{00000000-0005-0000-0000-0000521D0000}"/>
    <cellStyle name="Accent6 68 2 2" xfId="7507" xr:uid="{00000000-0005-0000-0000-0000531D0000}"/>
    <cellStyle name="Accent6 68 3" xfId="7508" xr:uid="{00000000-0005-0000-0000-0000541D0000}"/>
    <cellStyle name="Accent6 68 3 2" xfId="7509" xr:uid="{00000000-0005-0000-0000-0000551D0000}"/>
    <cellStyle name="Accent6 68 3 2 2" xfId="7510" xr:uid="{00000000-0005-0000-0000-0000561D0000}"/>
    <cellStyle name="Accent6 68 3 3" xfId="7511" xr:uid="{00000000-0005-0000-0000-0000571D0000}"/>
    <cellStyle name="Accent6 68 4" xfId="7512" xr:uid="{00000000-0005-0000-0000-0000581D0000}"/>
    <cellStyle name="Accent6 69" xfId="7513" xr:uid="{00000000-0005-0000-0000-0000591D0000}"/>
    <cellStyle name="Accent6 69 2" xfId="7514" xr:uid="{00000000-0005-0000-0000-00005A1D0000}"/>
    <cellStyle name="Accent6 69 2 2" xfId="7515" xr:uid="{00000000-0005-0000-0000-00005B1D0000}"/>
    <cellStyle name="Accent6 69 3" xfId="7516" xr:uid="{00000000-0005-0000-0000-00005C1D0000}"/>
    <cellStyle name="Accent6 69 3 2" xfId="7517" xr:uid="{00000000-0005-0000-0000-00005D1D0000}"/>
    <cellStyle name="Accent6 69 3 2 2" xfId="7518" xr:uid="{00000000-0005-0000-0000-00005E1D0000}"/>
    <cellStyle name="Accent6 69 3 3" xfId="7519" xr:uid="{00000000-0005-0000-0000-00005F1D0000}"/>
    <cellStyle name="Accent6 69 4" xfId="7520" xr:uid="{00000000-0005-0000-0000-0000601D0000}"/>
    <cellStyle name="Accent6 7" xfId="7521" xr:uid="{00000000-0005-0000-0000-0000611D0000}"/>
    <cellStyle name="Accent6 7 2" xfId="7522" xr:uid="{00000000-0005-0000-0000-0000621D0000}"/>
    <cellStyle name="Accent6 7 2 2" xfId="7523" xr:uid="{00000000-0005-0000-0000-0000631D0000}"/>
    <cellStyle name="Accent6 7 2 2 2" xfId="7524" xr:uid="{00000000-0005-0000-0000-0000641D0000}"/>
    <cellStyle name="Accent6 7 2 3" xfId="7525" xr:uid="{00000000-0005-0000-0000-0000651D0000}"/>
    <cellStyle name="Accent6 7 2 3 2" xfId="7526" xr:uid="{00000000-0005-0000-0000-0000661D0000}"/>
    <cellStyle name="Accent6 7 2 3 2 2" xfId="7527" xr:uid="{00000000-0005-0000-0000-0000671D0000}"/>
    <cellStyle name="Accent6 7 2 3 3" xfId="7528" xr:uid="{00000000-0005-0000-0000-0000681D0000}"/>
    <cellStyle name="Accent6 7 2 4" xfId="7529" xr:uid="{00000000-0005-0000-0000-0000691D0000}"/>
    <cellStyle name="Accent6 7 3" xfId="7530" xr:uid="{00000000-0005-0000-0000-00006A1D0000}"/>
    <cellStyle name="Accent6 7 3 2" xfId="7531" xr:uid="{00000000-0005-0000-0000-00006B1D0000}"/>
    <cellStyle name="Accent6 7 4" xfId="7532" xr:uid="{00000000-0005-0000-0000-00006C1D0000}"/>
    <cellStyle name="Accent6 7 4 2" xfId="7533" xr:uid="{00000000-0005-0000-0000-00006D1D0000}"/>
    <cellStyle name="Accent6 7 4 2 2" xfId="7534" xr:uid="{00000000-0005-0000-0000-00006E1D0000}"/>
    <cellStyle name="Accent6 7 4 3" xfId="7535" xr:uid="{00000000-0005-0000-0000-00006F1D0000}"/>
    <cellStyle name="Accent6 7 5" xfId="7536" xr:uid="{00000000-0005-0000-0000-0000701D0000}"/>
    <cellStyle name="Accent6 70" xfId="7537" xr:uid="{00000000-0005-0000-0000-0000711D0000}"/>
    <cellStyle name="Accent6 70 2" xfId="7538" xr:uid="{00000000-0005-0000-0000-0000721D0000}"/>
    <cellStyle name="Accent6 70 2 2" xfId="7539" xr:uid="{00000000-0005-0000-0000-0000731D0000}"/>
    <cellStyle name="Accent6 70 3" xfId="7540" xr:uid="{00000000-0005-0000-0000-0000741D0000}"/>
    <cellStyle name="Accent6 70 3 2" xfId="7541" xr:uid="{00000000-0005-0000-0000-0000751D0000}"/>
    <cellStyle name="Accent6 70 3 2 2" xfId="7542" xr:uid="{00000000-0005-0000-0000-0000761D0000}"/>
    <cellStyle name="Accent6 70 3 3" xfId="7543" xr:uid="{00000000-0005-0000-0000-0000771D0000}"/>
    <cellStyle name="Accent6 70 4" xfId="7544" xr:uid="{00000000-0005-0000-0000-0000781D0000}"/>
    <cellStyle name="Accent6 71" xfId="7545" xr:uid="{00000000-0005-0000-0000-0000791D0000}"/>
    <cellStyle name="Accent6 71 2" xfId="7546" xr:uid="{00000000-0005-0000-0000-00007A1D0000}"/>
    <cellStyle name="Accent6 71 2 2" xfId="7547" xr:uid="{00000000-0005-0000-0000-00007B1D0000}"/>
    <cellStyle name="Accent6 71 3" xfId="7548" xr:uid="{00000000-0005-0000-0000-00007C1D0000}"/>
    <cellStyle name="Accent6 71 3 2" xfId="7549" xr:uid="{00000000-0005-0000-0000-00007D1D0000}"/>
    <cellStyle name="Accent6 71 3 2 2" xfId="7550" xr:uid="{00000000-0005-0000-0000-00007E1D0000}"/>
    <cellStyle name="Accent6 71 3 3" xfId="7551" xr:uid="{00000000-0005-0000-0000-00007F1D0000}"/>
    <cellStyle name="Accent6 71 4" xfId="7552" xr:uid="{00000000-0005-0000-0000-0000801D0000}"/>
    <cellStyle name="Accent6 72" xfId="7553" xr:uid="{00000000-0005-0000-0000-0000811D0000}"/>
    <cellStyle name="Accent6 72 2" xfId="7554" xr:uid="{00000000-0005-0000-0000-0000821D0000}"/>
    <cellStyle name="Accent6 72 2 2" xfId="7555" xr:uid="{00000000-0005-0000-0000-0000831D0000}"/>
    <cellStyle name="Accent6 72 3" xfId="7556" xr:uid="{00000000-0005-0000-0000-0000841D0000}"/>
    <cellStyle name="Accent6 72 3 2" xfId="7557" xr:uid="{00000000-0005-0000-0000-0000851D0000}"/>
    <cellStyle name="Accent6 72 3 2 2" xfId="7558" xr:uid="{00000000-0005-0000-0000-0000861D0000}"/>
    <cellStyle name="Accent6 72 3 3" xfId="7559" xr:uid="{00000000-0005-0000-0000-0000871D0000}"/>
    <cellStyle name="Accent6 72 4" xfId="7560" xr:uid="{00000000-0005-0000-0000-0000881D0000}"/>
    <cellStyle name="Accent6 73" xfId="7561" xr:uid="{00000000-0005-0000-0000-0000891D0000}"/>
    <cellStyle name="Accent6 73 2" xfId="7562" xr:uid="{00000000-0005-0000-0000-00008A1D0000}"/>
    <cellStyle name="Accent6 73 2 2" xfId="7563" xr:uid="{00000000-0005-0000-0000-00008B1D0000}"/>
    <cellStyle name="Accent6 73 3" xfId="7564" xr:uid="{00000000-0005-0000-0000-00008C1D0000}"/>
    <cellStyle name="Accent6 73 3 2" xfId="7565" xr:uid="{00000000-0005-0000-0000-00008D1D0000}"/>
    <cellStyle name="Accent6 73 3 2 2" xfId="7566" xr:uid="{00000000-0005-0000-0000-00008E1D0000}"/>
    <cellStyle name="Accent6 73 3 3" xfId="7567" xr:uid="{00000000-0005-0000-0000-00008F1D0000}"/>
    <cellStyle name="Accent6 73 4" xfId="7568" xr:uid="{00000000-0005-0000-0000-0000901D0000}"/>
    <cellStyle name="Accent6 74" xfId="7569" xr:uid="{00000000-0005-0000-0000-0000911D0000}"/>
    <cellStyle name="Accent6 74 2" xfId="7570" xr:uid="{00000000-0005-0000-0000-0000921D0000}"/>
    <cellStyle name="Accent6 74 2 2" xfId="7571" xr:uid="{00000000-0005-0000-0000-0000931D0000}"/>
    <cellStyle name="Accent6 74 3" xfId="7572" xr:uid="{00000000-0005-0000-0000-0000941D0000}"/>
    <cellStyle name="Accent6 74 3 2" xfId="7573" xr:uid="{00000000-0005-0000-0000-0000951D0000}"/>
    <cellStyle name="Accent6 74 3 2 2" xfId="7574" xr:uid="{00000000-0005-0000-0000-0000961D0000}"/>
    <cellStyle name="Accent6 74 3 3" xfId="7575" xr:uid="{00000000-0005-0000-0000-0000971D0000}"/>
    <cellStyle name="Accent6 74 4" xfId="7576" xr:uid="{00000000-0005-0000-0000-0000981D0000}"/>
    <cellStyle name="Accent6 75" xfId="7577" xr:uid="{00000000-0005-0000-0000-0000991D0000}"/>
    <cellStyle name="Accent6 75 2" xfId="7578" xr:uid="{00000000-0005-0000-0000-00009A1D0000}"/>
    <cellStyle name="Accent6 75 2 2" xfId="7579" xr:uid="{00000000-0005-0000-0000-00009B1D0000}"/>
    <cellStyle name="Accent6 75 3" xfId="7580" xr:uid="{00000000-0005-0000-0000-00009C1D0000}"/>
    <cellStyle name="Accent6 75 3 2" xfId="7581" xr:uid="{00000000-0005-0000-0000-00009D1D0000}"/>
    <cellStyle name="Accent6 75 3 2 2" xfId="7582" xr:uid="{00000000-0005-0000-0000-00009E1D0000}"/>
    <cellStyle name="Accent6 75 3 3" xfId="7583" xr:uid="{00000000-0005-0000-0000-00009F1D0000}"/>
    <cellStyle name="Accent6 75 4" xfId="7584" xr:uid="{00000000-0005-0000-0000-0000A01D0000}"/>
    <cellStyle name="Accent6 76" xfId="7585" xr:uid="{00000000-0005-0000-0000-0000A11D0000}"/>
    <cellStyle name="Accent6 76 2" xfId="7586" xr:uid="{00000000-0005-0000-0000-0000A21D0000}"/>
    <cellStyle name="Accent6 76 2 2" xfId="7587" xr:uid="{00000000-0005-0000-0000-0000A31D0000}"/>
    <cellStyle name="Accent6 76 3" xfId="7588" xr:uid="{00000000-0005-0000-0000-0000A41D0000}"/>
    <cellStyle name="Accent6 76 3 2" xfId="7589" xr:uid="{00000000-0005-0000-0000-0000A51D0000}"/>
    <cellStyle name="Accent6 76 3 2 2" xfId="7590" xr:uid="{00000000-0005-0000-0000-0000A61D0000}"/>
    <cellStyle name="Accent6 76 3 3" xfId="7591" xr:uid="{00000000-0005-0000-0000-0000A71D0000}"/>
    <cellStyle name="Accent6 76 4" xfId="7592" xr:uid="{00000000-0005-0000-0000-0000A81D0000}"/>
    <cellStyle name="Accent6 77" xfId="7593" xr:uid="{00000000-0005-0000-0000-0000A91D0000}"/>
    <cellStyle name="Accent6 77 2" xfId="7594" xr:uid="{00000000-0005-0000-0000-0000AA1D0000}"/>
    <cellStyle name="Accent6 77 2 2" xfId="7595" xr:uid="{00000000-0005-0000-0000-0000AB1D0000}"/>
    <cellStyle name="Accent6 77 3" xfId="7596" xr:uid="{00000000-0005-0000-0000-0000AC1D0000}"/>
    <cellStyle name="Accent6 77 3 2" xfId="7597" xr:uid="{00000000-0005-0000-0000-0000AD1D0000}"/>
    <cellStyle name="Accent6 77 3 2 2" xfId="7598" xr:uid="{00000000-0005-0000-0000-0000AE1D0000}"/>
    <cellStyle name="Accent6 77 3 3" xfId="7599" xr:uid="{00000000-0005-0000-0000-0000AF1D0000}"/>
    <cellStyle name="Accent6 77 4" xfId="7600" xr:uid="{00000000-0005-0000-0000-0000B01D0000}"/>
    <cellStyle name="Accent6 78" xfId="7601" xr:uid="{00000000-0005-0000-0000-0000B11D0000}"/>
    <cellStyle name="Accent6 78 2" xfId="7602" xr:uid="{00000000-0005-0000-0000-0000B21D0000}"/>
    <cellStyle name="Accent6 78 2 2" xfId="7603" xr:uid="{00000000-0005-0000-0000-0000B31D0000}"/>
    <cellStyle name="Accent6 78 3" xfId="7604" xr:uid="{00000000-0005-0000-0000-0000B41D0000}"/>
    <cellStyle name="Accent6 78 3 2" xfId="7605" xr:uid="{00000000-0005-0000-0000-0000B51D0000}"/>
    <cellStyle name="Accent6 78 3 2 2" xfId="7606" xr:uid="{00000000-0005-0000-0000-0000B61D0000}"/>
    <cellStyle name="Accent6 78 3 3" xfId="7607" xr:uid="{00000000-0005-0000-0000-0000B71D0000}"/>
    <cellStyle name="Accent6 78 4" xfId="7608" xr:uid="{00000000-0005-0000-0000-0000B81D0000}"/>
    <cellStyle name="Accent6 79" xfId="7609" xr:uid="{00000000-0005-0000-0000-0000B91D0000}"/>
    <cellStyle name="Accent6 79 2" xfId="7610" xr:uid="{00000000-0005-0000-0000-0000BA1D0000}"/>
    <cellStyle name="Accent6 79 2 2" xfId="7611" xr:uid="{00000000-0005-0000-0000-0000BB1D0000}"/>
    <cellStyle name="Accent6 79 3" xfId="7612" xr:uid="{00000000-0005-0000-0000-0000BC1D0000}"/>
    <cellStyle name="Accent6 79 3 2" xfId="7613" xr:uid="{00000000-0005-0000-0000-0000BD1D0000}"/>
    <cellStyle name="Accent6 79 3 2 2" xfId="7614" xr:uid="{00000000-0005-0000-0000-0000BE1D0000}"/>
    <cellStyle name="Accent6 79 3 3" xfId="7615" xr:uid="{00000000-0005-0000-0000-0000BF1D0000}"/>
    <cellStyle name="Accent6 79 4" xfId="7616" xr:uid="{00000000-0005-0000-0000-0000C01D0000}"/>
    <cellStyle name="Accent6 8" xfId="7617" xr:uid="{00000000-0005-0000-0000-0000C11D0000}"/>
    <cellStyle name="Accent6 8 2" xfId="7618" xr:uid="{00000000-0005-0000-0000-0000C21D0000}"/>
    <cellStyle name="Accent6 8 2 2" xfId="7619" xr:uid="{00000000-0005-0000-0000-0000C31D0000}"/>
    <cellStyle name="Accent6 8 3" xfId="7620" xr:uid="{00000000-0005-0000-0000-0000C41D0000}"/>
    <cellStyle name="Accent6 80" xfId="7621" xr:uid="{00000000-0005-0000-0000-0000C51D0000}"/>
    <cellStyle name="Accent6 80 2" xfId="7622" xr:uid="{00000000-0005-0000-0000-0000C61D0000}"/>
    <cellStyle name="Accent6 80 2 2" xfId="7623" xr:uid="{00000000-0005-0000-0000-0000C71D0000}"/>
    <cellStyle name="Accent6 80 3" xfId="7624" xr:uid="{00000000-0005-0000-0000-0000C81D0000}"/>
    <cellStyle name="Accent6 80 3 2" xfId="7625" xr:uid="{00000000-0005-0000-0000-0000C91D0000}"/>
    <cellStyle name="Accent6 80 3 2 2" xfId="7626" xr:uid="{00000000-0005-0000-0000-0000CA1D0000}"/>
    <cellStyle name="Accent6 80 3 3" xfId="7627" xr:uid="{00000000-0005-0000-0000-0000CB1D0000}"/>
    <cellStyle name="Accent6 80 4" xfId="7628" xr:uid="{00000000-0005-0000-0000-0000CC1D0000}"/>
    <cellStyle name="Accent6 81" xfId="7629" xr:uid="{00000000-0005-0000-0000-0000CD1D0000}"/>
    <cellStyle name="Accent6 81 2" xfId="7630" xr:uid="{00000000-0005-0000-0000-0000CE1D0000}"/>
    <cellStyle name="Accent6 81 2 2" xfId="7631" xr:uid="{00000000-0005-0000-0000-0000CF1D0000}"/>
    <cellStyle name="Accent6 81 3" xfId="7632" xr:uid="{00000000-0005-0000-0000-0000D01D0000}"/>
    <cellStyle name="Accent6 81 3 2" xfId="7633" xr:uid="{00000000-0005-0000-0000-0000D11D0000}"/>
    <cellStyle name="Accent6 81 3 2 2" xfId="7634" xr:uid="{00000000-0005-0000-0000-0000D21D0000}"/>
    <cellStyle name="Accent6 81 3 3" xfId="7635" xr:uid="{00000000-0005-0000-0000-0000D31D0000}"/>
    <cellStyle name="Accent6 81 4" xfId="7636" xr:uid="{00000000-0005-0000-0000-0000D41D0000}"/>
    <cellStyle name="Accent6 82" xfId="7637" xr:uid="{00000000-0005-0000-0000-0000D51D0000}"/>
    <cellStyle name="Accent6 82 2" xfId="7638" xr:uid="{00000000-0005-0000-0000-0000D61D0000}"/>
    <cellStyle name="Accent6 82 2 2" xfId="7639" xr:uid="{00000000-0005-0000-0000-0000D71D0000}"/>
    <cellStyle name="Accent6 82 3" xfId="7640" xr:uid="{00000000-0005-0000-0000-0000D81D0000}"/>
    <cellStyle name="Accent6 82 3 2" xfId="7641" xr:uid="{00000000-0005-0000-0000-0000D91D0000}"/>
    <cellStyle name="Accent6 82 3 2 2" xfId="7642" xr:uid="{00000000-0005-0000-0000-0000DA1D0000}"/>
    <cellStyle name="Accent6 82 3 3" xfId="7643" xr:uid="{00000000-0005-0000-0000-0000DB1D0000}"/>
    <cellStyle name="Accent6 82 4" xfId="7644" xr:uid="{00000000-0005-0000-0000-0000DC1D0000}"/>
    <cellStyle name="Accent6 83" xfId="7645" xr:uid="{00000000-0005-0000-0000-0000DD1D0000}"/>
    <cellStyle name="Accent6 83 2" xfId="7646" xr:uid="{00000000-0005-0000-0000-0000DE1D0000}"/>
    <cellStyle name="Accent6 83 2 2" xfId="7647" xr:uid="{00000000-0005-0000-0000-0000DF1D0000}"/>
    <cellStyle name="Accent6 83 3" xfId="7648" xr:uid="{00000000-0005-0000-0000-0000E01D0000}"/>
    <cellStyle name="Accent6 83 3 2" xfId="7649" xr:uid="{00000000-0005-0000-0000-0000E11D0000}"/>
    <cellStyle name="Accent6 83 3 2 2" xfId="7650" xr:uid="{00000000-0005-0000-0000-0000E21D0000}"/>
    <cellStyle name="Accent6 83 3 3" xfId="7651" xr:uid="{00000000-0005-0000-0000-0000E31D0000}"/>
    <cellStyle name="Accent6 83 4" xfId="7652" xr:uid="{00000000-0005-0000-0000-0000E41D0000}"/>
    <cellStyle name="Accent6 84" xfId="7653" xr:uid="{00000000-0005-0000-0000-0000E51D0000}"/>
    <cellStyle name="Accent6 84 2" xfId="7654" xr:uid="{00000000-0005-0000-0000-0000E61D0000}"/>
    <cellStyle name="Accent6 84 2 2" xfId="7655" xr:uid="{00000000-0005-0000-0000-0000E71D0000}"/>
    <cellStyle name="Accent6 84 3" xfId="7656" xr:uid="{00000000-0005-0000-0000-0000E81D0000}"/>
    <cellStyle name="Accent6 85" xfId="7657" xr:uid="{00000000-0005-0000-0000-0000E91D0000}"/>
    <cellStyle name="Accent6 85 2" xfId="7658" xr:uid="{00000000-0005-0000-0000-0000EA1D0000}"/>
    <cellStyle name="Accent6 85 2 2" xfId="7659" xr:uid="{00000000-0005-0000-0000-0000EB1D0000}"/>
    <cellStyle name="Accent6 85 3" xfId="7660" xr:uid="{00000000-0005-0000-0000-0000EC1D0000}"/>
    <cellStyle name="Accent6 86" xfId="7661" xr:uid="{00000000-0005-0000-0000-0000ED1D0000}"/>
    <cellStyle name="Accent6 86 2" xfId="7662" xr:uid="{00000000-0005-0000-0000-0000EE1D0000}"/>
    <cellStyle name="Accent6 86 2 2" xfId="7663" xr:uid="{00000000-0005-0000-0000-0000EF1D0000}"/>
    <cellStyle name="Accent6 86 3" xfId="7664" xr:uid="{00000000-0005-0000-0000-0000F01D0000}"/>
    <cellStyle name="Accent6 87" xfId="7665" xr:uid="{00000000-0005-0000-0000-0000F11D0000}"/>
    <cellStyle name="Accent6 87 2" xfId="7666" xr:uid="{00000000-0005-0000-0000-0000F21D0000}"/>
    <cellStyle name="Accent6 87 2 2" xfId="7667" xr:uid="{00000000-0005-0000-0000-0000F31D0000}"/>
    <cellStyle name="Accent6 87 3" xfId="7668" xr:uid="{00000000-0005-0000-0000-0000F41D0000}"/>
    <cellStyle name="Accent6 88" xfId="7669" xr:uid="{00000000-0005-0000-0000-0000F51D0000}"/>
    <cellStyle name="Accent6 88 2" xfId="7670" xr:uid="{00000000-0005-0000-0000-0000F61D0000}"/>
    <cellStyle name="Accent6 88 2 2" xfId="7671" xr:uid="{00000000-0005-0000-0000-0000F71D0000}"/>
    <cellStyle name="Accent6 88 3" xfId="7672" xr:uid="{00000000-0005-0000-0000-0000F81D0000}"/>
    <cellStyle name="Accent6 89" xfId="7673" xr:uid="{00000000-0005-0000-0000-0000F91D0000}"/>
    <cellStyle name="Accent6 89 2" xfId="7674" xr:uid="{00000000-0005-0000-0000-0000FA1D0000}"/>
    <cellStyle name="Accent6 89 2 2" xfId="7675" xr:uid="{00000000-0005-0000-0000-0000FB1D0000}"/>
    <cellStyle name="Accent6 89 3" xfId="7676" xr:uid="{00000000-0005-0000-0000-0000FC1D0000}"/>
    <cellStyle name="Accent6 9" xfId="7677" xr:uid="{00000000-0005-0000-0000-0000FD1D0000}"/>
    <cellStyle name="Accent6 9 2" xfId="7678" xr:uid="{00000000-0005-0000-0000-0000FE1D0000}"/>
    <cellStyle name="Accent6 9 2 2" xfId="7679" xr:uid="{00000000-0005-0000-0000-0000FF1D0000}"/>
    <cellStyle name="Accent6 9 3" xfId="7680" xr:uid="{00000000-0005-0000-0000-0000001E0000}"/>
    <cellStyle name="Accent6 90" xfId="7681" xr:uid="{00000000-0005-0000-0000-0000011E0000}"/>
    <cellStyle name="Accent6 90 2" xfId="7682" xr:uid="{00000000-0005-0000-0000-0000021E0000}"/>
    <cellStyle name="Accent6 90 2 2" xfId="7683" xr:uid="{00000000-0005-0000-0000-0000031E0000}"/>
    <cellStyle name="Accent6 90 3" xfId="7684" xr:uid="{00000000-0005-0000-0000-0000041E0000}"/>
    <cellStyle name="Accent6 91" xfId="7685" xr:uid="{00000000-0005-0000-0000-0000051E0000}"/>
    <cellStyle name="Accent6 91 2" xfId="7686" xr:uid="{00000000-0005-0000-0000-0000061E0000}"/>
    <cellStyle name="Accent6 91 2 2" xfId="7687" xr:uid="{00000000-0005-0000-0000-0000071E0000}"/>
    <cellStyle name="Accent6 91 3" xfId="7688" xr:uid="{00000000-0005-0000-0000-0000081E0000}"/>
    <cellStyle name="Accent6 92" xfId="7689" xr:uid="{00000000-0005-0000-0000-0000091E0000}"/>
    <cellStyle name="Accent6 92 2" xfId="7690" xr:uid="{00000000-0005-0000-0000-00000A1E0000}"/>
    <cellStyle name="Accent6 92 2 2" xfId="7691" xr:uid="{00000000-0005-0000-0000-00000B1E0000}"/>
    <cellStyle name="Accent6 92 3" xfId="7692" xr:uid="{00000000-0005-0000-0000-00000C1E0000}"/>
    <cellStyle name="Accent6 93" xfId="7693" xr:uid="{00000000-0005-0000-0000-00000D1E0000}"/>
    <cellStyle name="Accent6 93 2" xfId="7694" xr:uid="{00000000-0005-0000-0000-00000E1E0000}"/>
    <cellStyle name="Accent6 93 2 2" xfId="7695" xr:uid="{00000000-0005-0000-0000-00000F1E0000}"/>
    <cellStyle name="Accent6 93 3" xfId="7696" xr:uid="{00000000-0005-0000-0000-0000101E0000}"/>
    <cellStyle name="Accent6 94" xfId="7697" xr:uid="{00000000-0005-0000-0000-0000111E0000}"/>
    <cellStyle name="Accent6 94 2" xfId="7698" xr:uid="{00000000-0005-0000-0000-0000121E0000}"/>
    <cellStyle name="Accent6 94 2 2" xfId="7699" xr:uid="{00000000-0005-0000-0000-0000131E0000}"/>
    <cellStyle name="Accent6 94 3" xfId="7700" xr:uid="{00000000-0005-0000-0000-0000141E0000}"/>
    <cellStyle name="Accent6 95" xfId="7701" xr:uid="{00000000-0005-0000-0000-0000151E0000}"/>
    <cellStyle name="Accent6 95 2" xfId="7702" xr:uid="{00000000-0005-0000-0000-0000161E0000}"/>
    <cellStyle name="Accent6 95 2 2" xfId="7703" xr:uid="{00000000-0005-0000-0000-0000171E0000}"/>
    <cellStyle name="Accent6 95 3" xfId="7704" xr:uid="{00000000-0005-0000-0000-0000181E0000}"/>
    <cellStyle name="Accent6 96" xfId="7705" xr:uid="{00000000-0005-0000-0000-0000191E0000}"/>
    <cellStyle name="Accent6 96 2" xfId="7706" xr:uid="{00000000-0005-0000-0000-00001A1E0000}"/>
    <cellStyle name="Accent6 96 2 2" xfId="7707" xr:uid="{00000000-0005-0000-0000-00001B1E0000}"/>
    <cellStyle name="Accent6 96 3" xfId="7708" xr:uid="{00000000-0005-0000-0000-00001C1E0000}"/>
    <cellStyle name="Accent6 97" xfId="7709" xr:uid="{00000000-0005-0000-0000-00001D1E0000}"/>
    <cellStyle name="Accent6 97 2" xfId="7710" xr:uid="{00000000-0005-0000-0000-00001E1E0000}"/>
    <cellStyle name="Accent6 97 2 2" xfId="7711" xr:uid="{00000000-0005-0000-0000-00001F1E0000}"/>
    <cellStyle name="Accent6 97 3" xfId="7712" xr:uid="{00000000-0005-0000-0000-0000201E0000}"/>
    <cellStyle name="Accent6 98" xfId="7713" xr:uid="{00000000-0005-0000-0000-0000211E0000}"/>
    <cellStyle name="Accent6 98 2" xfId="7714" xr:uid="{00000000-0005-0000-0000-0000221E0000}"/>
    <cellStyle name="Accent6 98 2 2" xfId="7715" xr:uid="{00000000-0005-0000-0000-0000231E0000}"/>
    <cellStyle name="Accent6 98 3" xfId="7716" xr:uid="{00000000-0005-0000-0000-0000241E0000}"/>
    <cellStyle name="Accent6 99" xfId="7717" xr:uid="{00000000-0005-0000-0000-0000251E0000}"/>
    <cellStyle name="Accent6 99 2" xfId="7718" xr:uid="{00000000-0005-0000-0000-0000261E0000}"/>
    <cellStyle name="Accent6 99 2 2" xfId="7719" xr:uid="{00000000-0005-0000-0000-0000271E0000}"/>
    <cellStyle name="Accent6 99 3" xfId="7720" xr:uid="{00000000-0005-0000-0000-0000281E0000}"/>
    <cellStyle name="active" xfId="7721" xr:uid="{00000000-0005-0000-0000-0000291E0000}"/>
    <cellStyle name="active 2" xfId="7722" xr:uid="{00000000-0005-0000-0000-00002A1E0000}"/>
    <cellStyle name="active 2 2" xfId="7723" xr:uid="{00000000-0005-0000-0000-00002B1E0000}"/>
    <cellStyle name="active 2 2 2" xfId="7724" xr:uid="{00000000-0005-0000-0000-00002C1E0000}"/>
    <cellStyle name="active 2 3" xfId="7725" xr:uid="{00000000-0005-0000-0000-00002D1E0000}"/>
    <cellStyle name="active 2 3 2" xfId="7726" xr:uid="{00000000-0005-0000-0000-00002E1E0000}"/>
    <cellStyle name="active 2 3 2 2" xfId="7727" xr:uid="{00000000-0005-0000-0000-00002F1E0000}"/>
    <cellStyle name="active 2 3 3" xfId="7728" xr:uid="{00000000-0005-0000-0000-0000301E0000}"/>
    <cellStyle name="active 2 4" xfId="7729" xr:uid="{00000000-0005-0000-0000-0000311E0000}"/>
    <cellStyle name="active 3" xfId="7730" xr:uid="{00000000-0005-0000-0000-0000321E0000}"/>
    <cellStyle name="active 3 2" xfId="7731" xr:uid="{00000000-0005-0000-0000-0000331E0000}"/>
    <cellStyle name="active 3 2 2" xfId="7732" xr:uid="{00000000-0005-0000-0000-0000341E0000}"/>
    <cellStyle name="active 3 3" xfId="7733" xr:uid="{00000000-0005-0000-0000-0000351E0000}"/>
    <cellStyle name="active 4" xfId="7734" xr:uid="{00000000-0005-0000-0000-0000361E0000}"/>
    <cellStyle name="active 4 2" xfId="7735" xr:uid="{00000000-0005-0000-0000-0000371E0000}"/>
    <cellStyle name="active 5" xfId="7736" xr:uid="{00000000-0005-0000-0000-0000381E0000}"/>
    <cellStyle name="active 5 2" xfId="7737" xr:uid="{00000000-0005-0000-0000-0000391E0000}"/>
    <cellStyle name="active 6" xfId="7738" xr:uid="{00000000-0005-0000-0000-00003A1E0000}"/>
    <cellStyle name="Actual Date" xfId="7739" xr:uid="{00000000-0005-0000-0000-00003B1E0000}"/>
    <cellStyle name="Actual Date 2" xfId="7740" xr:uid="{00000000-0005-0000-0000-00003C1E0000}"/>
    <cellStyle name="Actual Date 2 2" xfId="7741" xr:uid="{00000000-0005-0000-0000-00003D1E0000}"/>
    <cellStyle name="Actual Date 3" xfId="7742" xr:uid="{00000000-0005-0000-0000-00003E1E0000}"/>
    <cellStyle name="Actual Date 3 2" xfId="7743" xr:uid="{00000000-0005-0000-0000-00003F1E0000}"/>
    <cellStyle name="Actual Date 4" xfId="7744" xr:uid="{00000000-0005-0000-0000-0000401E0000}"/>
    <cellStyle name="Actual Date 5" xfId="7745" xr:uid="{00000000-0005-0000-0000-0000411E0000}"/>
    <cellStyle name="args.style" xfId="7746" xr:uid="{00000000-0005-0000-0000-0000421E0000}"/>
    <cellStyle name="args.style 2" xfId="7747" xr:uid="{00000000-0005-0000-0000-0000431E0000}"/>
    <cellStyle name="args.style 2 2" xfId="7748" xr:uid="{00000000-0005-0000-0000-0000441E0000}"/>
    <cellStyle name="args.style 2 2 2" xfId="7749" xr:uid="{00000000-0005-0000-0000-0000451E0000}"/>
    <cellStyle name="args.style 2 3" xfId="7750" xr:uid="{00000000-0005-0000-0000-0000461E0000}"/>
    <cellStyle name="args.style 2 3 2" xfId="7751" xr:uid="{00000000-0005-0000-0000-0000471E0000}"/>
    <cellStyle name="args.style 2 3 2 2" xfId="7752" xr:uid="{00000000-0005-0000-0000-0000481E0000}"/>
    <cellStyle name="args.style 2 3 3" xfId="7753" xr:uid="{00000000-0005-0000-0000-0000491E0000}"/>
    <cellStyle name="args.style 2 4" xfId="7754" xr:uid="{00000000-0005-0000-0000-00004A1E0000}"/>
    <cellStyle name="args.style 3" xfId="7755" xr:uid="{00000000-0005-0000-0000-00004B1E0000}"/>
    <cellStyle name="args.style 3 2" xfId="7756" xr:uid="{00000000-0005-0000-0000-00004C1E0000}"/>
    <cellStyle name="args.style 3 2 2" xfId="7757" xr:uid="{00000000-0005-0000-0000-00004D1E0000}"/>
    <cellStyle name="args.style 3 3" xfId="7758" xr:uid="{00000000-0005-0000-0000-00004E1E0000}"/>
    <cellStyle name="args.style 4" xfId="7759" xr:uid="{00000000-0005-0000-0000-00004F1E0000}"/>
    <cellStyle name="args.style 4 2" xfId="7760" xr:uid="{00000000-0005-0000-0000-0000501E0000}"/>
    <cellStyle name="args.style 4 2 2" xfId="7761" xr:uid="{00000000-0005-0000-0000-0000511E0000}"/>
    <cellStyle name="args.style 4 3" xfId="7762" xr:uid="{00000000-0005-0000-0000-0000521E0000}"/>
    <cellStyle name="args.style 5" xfId="7763" xr:uid="{00000000-0005-0000-0000-0000531E0000}"/>
    <cellStyle name="args.style 5 2" xfId="7764" xr:uid="{00000000-0005-0000-0000-0000541E0000}"/>
    <cellStyle name="args.style 6" xfId="7765" xr:uid="{00000000-0005-0000-0000-0000551E0000}"/>
    <cellStyle name="args.style 6 2" xfId="7766" xr:uid="{00000000-0005-0000-0000-0000561E0000}"/>
    <cellStyle name="args.style 7" xfId="7767" xr:uid="{00000000-0005-0000-0000-0000571E0000}"/>
    <cellStyle name="Bad 2" xfId="7768" xr:uid="{00000000-0005-0000-0000-0000581E0000}"/>
    <cellStyle name="Bad 2 10" xfId="7769" xr:uid="{00000000-0005-0000-0000-0000591E0000}"/>
    <cellStyle name="Bad 2 10 2" xfId="7770" xr:uid="{00000000-0005-0000-0000-00005A1E0000}"/>
    <cellStyle name="Bad 2 11" xfId="7771" xr:uid="{00000000-0005-0000-0000-00005B1E0000}"/>
    <cellStyle name="Bad 2 12" xfId="7772" xr:uid="{00000000-0005-0000-0000-00005C1E0000}"/>
    <cellStyle name="Bad 2 2" xfId="7773" xr:uid="{00000000-0005-0000-0000-00005D1E0000}"/>
    <cellStyle name="Bad 2 2 2" xfId="7774" xr:uid="{00000000-0005-0000-0000-00005E1E0000}"/>
    <cellStyle name="Bad 2 2 2 2" xfId="7775" xr:uid="{00000000-0005-0000-0000-00005F1E0000}"/>
    <cellStyle name="Bad 2 2 3" xfId="7776" xr:uid="{00000000-0005-0000-0000-0000601E0000}"/>
    <cellStyle name="Bad 2 2 3 2" xfId="7777" xr:uid="{00000000-0005-0000-0000-0000611E0000}"/>
    <cellStyle name="Bad 2 2 3 2 2" xfId="7778" xr:uid="{00000000-0005-0000-0000-0000621E0000}"/>
    <cellStyle name="Bad 2 2 3 3" xfId="7779" xr:uid="{00000000-0005-0000-0000-0000631E0000}"/>
    <cellStyle name="Bad 2 2 4" xfId="7780" xr:uid="{00000000-0005-0000-0000-0000641E0000}"/>
    <cellStyle name="Bad 2 2 4 2" xfId="7781" xr:uid="{00000000-0005-0000-0000-0000651E0000}"/>
    <cellStyle name="Bad 2 2 5" xfId="7782" xr:uid="{00000000-0005-0000-0000-0000661E0000}"/>
    <cellStyle name="Bad 2 3" xfId="7783" xr:uid="{00000000-0005-0000-0000-0000671E0000}"/>
    <cellStyle name="Bad 2 3 2" xfId="7784" xr:uid="{00000000-0005-0000-0000-0000681E0000}"/>
    <cellStyle name="Bad 2 3 2 2" xfId="7785" xr:uid="{00000000-0005-0000-0000-0000691E0000}"/>
    <cellStyle name="Bad 2 3 3" xfId="7786" xr:uid="{00000000-0005-0000-0000-00006A1E0000}"/>
    <cellStyle name="Bad 2 3 3 2" xfId="7787" xr:uid="{00000000-0005-0000-0000-00006B1E0000}"/>
    <cellStyle name="Bad 2 3 3 2 2" xfId="7788" xr:uid="{00000000-0005-0000-0000-00006C1E0000}"/>
    <cellStyle name="Bad 2 3 3 3" xfId="7789" xr:uid="{00000000-0005-0000-0000-00006D1E0000}"/>
    <cellStyle name="Bad 2 3 4" xfId="7790" xr:uid="{00000000-0005-0000-0000-00006E1E0000}"/>
    <cellStyle name="Bad 2 4" xfId="7791" xr:uid="{00000000-0005-0000-0000-00006F1E0000}"/>
    <cellStyle name="Bad 2 4 2" xfId="7792" xr:uid="{00000000-0005-0000-0000-0000701E0000}"/>
    <cellStyle name="Bad 2 4 2 2" xfId="7793" xr:uid="{00000000-0005-0000-0000-0000711E0000}"/>
    <cellStyle name="Bad 2 4 3" xfId="7794" xr:uid="{00000000-0005-0000-0000-0000721E0000}"/>
    <cellStyle name="Bad 2 5" xfId="7795" xr:uid="{00000000-0005-0000-0000-0000731E0000}"/>
    <cellStyle name="Bad 2 5 2" xfId="7796" xr:uid="{00000000-0005-0000-0000-0000741E0000}"/>
    <cellStyle name="Bad 2 5 2 2" xfId="7797" xr:uid="{00000000-0005-0000-0000-0000751E0000}"/>
    <cellStyle name="Bad 2 5 3" xfId="7798" xr:uid="{00000000-0005-0000-0000-0000761E0000}"/>
    <cellStyle name="Bad 2 5 3 2" xfId="7799" xr:uid="{00000000-0005-0000-0000-0000771E0000}"/>
    <cellStyle name="Bad 2 5 3 2 2" xfId="7800" xr:uid="{00000000-0005-0000-0000-0000781E0000}"/>
    <cellStyle name="Bad 2 5 3 3" xfId="7801" xr:uid="{00000000-0005-0000-0000-0000791E0000}"/>
    <cellStyle name="Bad 2 5 4" xfId="7802" xr:uid="{00000000-0005-0000-0000-00007A1E0000}"/>
    <cellStyle name="Bad 2 6" xfId="7803" xr:uid="{00000000-0005-0000-0000-00007B1E0000}"/>
    <cellStyle name="Bad 2 6 2" xfId="7804" xr:uid="{00000000-0005-0000-0000-00007C1E0000}"/>
    <cellStyle name="Bad 2 6 2 2" xfId="7805" xr:uid="{00000000-0005-0000-0000-00007D1E0000}"/>
    <cellStyle name="Bad 2 6 3" xfId="7806" xr:uid="{00000000-0005-0000-0000-00007E1E0000}"/>
    <cellStyle name="Bad 2 6 3 2" xfId="7807" xr:uid="{00000000-0005-0000-0000-00007F1E0000}"/>
    <cellStyle name="Bad 2 6 4" xfId="7808" xr:uid="{00000000-0005-0000-0000-0000801E0000}"/>
    <cellStyle name="Bad 2 7" xfId="7809" xr:uid="{00000000-0005-0000-0000-0000811E0000}"/>
    <cellStyle name="Bad 2 7 2" xfId="7810" xr:uid="{00000000-0005-0000-0000-0000821E0000}"/>
    <cellStyle name="Bad 2 8" xfId="7811" xr:uid="{00000000-0005-0000-0000-0000831E0000}"/>
    <cellStyle name="Bad 2 8 2" xfId="7812" xr:uid="{00000000-0005-0000-0000-0000841E0000}"/>
    <cellStyle name="Bad 2 8 2 2" xfId="7813" xr:uid="{00000000-0005-0000-0000-0000851E0000}"/>
    <cellStyle name="Bad 2 8 3" xfId="7814" xr:uid="{00000000-0005-0000-0000-0000861E0000}"/>
    <cellStyle name="Bad 2 9" xfId="7815" xr:uid="{00000000-0005-0000-0000-0000871E0000}"/>
    <cellStyle name="Bad 2 9 2" xfId="7816" xr:uid="{00000000-0005-0000-0000-0000881E0000}"/>
    <cellStyle name="Bad 2 9 2 2" xfId="7817" xr:uid="{00000000-0005-0000-0000-0000891E0000}"/>
    <cellStyle name="Bad 2 9 3" xfId="7818" xr:uid="{00000000-0005-0000-0000-00008A1E0000}"/>
    <cellStyle name="Bad 3" xfId="7819" xr:uid="{00000000-0005-0000-0000-00008B1E0000}"/>
    <cellStyle name="Bad 3 2" xfId="7820" xr:uid="{00000000-0005-0000-0000-00008C1E0000}"/>
    <cellStyle name="Bad 3 2 2" xfId="7821" xr:uid="{00000000-0005-0000-0000-00008D1E0000}"/>
    <cellStyle name="Bad 3 3" xfId="7822" xr:uid="{00000000-0005-0000-0000-00008E1E0000}"/>
    <cellStyle name="Bad 3 3 2" xfId="7823" xr:uid="{00000000-0005-0000-0000-00008F1E0000}"/>
    <cellStyle name="Bad 3 4" xfId="7824" xr:uid="{00000000-0005-0000-0000-0000901E0000}"/>
    <cellStyle name="Bad 3 4 2" xfId="7825" xr:uid="{00000000-0005-0000-0000-0000911E0000}"/>
    <cellStyle name="Bad 3 4 2 2" xfId="7826" xr:uid="{00000000-0005-0000-0000-0000921E0000}"/>
    <cellStyle name="Bad 3 4 3" xfId="7827" xr:uid="{00000000-0005-0000-0000-0000931E0000}"/>
    <cellStyle name="Bad 3 5" xfId="7828" xr:uid="{00000000-0005-0000-0000-0000941E0000}"/>
    <cellStyle name="Bad 4" xfId="7829" xr:uid="{00000000-0005-0000-0000-0000951E0000}"/>
    <cellStyle name="Bad 4 2" xfId="7830" xr:uid="{00000000-0005-0000-0000-0000961E0000}"/>
    <cellStyle name="Bad 4 2 2" xfId="7831" xr:uid="{00000000-0005-0000-0000-0000971E0000}"/>
    <cellStyle name="Bad 4 3" xfId="7832" xr:uid="{00000000-0005-0000-0000-0000981E0000}"/>
    <cellStyle name="Bad 4 3 2" xfId="7833" xr:uid="{00000000-0005-0000-0000-0000991E0000}"/>
    <cellStyle name="Bad 4 3 2 2" xfId="7834" xr:uid="{00000000-0005-0000-0000-00009A1E0000}"/>
    <cellStyle name="Bad 4 3 3" xfId="7835" xr:uid="{00000000-0005-0000-0000-00009B1E0000}"/>
    <cellStyle name="Bad 4 4" xfId="7836" xr:uid="{00000000-0005-0000-0000-00009C1E0000}"/>
    <cellStyle name="Bad 5" xfId="7837" xr:uid="{00000000-0005-0000-0000-00009D1E0000}"/>
    <cellStyle name="Bad 5 2" xfId="7838" xr:uid="{00000000-0005-0000-0000-00009E1E0000}"/>
    <cellStyle name="Bad 5 2 2" xfId="7839" xr:uid="{00000000-0005-0000-0000-00009F1E0000}"/>
    <cellStyle name="Bad 5 2 2 2" xfId="7840" xr:uid="{00000000-0005-0000-0000-0000A01E0000}"/>
    <cellStyle name="Bad 5 2 2 2 2" xfId="7841" xr:uid="{00000000-0005-0000-0000-0000A11E0000}"/>
    <cellStyle name="Bad 5 2 2 3" xfId="7842" xr:uid="{00000000-0005-0000-0000-0000A21E0000}"/>
    <cellStyle name="Bad 5 2 2 3 2" xfId="7843" xr:uid="{00000000-0005-0000-0000-0000A31E0000}"/>
    <cellStyle name="Bad 5 2 2 3 2 2" xfId="7844" xr:uid="{00000000-0005-0000-0000-0000A41E0000}"/>
    <cellStyle name="Bad 5 2 2 3 3" xfId="7845" xr:uid="{00000000-0005-0000-0000-0000A51E0000}"/>
    <cellStyle name="Bad 5 2 2 4" xfId="7846" xr:uid="{00000000-0005-0000-0000-0000A61E0000}"/>
    <cellStyle name="Bad 5 2 3" xfId="7847" xr:uid="{00000000-0005-0000-0000-0000A71E0000}"/>
    <cellStyle name="Bad 5 2 3 2" xfId="7848" xr:uid="{00000000-0005-0000-0000-0000A81E0000}"/>
    <cellStyle name="Bad 5 2 4" xfId="7849" xr:uid="{00000000-0005-0000-0000-0000A91E0000}"/>
    <cellStyle name="Bad 5 2 4 2" xfId="7850" xr:uid="{00000000-0005-0000-0000-0000AA1E0000}"/>
    <cellStyle name="Bad 5 2 4 2 2" xfId="7851" xr:uid="{00000000-0005-0000-0000-0000AB1E0000}"/>
    <cellStyle name="Bad 5 2 4 3" xfId="7852" xr:uid="{00000000-0005-0000-0000-0000AC1E0000}"/>
    <cellStyle name="Bad 5 2 5" xfId="7853" xr:uid="{00000000-0005-0000-0000-0000AD1E0000}"/>
    <cellStyle name="Bad 5 3" xfId="7854" xr:uid="{00000000-0005-0000-0000-0000AE1E0000}"/>
    <cellStyle name="Bad 5 3 2" xfId="7855" xr:uid="{00000000-0005-0000-0000-0000AF1E0000}"/>
    <cellStyle name="Bad 5 3 2 2" xfId="7856" xr:uid="{00000000-0005-0000-0000-0000B01E0000}"/>
    <cellStyle name="Bad 5 3 3" xfId="7857" xr:uid="{00000000-0005-0000-0000-0000B11E0000}"/>
    <cellStyle name="Bad 5 4" xfId="7858" xr:uid="{00000000-0005-0000-0000-0000B21E0000}"/>
    <cellStyle name="Bad 5 4 2" xfId="7859" xr:uid="{00000000-0005-0000-0000-0000B31E0000}"/>
    <cellStyle name="Bad 5 5" xfId="7860" xr:uid="{00000000-0005-0000-0000-0000B41E0000}"/>
    <cellStyle name="Bad 5 5 2" xfId="7861" xr:uid="{00000000-0005-0000-0000-0000B51E0000}"/>
    <cellStyle name="Bad 5 5 2 2" xfId="7862" xr:uid="{00000000-0005-0000-0000-0000B61E0000}"/>
    <cellStyle name="Bad 5 5 3" xfId="7863" xr:uid="{00000000-0005-0000-0000-0000B71E0000}"/>
    <cellStyle name="Bad 5 6" xfId="7864" xr:uid="{00000000-0005-0000-0000-0000B81E0000}"/>
    <cellStyle name="Bad 6" xfId="7865" xr:uid="{00000000-0005-0000-0000-0000B91E0000}"/>
    <cellStyle name="Bad 6 2" xfId="7866" xr:uid="{00000000-0005-0000-0000-0000BA1E0000}"/>
    <cellStyle name="Bad 6 2 2" xfId="7867" xr:uid="{00000000-0005-0000-0000-0000BB1E0000}"/>
    <cellStyle name="Bad 6 3" xfId="7868" xr:uid="{00000000-0005-0000-0000-0000BC1E0000}"/>
    <cellStyle name="Bad 7" xfId="7869" xr:uid="{00000000-0005-0000-0000-0000BD1E0000}"/>
    <cellStyle name="Bad 7 2" xfId="7870" xr:uid="{00000000-0005-0000-0000-0000BE1E0000}"/>
    <cellStyle name="Bad 8" xfId="7871" xr:uid="{00000000-0005-0000-0000-0000BF1E0000}"/>
    <cellStyle name="Bad 9" xfId="7872" xr:uid="{00000000-0005-0000-0000-0000C01E0000}"/>
    <cellStyle name="Body" xfId="7873" xr:uid="{00000000-0005-0000-0000-0000C11E0000}"/>
    <cellStyle name="Body 2" xfId="7874" xr:uid="{00000000-0005-0000-0000-0000C21E0000}"/>
    <cellStyle name="Body 2 2" xfId="7875" xr:uid="{00000000-0005-0000-0000-0000C31E0000}"/>
    <cellStyle name="Body 2 2 2" xfId="7876" xr:uid="{00000000-0005-0000-0000-0000C41E0000}"/>
    <cellStyle name="Body 2 3" xfId="7877" xr:uid="{00000000-0005-0000-0000-0000C51E0000}"/>
    <cellStyle name="Body 2 3 2" xfId="7878" xr:uid="{00000000-0005-0000-0000-0000C61E0000}"/>
    <cellStyle name="Body 2 3 2 2" xfId="7879" xr:uid="{00000000-0005-0000-0000-0000C71E0000}"/>
    <cellStyle name="Body 2 3 3" xfId="7880" xr:uid="{00000000-0005-0000-0000-0000C81E0000}"/>
    <cellStyle name="Body 2 4" xfId="7881" xr:uid="{00000000-0005-0000-0000-0000C91E0000}"/>
    <cellStyle name="Body 3" xfId="7882" xr:uid="{00000000-0005-0000-0000-0000CA1E0000}"/>
    <cellStyle name="Body 3 2" xfId="7883" xr:uid="{00000000-0005-0000-0000-0000CB1E0000}"/>
    <cellStyle name="Body 3 2 2" xfId="7884" xr:uid="{00000000-0005-0000-0000-0000CC1E0000}"/>
    <cellStyle name="Body 3 3" xfId="7885" xr:uid="{00000000-0005-0000-0000-0000CD1E0000}"/>
    <cellStyle name="Body 4" xfId="7886" xr:uid="{00000000-0005-0000-0000-0000CE1E0000}"/>
    <cellStyle name="Body 4 2" xfId="7887" xr:uid="{00000000-0005-0000-0000-0000CF1E0000}"/>
    <cellStyle name="Body 5" xfId="7888" xr:uid="{00000000-0005-0000-0000-0000D01E0000}"/>
    <cellStyle name="Body 5 2" xfId="7889" xr:uid="{00000000-0005-0000-0000-0000D11E0000}"/>
    <cellStyle name="Body 6" xfId="7890" xr:uid="{00000000-0005-0000-0000-0000D21E0000}"/>
    <cellStyle name="BorderedPercent" xfId="7891" xr:uid="{00000000-0005-0000-0000-0000D31E0000}"/>
    <cellStyle name="Boxed Integer" xfId="7892" xr:uid="{00000000-0005-0000-0000-0000D41E0000}"/>
    <cellStyle name="Calc" xfId="7893" xr:uid="{00000000-0005-0000-0000-0000D51E0000}"/>
    <cellStyle name="Calc Currency (0)" xfId="7894" xr:uid="{00000000-0005-0000-0000-0000D61E0000}"/>
    <cellStyle name="Calc Currency (0) 2" xfId="7895" xr:uid="{00000000-0005-0000-0000-0000D71E0000}"/>
    <cellStyle name="Calc Currency (0) 2 2" xfId="7896" xr:uid="{00000000-0005-0000-0000-0000D81E0000}"/>
    <cellStyle name="Calc Currency (0) 3" xfId="7897" xr:uid="{00000000-0005-0000-0000-0000D91E0000}"/>
    <cellStyle name="Calculation 10" xfId="7898" xr:uid="{00000000-0005-0000-0000-0000DA1E0000}"/>
    <cellStyle name="Calculation 2" xfId="7899" xr:uid="{00000000-0005-0000-0000-0000DB1E0000}"/>
    <cellStyle name="Calculation 2 10" xfId="7900" xr:uid="{00000000-0005-0000-0000-0000DC1E0000}"/>
    <cellStyle name="Calculation 2 10 2" xfId="7901" xr:uid="{00000000-0005-0000-0000-0000DD1E0000}"/>
    <cellStyle name="Calculation 2 10 3" xfId="7902" xr:uid="{00000000-0005-0000-0000-0000DE1E0000}"/>
    <cellStyle name="Calculation 2 11" xfId="7903" xr:uid="{00000000-0005-0000-0000-0000DF1E0000}"/>
    <cellStyle name="Calculation 2 11 2" xfId="7904" xr:uid="{00000000-0005-0000-0000-0000E01E0000}"/>
    <cellStyle name="Calculation 2 12" xfId="7905" xr:uid="{00000000-0005-0000-0000-0000E11E0000}"/>
    <cellStyle name="Calculation 2 13" xfId="7906" xr:uid="{00000000-0005-0000-0000-0000E21E0000}"/>
    <cellStyle name="Calculation 2 2" xfId="7907" xr:uid="{00000000-0005-0000-0000-0000E31E0000}"/>
    <cellStyle name="Calculation 2 2 2" xfId="7908" xr:uid="{00000000-0005-0000-0000-0000E41E0000}"/>
    <cellStyle name="Calculation 2 2 2 2" xfId="7909" xr:uid="{00000000-0005-0000-0000-0000E51E0000}"/>
    <cellStyle name="Calculation 2 2 3" xfId="7910" xr:uid="{00000000-0005-0000-0000-0000E61E0000}"/>
    <cellStyle name="Calculation 2 2 3 2" xfId="7911" xr:uid="{00000000-0005-0000-0000-0000E71E0000}"/>
    <cellStyle name="Calculation 2 2 3 2 2" xfId="7912" xr:uid="{00000000-0005-0000-0000-0000E81E0000}"/>
    <cellStyle name="Calculation 2 2 3 3" xfId="7913" xr:uid="{00000000-0005-0000-0000-0000E91E0000}"/>
    <cellStyle name="Calculation 2 2 4" xfId="7914" xr:uid="{00000000-0005-0000-0000-0000EA1E0000}"/>
    <cellStyle name="Calculation 2 3" xfId="7915" xr:uid="{00000000-0005-0000-0000-0000EB1E0000}"/>
    <cellStyle name="Calculation 2 3 2" xfId="7916" xr:uid="{00000000-0005-0000-0000-0000EC1E0000}"/>
    <cellStyle name="Calculation 2 3 2 2" xfId="7917" xr:uid="{00000000-0005-0000-0000-0000ED1E0000}"/>
    <cellStyle name="Calculation 2 3 2 2 2" xfId="7918" xr:uid="{00000000-0005-0000-0000-0000EE1E0000}"/>
    <cellStyle name="Calculation 2 3 2 3" xfId="7919" xr:uid="{00000000-0005-0000-0000-0000EF1E0000}"/>
    <cellStyle name="Calculation 2 3 3" xfId="7920" xr:uid="{00000000-0005-0000-0000-0000F01E0000}"/>
    <cellStyle name="Calculation 2 3 3 2" xfId="7921" xr:uid="{00000000-0005-0000-0000-0000F11E0000}"/>
    <cellStyle name="Calculation 2 3 3 2 2" xfId="7922" xr:uid="{00000000-0005-0000-0000-0000F21E0000}"/>
    <cellStyle name="Calculation 2 3 3 2 2 2" xfId="7923" xr:uid="{00000000-0005-0000-0000-0000F31E0000}"/>
    <cellStyle name="Calculation 2 3 3 2 3" xfId="7924" xr:uid="{00000000-0005-0000-0000-0000F41E0000}"/>
    <cellStyle name="Calculation 2 3 3 3" xfId="7925" xr:uid="{00000000-0005-0000-0000-0000F51E0000}"/>
    <cellStyle name="Calculation 2 3 3 3 2" xfId="7926" xr:uid="{00000000-0005-0000-0000-0000F61E0000}"/>
    <cellStyle name="Calculation 2 3 3 4" xfId="7927" xr:uid="{00000000-0005-0000-0000-0000F71E0000}"/>
    <cellStyle name="Calculation 2 3 4" xfId="7928" xr:uid="{00000000-0005-0000-0000-0000F81E0000}"/>
    <cellStyle name="Calculation 2 3 4 2" xfId="7929" xr:uid="{00000000-0005-0000-0000-0000F91E0000}"/>
    <cellStyle name="Calculation 2 3 5" xfId="7930" xr:uid="{00000000-0005-0000-0000-0000FA1E0000}"/>
    <cellStyle name="Calculation 2 4" xfId="7931" xr:uid="{00000000-0005-0000-0000-0000FB1E0000}"/>
    <cellStyle name="Calculation 2 4 2" xfId="7932" xr:uid="{00000000-0005-0000-0000-0000FC1E0000}"/>
    <cellStyle name="Calculation 2 4 2 2" xfId="7933" xr:uid="{00000000-0005-0000-0000-0000FD1E0000}"/>
    <cellStyle name="Calculation 2 4 2 2 2" xfId="7934" xr:uid="{00000000-0005-0000-0000-0000FE1E0000}"/>
    <cellStyle name="Calculation 2 4 2 3" xfId="7935" xr:uid="{00000000-0005-0000-0000-0000FF1E0000}"/>
    <cellStyle name="Calculation 2 4 3" xfId="7936" xr:uid="{00000000-0005-0000-0000-0000001F0000}"/>
    <cellStyle name="Calculation 2 4 3 2" xfId="7937" xr:uid="{00000000-0005-0000-0000-0000011F0000}"/>
    <cellStyle name="Calculation 2 4 4" xfId="7938" xr:uid="{00000000-0005-0000-0000-0000021F0000}"/>
    <cellStyle name="Calculation 2 5" xfId="7939" xr:uid="{00000000-0005-0000-0000-0000031F0000}"/>
    <cellStyle name="Calculation 2 5 2" xfId="7940" xr:uid="{00000000-0005-0000-0000-0000041F0000}"/>
    <cellStyle name="Calculation 2 5 2 2" xfId="7941" xr:uid="{00000000-0005-0000-0000-0000051F0000}"/>
    <cellStyle name="Calculation 2 5 2 2 2" xfId="7942" xr:uid="{00000000-0005-0000-0000-0000061F0000}"/>
    <cellStyle name="Calculation 2 5 2 3" xfId="7943" xr:uid="{00000000-0005-0000-0000-0000071F0000}"/>
    <cellStyle name="Calculation 2 5 3" xfId="7944" xr:uid="{00000000-0005-0000-0000-0000081F0000}"/>
    <cellStyle name="Calculation 2 5 3 2" xfId="7945" xr:uid="{00000000-0005-0000-0000-0000091F0000}"/>
    <cellStyle name="Calculation 2 5 3 2 2" xfId="7946" xr:uid="{00000000-0005-0000-0000-00000A1F0000}"/>
    <cellStyle name="Calculation 2 5 3 2 2 2" xfId="7947" xr:uid="{00000000-0005-0000-0000-00000B1F0000}"/>
    <cellStyle name="Calculation 2 5 3 2 3" xfId="7948" xr:uid="{00000000-0005-0000-0000-00000C1F0000}"/>
    <cellStyle name="Calculation 2 5 3 3" xfId="7949" xr:uid="{00000000-0005-0000-0000-00000D1F0000}"/>
    <cellStyle name="Calculation 2 5 3 3 2" xfId="7950" xr:uid="{00000000-0005-0000-0000-00000E1F0000}"/>
    <cellStyle name="Calculation 2 5 3 4" xfId="7951" xr:uid="{00000000-0005-0000-0000-00000F1F0000}"/>
    <cellStyle name="Calculation 2 5 4" xfId="7952" xr:uid="{00000000-0005-0000-0000-0000101F0000}"/>
    <cellStyle name="Calculation 2 5 4 2" xfId="7953" xr:uid="{00000000-0005-0000-0000-0000111F0000}"/>
    <cellStyle name="Calculation 2 5 5" xfId="7954" xr:uid="{00000000-0005-0000-0000-0000121F0000}"/>
    <cellStyle name="Calculation 2 6" xfId="7955" xr:uid="{00000000-0005-0000-0000-0000131F0000}"/>
    <cellStyle name="Calculation 2 6 2" xfId="7956" xr:uid="{00000000-0005-0000-0000-0000141F0000}"/>
    <cellStyle name="Calculation 2 6 2 2" xfId="7957" xr:uid="{00000000-0005-0000-0000-0000151F0000}"/>
    <cellStyle name="Calculation 2 6 2 2 2" xfId="7958" xr:uid="{00000000-0005-0000-0000-0000161F0000}"/>
    <cellStyle name="Calculation 2 6 2 3" xfId="7959" xr:uid="{00000000-0005-0000-0000-0000171F0000}"/>
    <cellStyle name="Calculation 2 6 3" xfId="7960" xr:uid="{00000000-0005-0000-0000-0000181F0000}"/>
    <cellStyle name="Calculation 2 6 3 2" xfId="7961" xr:uid="{00000000-0005-0000-0000-0000191F0000}"/>
    <cellStyle name="Calculation 2 6 3 2 2" xfId="7962" xr:uid="{00000000-0005-0000-0000-00001A1F0000}"/>
    <cellStyle name="Calculation 2 6 3 2 2 2" xfId="7963" xr:uid="{00000000-0005-0000-0000-00001B1F0000}"/>
    <cellStyle name="Calculation 2 6 3 2 2 2 2" xfId="7964" xr:uid="{00000000-0005-0000-0000-00001C1F0000}"/>
    <cellStyle name="Calculation 2 6 3 2 2 3" xfId="7965" xr:uid="{00000000-0005-0000-0000-00001D1F0000}"/>
    <cellStyle name="Calculation 2 6 3 2 3" xfId="7966" xr:uid="{00000000-0005-0000-0000-00001E1F0000}"/>
    <cellStyle name="Calculation 2 6 3 2 3 2" xfId="7967" xr:uid="{00000000-0005-0000-0000-00001F1F0000}"/>
    <cellStyle name="Calculation 2 6 3 2 4" xfId="7968" xr:uid="{00000000-0005-0000-0000-0000201F0000}"/>
    <cellStyle name="Calculation 2 6 3 3" xfId="7969" xr:uid="{00000000-0005-0000-0000-0000211F0000}"/>
    <cellStyle name="Calculation 2 6 3 3 2" xfId="7970" xr:uid="{00000000-0005-0000-0000-0000221F0000}"/>
    <cellStyle name="Calculation 2 6 3 3 2 2" xfId="7971" xr:uid="{00000000-0005-0000-0000-0000231F0000}"/>
    <cellStyle name="Calculation 2 6 3 3 3" xfId="7972" xr:uid="{00000000-0005-0000-0000-0000241F0000}"/>
    <cellStyle name="Calculation 2 6 3 4" xfId="7973" xr:uid="{00000000-0005-0000-0000-0000251F0000}"/>
    <cellStyle name="Calculation 2 6 3 4 2" xfId="7974" xr:uid="{00000000-0005-0000-0000-0000261F0000}"/>
    <cellStyle name="Calculation 2 6 3 5" xfId="7975" xr:uid="{00000000-0005-0000-0000-0000271F0000}"/>
    <cellStyle name="Calculation 2 6 4" xfId="7976" xr:uid="{00000000-0005-0000-0000-0000281F0000}"/>
    <cellStyle name="Calculation 2 6 4 2" xfId="7977" xr:uid="{00000000-0005-0000-0000-0000291F0000}"/>
    <cellStyle name="Calculation 2 6 4 2 2" xfId="7978" xr:uid="{00000000-0005-0000-0000-00002A1F0000}"/>
    <cellStyle name="Calculation 2 6 4 2 2 2" xfId="7979" xr:uid="{00000000-0005-0000-0000-00002B1F0000}"/>
    <cellStyle name="Calculation 2 6 4 2 3" xfId="7980" xr:uid="{00000000-0005-0000-0000-00002C1F0000}"/>
    <cellStyle name="Calculation 2 6 4 3" xfId="7981" xr:uid="{00000000-0005-0000-0000-00002D1F0000}"/>
    <cellStyle name="Calculation 2 6 4 3 2" xfId="7982" xr:uid="{00000000-0005-0000-0000-00002E1F0000}"/>
    <cellStyle name="Calculation 2 6 4 4" xfId="7983" xr:uid="{00000000-0005-0000-0000-00002F1F0000}"/>
    <cellStyle name="Calculation 2 6 5" xfId="7984" xr:uid="{00000000-0005-0000-0000-0000301F0000}"/>
    <cellStyle name="Calculation 2 6 5 2" xfId="7985" xr:uid="{00000000-0005-0000-0000-0000311F0000}"/>
    <cellStyle name="Calculation 2 6 5 2 2" xfId="7986" xr:uid="{00000000-0005-0000-0000-0000321F0000}"/>
    <cellStyle name="Calculation 2 6 5 3" xfId="7987" xr:uid="{00000000-0005-0000-0000-0000331F0000}"/>
    <cellStyle name="Calculation 2 6 6" xfId="7988" xr:uid="{00000000-0005-0000-0000-0000341F0000}"/>
    <cellStyle name="Calculation 2 6 6 2" xfId="7989" xr:uid="{00000000-0005-0000-0000-0000351F0000}"/>
    <cellStyle name="Calculation 2 6 7" xfId="7990" xr:uid="{00000000-0005-0000-0000-0000361F0000}"/>
    <cellStyle name="Calculation 2 7" xfId="7991" xr:uid="{00000000-0005-0000-0000-0000371F0000}"/>
    <cellStyle name="Calculation 2 7 2" xfId="7992" xr:uid="{00000000-0005-0000-0000-0000381F0000}"/>
    <cellStyle name="Calculation 2 7 2 2" xfId="7993" xr:uid="{00000000-0005-0000-0000-0000391F0000}"/>
    <cellStyle name="Calculation 2 7 3" xfId="7994" xr:uid="{00000000-0005-0000-0000-00003A1F0000}"/>
    <cellStyle name="Calculation 2 8" xfId="7995" xr:uid="{00000000-0005-0000-0000-00003B1F0000}"/>
    <cellStyle name="Calculation 2 8 2" xfId="7996" xr:uid="{00000000-0005-0000-0000-00003C1F0000}"/>
    <cellStyle name="Calculation 2 8 2 2" xfId="7997" xr:uid="{00000000-0005-0000-0000-00003D1F0000}"/>
    <cellStyle name="Calculation 2 8 2 2 2" xfId="7998" xr:uid="{00000000-0005-0000-0000-00003E1F0000}"/>
    <cellStyle name="Calculation 2 8 2 3" xfId="7999" xr:uid="{00000000-0005-0000-0000-00003F1F0000}"/>
    <cellStyle name="Calculation 2 8 3" xfId="8000" xr:uid="{00000000-0005-0000-0000-0000401F0000}"/>
    <cellStyle name="Calculation 2 8 3 2" xfId="8001" xr:uid="{00000000-0005-0000-0000-0000411F0000}"/>
    <cellStyle name="Calculation 2 8 4" xfId="8002" xr:uid="{00000000-0005-0000-0000-0000421F0000}"/>
    <cellStyle name="Calculation 2 9" xfId="8003" xr:uid="{00000000-0005-0000-0000-0000431F0000}"/>
    <cellStyle name="Calculation 2 9 2" xfId="8004" xr:uid="{00000000-0005-0000-0000-0000441F0000}"/>
    <cellStyle name="Calculation 2 9 2 2" xfId="8005" xr:uid="{00000000-0005-0000-0000-0000451F0000}"/>
    <cellStyle name="Calculation 2 9 2 2 2" xfId="8006" xr:uid="{00000000-0005-0000-0000-0000461F0000}"/>
    <cellStyle name="Calculation 2 9 2 3" xfId="8007" xr:uid="{00000000-0005-0000-0000-0000471F0000}"/>
    <cellStyle name="Calculation 2 9 3" xfId="8008" xr:uid="{00000000-0005-0000-0000-0000481F0000}"/>
    <cellStyle name="Calculation 2 9 3 2" xfId="8009" xr:uid="{00000000-0005-0000-0000-0000491F0000}"/>
    <cellStyle name="Calculation 2 9 4" xfId="8010" xr:uid="{00000000-0005-0000-0000-00004A1F0000}"/>
    <cellStyle name="Calculation 2 9 4 2" xfId="8011" xr:uid="{00000000-0005-0000-0000-00004B1F0000}"/>
    <cellStyle name="Calculation 2 9 5" xfId="8012" xr:uid="{00000000-0005-0000-0000-00004C1F0000}"/>
    <cellStyle name="Calculation 3" xfId="8013" xr:uid="{00000000-0005-0000-0000-00004D1F0000}"/>
    <cellStyle name="Calculation 3 2" xfId="8014" xr:uid="{00000000-0005-0000-0000-00004E1F0000}"/>
    <cellStyle name="Calculation 3 2 2" xfId="8015" xr:uid="{00000000-0005-0000-0000-00004F1F0000}"/>
    <cellStyle name="Calculation 3 2 2 2" xfId="8016" xr:uid="{00000000-0005-0000-0000-0000501F0000}"/>
    <cellStyle name="Calculation 3 2 3" xfId="8017" xr:uid="{00000000-0005-0000-0000-0000511F0000}"/>
    <cellStyle name="Calculation 3 3" xfId="8018" xr:uid="{00000000-0005-0000-0000-0000521F0000}"/>
    <cellStyle name="Calculation 3 3 2" xfId="8019" xr:uid="{00000000-0005-0000-0000-0000531F0000}"/>
    <cellStyle name="Calculation 3 4" xfId="8020" xr:uid="{00000000-0005-0000-0000-0000541F0000}"/>
    <cellStyle name="Calculation 3 4 2" xfId="8021" xr:uid="{00000000-0005-0000-0000-0000551F0000}"/>
    <cellStyle name="Calculation 3 4 2 2" xfId="8022" xr:uid="{00000000-0005-0000-0000-0000561F0000}"/>
    <cellStyle name="Calculation 3 4 3" xfId="8023" xr:uid="{00000000-0005-0000-0000-0000571F0000}"/>
    <cellStyle name="Calculation 3 5" xfId="8024" xr:uid="{00000000-0005-0000-0000-0000581F0000}"/>
    <cellStyle name="Calculation 4" xfId="8025" xr:uid="{00000000-0005-0000-0000-0000591F0000}"/>
    <cellStyle name="Calculation 4 2" xfId="8026" xr:uid="{00000000-0005-0000-0000-00005A1F0000}"/>
    <cellStyle name="Calculation 4 2 2" xfId="8027" xr:uid="{00000000-0005-0000-0000-00005B1F0000}"/>
    <cellStyle name="Calculation 4 3" xfId="8028" xr:uid="{00000000-0005-0000-0000-00005C1F0000}"/>
    <cellStyle name="Calculation 4 3 2" xfId="8029" xr:uid="{00000000-0005-0000-0000-00005D1F0000}"/>
    <cellStyle name="Calculation 4 3 2 2" xfId="8030" xr:uid="{00000000-0005-0000-0000-00005E1F0000}"/>
    <cellStyle name="Calculation 4 3 3" xfId="8031" xr:uid="{00000000-0005-0000-0000-00005F1F0000}"/>
    <cellStyle name="Calculation 4 4" xfId="8032" xr:uid="{00000000-0005-0000-0000-0000601F0000}"/>
    <cellStyle name="Calculation 5" xfId="8033" xr:uid="{00000000-0005-0000-0000-0000611F0000}"/>
    <cellStyle name="Calculation 5 2" xfId="8034" xr:uid="{00000000-0005-0000-0000-0000621F0000}"/>
    <cellStyle name="Calculation 5 2 2" xfId="8035" xr:uid="{00000000-0005-0000-0000-0000631F0000}"/>
    <cellStyle name="Calculation 5 2 2 2" xfId="8036" xr:uid="{00000000-0005-0000-0000-0000641F0000}"/>
    <cellStyle name="Calculation 5 2 3" xfId="8037" xr:uid="{00000000-0005-0000-0000-0000651F0000}"/>
    <cellStyle name="Calculation 5 3" xfId="8038" xr:uid="{00000000-0005-0000-0000-0000661F0000}"/>
    <cellStyle name="Calculation 5 3 2" xfId="8039" xr:uid="{00000000-0005-0000-0000-0000671F0000}"/>
    <cellStyle name="Calculation 5 3 2 2" xfId="8040" xr:uid="{00000000-0005-0000-0000-0000681F0000}"/>
    <cellStyle name="Calculation 5 3 2 2 2" xfId="8041" xr:uid="{00000000-0005-0000-0000-0000691F0000}"/>
    <cellStyle name="Calculation 5 3 2 3" xfId="8042" xr:uid="{00000000-0005-0000-0000-00006A1F0000}"/>
    <cellStyle name="Calculation 5 3 3" xfId="8043" xr:uid="{00000000-0005-0000-0000-00006B1F0000}"/>
    <cellStyle name="Calculation 5 3 3 2" xfId="8044" xr:uid="{00000000-0005-0000-0000-00006C1F0000}"/>
    <cellStyle name="Calculation 5 3 4" xfId="8045" xr:uid="{00000000-0005-0000-0000-00006D1F0000}"/>
    <cellStyle name="Calculation 5 4" xfId="8046" xr:uid="{00000000-0005-0000-0000-00006E1F0000}"/>
    <cellStyle name="Calculation 5 4 2" xfId="8047" xr:uid="{00000000-0005-0000-0000-00006F1F0000}"/>
    <cellStyle name="Calculation 5 5" xfId="8048" xr:uid="{00000000-0005-0000-0000-0000701F0000}"/>
    <cellStyle name="Calculation 6" xfId="8049" xr:uid="{00000000-0005-0000-0000-0000711F0000}"/>
    <cellStyle name="Calculation 6 2" xfId="8050" xr:uid="{00000000-0005-0000-0000-0000721F0000}"/>
    <cellStyle name="Calculation 6 2 2" xfId="8051" xr:uid="{00000000-0005-0000-0000-0000731F0000}"/>
    <cellStyle name="Calculation 6 2 2 2" xfId="8052" xr:uid="{00000000-0005-0000-0000-0000741F0000}"/>
    <cellStyle name="Calculation 6 2 3" xfId="8053" xr:uid="{00000000-0005-0000-0000-0000751F0000}"/>
    <cellStyle name="Calculation 6 3" xfId="8054" xr:uid="{00000000-0005-0000-0000-0000761F0000}"/>
    <cellStyle name="Calculation 6 3 2" xfId="8055" xr:uid="{00000000-0005-0000-0000-0000771F0000}"/>
    <cellStyle name="Calculation 6 4" xfId="8056" xr:uid="{00000000-0005-0000-0000-0000781F0000}"/>
    <cellStyle name="Calculation 7" xfId="8057" xr:uid="{00000000-0005-0000-0000-0000791F0000}"/>
    <cellStyle name="Calculation 7 2" xfId="8058" xr:uid="{00000000-0005-0000-0000-00007A1F0000}"/>
    <cellStyle name="Calculation 8" xfId="8059" xr:uid="{00000000-0005-0000-0000-00007B1F0000}"/>
    <cellStyle name="Calculation 8 2" xfId="8060" xr:uid="{00000000-0005-0000-0000-00007C1F0000}"/>
    <cellStyle name="Calculation 9" xfId="8061" xr:uid="{00000000-0005-0000-0000-00007D1F0000}"/>
    <cellStyle name="Center" xfId="8062" xr:uid="{00000000-0005-0000-0000-00007E1F0000}"/>
    <cellStyle name="Center 2" xfId="8063" xr:uid="{00000000-0005-0000-0000-00007F1F0000}"/>
    <cellStyle name="Center 2 2" xfId="8064" xr:uid="{00000000-0005-0000-0000-0000801F0000}"/>
    <cellStyle name="Center 3" xfId="8065" xr:uid="{00000000-0005-0000-0000-0000811F0000}"/>
    <cellStyle name="Center 3 2" xfId="8066" xr:uid="{00000000-0005-0000-0000-0000821F0000}"/>
    <cellStyle name="Center 3 2 2" xfId="8067" xr:uid="{00000000-0005-0000-0000-0000831F0000}"/>
    <cellStyle name="Center 3 3" xfId="8068" xr:uid="{00000000-0005-0000-0000-0000841F0000}"/>
    <cellStyle name="Center 4" xfId="8069" xr:uid="{00000000-0005-0000-0000-0000851F0000}"/>
    <cellStyle name="CenterWrap" xfId="8070" xr:uid="{00000000-0005-0000-0000-0000861F0000}"/>
    <cellStyle name="Cents" xfId="8071" xr:uid="{00000000-0005-0000-0000-0000871F0000}"/>
    <cellStyle name="Check Cell 2" xfId="8072" xr:uid="{00000000-0005-0000-0000-0000881F0000}"/>
    <cellStyle name="Check Cell 2 10" xfId="8073" xr:uid="{00000000-0005-0000-0000-0000891F0000}"/>
    <cellStyle name="Check Cell 2 10 2" xfId="8074" xr:uid="{00000000-0005-0000-0000-00008A1F0000}"/>
    <cellStyle name="Check Cell 2 11" xfId="8075" xr:uid="{00000000-0005-0000-0000-00008B1F0000}"/>
    <cellStyle name="Check Cell 2 12" xfId="8076" xr:uid="{00000000-0005-0000-0000-00008C1F0000}"/>
    <cellStyle name="Check Cell 2 2" xfId="8077" xr:uid="{00000000-0005-0000-0000-00008D1F0000}"/>
    <cellStyle name="Check Cell 2 2 2" xfId="8078" xr:uid="{00000000-0005-0000-0000-00008E1F0000}"/>
    <cellStyle name="Check Cell 2 2 2 2" xfId="8079" xr:uid="{00000000-0005-0000-0000-00008F1F0000}"/>
    <cellStyle name="Check Cell 2 2 3" xfId="8080" xr:uid="{00000000-0005-0000-0000-0000901F0000}"/>
    <cellStyle name="Check Cell 2 2 3 2" xfId="8081" xr:uid="{00000000-0005-0000-0000-0000911F0000}"/>
    <cellStyle name="Check Cell 2 2 3 2 2" xfId="8082" xr:uid="{00000000-0005-0000-0000-0000921F0000}"/>
    <cellStyle name="Check Cell 2 2 3 3" xfId="8083" xr:uid="{00000000-0005-0000-0000-0000931F0000}"/>
    <cellStyle name="Check Cell 2 2 4" xfId="8084" xr:uid="{00000000-0005-0000-0000-0000941F0000}"/>
    <cellStyle name="Check Cell 2 3" xfId="8085" xr:uid="{00000000-0005-0000-0000-0000951F0000}"/>
    <cellStyle name="Check Cell 2 3 2" xfId="8086" xr:uid="{00000000-0005-0000-0000-0000961F0000}"/>
    <cellStyle name="Check Cell 2 3 2 2" xfId="8087" xr:uid="{00000000-0005-0000-0000-0000971F0000}"/>
    <cellStyle name="Check Cell 2 3 3" xfId="8088" xr:uid="{00000000-0005-0000-0000-0000981F0000}"/>
    <cellStyle name="Check Cell 2 3 3 2" xfId="8089" xr:uid="{00000000-0005-0000-0000-0000991F0000}"/>
    <cellStyle name="Check Cell 2 3 3 2 2" xfId="8090" xr:uid="{00000000-0005-0000-0000-00009A1F0000}"/>
    <cellStyle name="Check Cell 2 3 3 3" xfId="8091" xr:uid="{00000000-0005-0000-0000-00009B1F0000}"/>
    <cellStyle name="Check Cell 2 3 4" xfId="8092" xr:uid="{00000000-0005-0000-0000-00009C1F0000}"/>
    <cellStyle name="Check Cell 2 4" xfId="8093" xr:uid="{00000000-0005-0000-0000-00009D1F0000}"/>
    <cellStyle name="Check Cell 2 4 2" xfId="8094" xr:uid="{00000000-0005-0000-0000-00009E1F0000}"/>
    <cellStyle name="Check Cell 2 4 2 2" xfId="8095" xr:uid="{00000000-0005-0000-0000-00009F1F0000}"/>
    <cellStyle name="Check Cell 2 4 3" xfId="8096" xr:uid="{00000000-0005-0000-0000-0000A01F0000}"/>
    <cellStyle name="Check Cell 2 5" xfId="8097" xr:uid="{00000000-0005-0000-0000-0000A11F0000}"/>
    <cellStyle name="Check Cell 2 5 2" xfId="8098" xr:uid="{00000000-0005-0000-0000-0000A21F0000}"/>
    <cellStyle name="Check Cell 2 5 2 2" xfId="8099" xr:uid="{00000000-0005-0000-0000-0000A31F0000}"/>
    <cellStyle name="Check Cell 2 5 3" xfId="8100" xr:uid="{00000000-0005-0000-0000-0000A41F0000}"/>
    <cellStyle name="Check Cell 2 5 3 2" xfId="8101" xr:uid="{00000000-0005-0000-0000-0000A51F0000}"/>
    <cellStyle name="Check Cell 2 5 3 2 2" xfId="8102" xr:uid="{00000000-0005-0000-0000-0000A61F0000}"/>
    <cellStyle name="Check Cell 2 5 3 3" xfId="8103" xr:uid="{00000000-0005-0000-0000-0000A71F0000}"/>
    <cellStyle name="Check Cell 2 5 4" xfId="8104" xr:uid="{00000000-0005-0000-0000-0000A81F0000}"/>
    <cellStyle name="Check Cell 2 6" xfId="8105" xr:uid="{00000000-0005-0000-0000-0000A91F0000}"/>
    <cellStyle name="Check Cell 2 6 2" xfId="8106" xr:uid="{00000000-0005-0000-0000-0000AA1F0000}"/>
    <cellStyle name="Check Cell 2 6 2 2" xfId="8107" xr:uid="{00000000-0005-0000-0000-0000AB1F0000}"/>
    <cellStyle name="Check Cell 2 6 3" xfId="8108" xr:uid="{00000000-0005-0000-0000-0000AC1F0000}"/>
    <cellStyle name="Check Cell 2 6 3 2" xfId="8109" xr:uid="{00000000-0005-0000-0000-0000AD1F0000}"/>
    <cellStyle name="Check Cell 2 6 4" xfId="8110" xr:uid="{00000000-0005-0000-0000-0000AE1F0000}"/>
    <cellStyle name="Check Cell 2 7" xfId="8111" xr:uid="{00000000-0005-0000-0000-0000AF1F0000}"/>
    <cellStyle name="Check Cell 2 7 2" xfId="8112" xr:uid="{00000000-0005-0000-0000-0000B01F0000}"/>
    <cellStyle name="Check Cell 2 8" xfId="8113" xr:uid="{00000000-0005-0000-0000-0000B11F0000}"/>
    <cellStyle name="Check Cell 2 8 2" xfId="8114" xr:uid="{00000000-0005-0000-0000-0000B21F0000}"/>
    <cellStyle name="Check Cell 2 8 2 2" xfId="8115" xr:uid="{00000000-0005-0000-0000-0000B31F0000}"/>
    <cellStyle name="Check Cell 2 8 3" xfId="8116" xr:uid="{00000000-0005-0000-0000-0000B41F0000}"/>
    <cellStyle name="Check Cell 2 9" xfId="8117" xr:uid="{00000000-0005-0000-0000-0000B51F0000}"/>
    <cellStyle name="Check Cell 2 9 2" xfId="8118" xr:uid="{00000000-0005-0000-0000-0000B61F0000}"/>
    <cellStyle name="Check Cell 2 9 2 2" xfId="8119" xr:uid="{00000000-0005-0000-0000-0000B71F0000}"/>
    <cellStyle name="Check Cell 2 9 3" xfId="8120" xr:uid="{00000000-0005-0000-0000-0000B81F0000}"/>
    <cellStyle name="Check Cell 3" xfId="8121" xr:uid="{00000000-0005-0000-0000-0000B91F0000}"/>
    <cellStyle name="Check Cell 3 2" xfId="8122" xr:uid="{00000000-0005-0000-0000-0000BA1F0000}"/>
    <cellStyle name="Check Cell 3 2 2" xfId="8123" xr:uid="{00000000-0005-0000-0000-0000BB1F0000}"/>
    <cellStyle name="Check Cell 3 3" xfId="8124" xr:uid="{00000000-0005-0000-0000-0000BC1F0000}"/>
    <cellStyle name="Check Cell 3 3 2" xfId="8125" xr:uid="{00000000-0005-0000-0000-0000BD1F0000}"/>
    <cellStyle name="Check Cell 3 4" xfId="8126" xr:uid="{00000000-0005-0000-0000-0000BE1F0000}"/>
    <cellStyle name="Check Cell 3 4 2" xfId="8127" xr:uid="{00000000-0005-0000-0000-0000BF1F0000}"/>
    <cellStyle name="Check Cell 3 4 2 2" xfId="8128" xr:uid="{00000000-0005-0000-0000-0000C01F0000}"/>
    <cellStyle name="Check Cell 3 4 3" xfId="8129" xr:uid="{00000000-0005-0000-0000-0000C11F0000}"/>
    <cellStyle name="Check Cell 3 5" xfId="8130" xr:uid="{00000000-0005-0000-0000-0000C21F0000}"/>
    <cellStyle name="Check Cell 4" xfId="8131" xr:uid="{00000000-0005-0000-0000-0000C31F0000}"/>
    <cellStyle name="Check Cell 4 2" xfId="8132" xr:uid="{00000000-0005-0000-0000-0000C41F0000}"/>
    <cellStyle name="Check Cell 4 2 2" xfId="8133" xr:uid="{00000000-0005-0000-0000-0000C51F0000}"/>
    <cellStyle name="Check Cell 4 3" xfId="8134" xr:uid="{00000000-0005-0000-0000-0000C61F0000}"/>
    <cellStyle name="Check Cell 4 3 2" xfId="8135" xr:uid="{00000000-0005-0000-0000-0000C71F0000}"/>
    <cellStyle name="Check Cell 4 3 2 2" xfId="8136" xr:uid="{00000000-0005-0000-0000-0000C81F0000}"/>
    <cellStyle name="Check Cell 4 3 3" xfId="8137" xr:uid="{00000000-0005-0000-0000-0000C91F0000}"/>
    <cellStyle name="Check Cell 4 4" xfId="8138" xr:uid="{00000000-0005-0000-0000-0000CA1F0000}"/>
    <cellStyle name="Check Cell 5" xfId="8139" xr:uid="{00000000-0005-0000-0000-0000CB1F0000}"/>
    <cellStyle name="Check Cell 5 2" xfId="8140" xr:uid="{00000000-0005-0000-0000-0000CC1F0000}"/>
    <cellStyle name="Check Cell 5 2 2" xfId="8141" xr:uid="{00000000-0005-0000-0000-0000CD1F0000}"/>
    <cellStyle name="Check Cell 5 3" xfId="8142" xr:uid="{00000000-0005-0000-0000-0000CE1F0000}"/>
    <cellStyle name="Check Cell 5 3 2" xfId="8143" xr:uid="{00000000-0005-0000-0000-0000CF1F0000}"/>
    <cellStyle name="Check Cell 5 3 2 2" xfId="8144" xr:uid="{00000000-0005-0000-0000-0000D01F0000}"/>
    <cellStyle name="Check Cell 5 3 3" xfId="8145" xr:uid="{00000000-0005-0000-0000-0000D11F0000}"/>
    <cellStyle name="Check Cell 5 4" xfId="8146" xr:uid="{00000000-0005-0000-0000-0000D21F0000}"/>
    <cellStyle name="Check Cell 6" xfId="8147" xr:uid="{00000000-0005-0000-0000-0000D31F0000}"/>
    <cellStyle name="Check Cell 6 2" xfId="8148" xr:uid="{00000000-0005-0000-0000-0000D41F0000}"/>
    <cellStyle name="Check Cell 6 2 2" xfId="8149" xr:uid="{00000000-0005-0000-0000-0000D51F0000}"/>
    <cellStyle name="Check Cell 6 3" xfId="8150" xr:uid="{00000000-0005-0000-0000-0000D61F0000}"/>
    <cellStyle name="Check Cell 7" xfId="8151" xr:uid="{00000000-0005-0000-0000-0000D71F0000}"/>
    <cellStyle name="Check Cell 7 2" xfId="8152" xr:uid="{00000000-0005-0000-0000-0000D81F0000}"/>
    <cellStyle name="Check Cell 8" xfId="8153" xr:uid="{00000000-0005-0000-0000-0000D91F0000}"/>
    <cellStyle name="Check Cell 9" xfId="8154" xr:uid="{00000000-0005-0000-0000-0000DA1F0000}"/>
    <cellStyle name="Comma" xfId="4" xr:uid="{00000000-0005-0000-0000-000004000000}"/>
    <cellStyle name="Comma [0]" xfId="5" xr:uid="{00000000-0005-0000-0000-000005000000}"/>
    <cellStyle name="Comma [0] 2" xfId="8155" xr:uid="{00000000-0005-0000-0000-0000DB1F0000}"/>
    <cellStyle name="Comma [0] 3" xfId="8156" xr:uid="{00000000-0005-0000-0000-0000DC1F0000}"/>
    <cellStyle name="Comma [0] 4" xfId="8157" xr:uid="{00000000-0005-0000-0000-0000DD1F0000}"/>
    <cellStyle name="Comma 10" xfId="8158" xr:uid="{00000000-0005-0000-0000-0000DE1F0000}"/>
    <cellStyle name="Comma 11" xfId="8159" xr:uid="{00000000-0005-0000-0000-0000DF1F0000}"/>
    <cellStyle name="Comma 12" xfId="50" xr:uid="{00000000-0005-0000-0000-000032000000}"/>
    <cellStyle name="Comma 13" xfId="51" xr:uid="{00000000-0005-0000-0000-000033000000}"/>
    <cellStyle name="Comma 14" xfId="8160" xr:uid="{00000000-0005-0000-0000-0000E01F0000}"/>
    <cellStyle name="Comma 15" xfId="8161" xr:uid="{00000000-0005-0000-0000-0000E11F0000}"/>
    <cellStyle name="Comma 16" xfId="8162" xr:uid="{00000000-0005-0000-0000-0000E21F0000}"/>
    <cellStyle name="Comma 17" xfId="8163" xr:uid="{00000000-0005-0000-0000-0000E31F0000}"/>
    <cellStyle name="Comma 176" xfId="8164" xr:uid="{00000000-0005-0000-0000-0000E41F0000}"/>
    <cellStyle name="Comma 18" xfId="8165" xr:uid="{00000000-0005-0000-0000-0000E51F0000}"/>
    <cellStyle name="Comma 19" xfId="8166" xr:uid="{00000000-0005-0000-0000-0000E61F0000}"/>
    <cellStyle name="Comma 2" xfId="8" xr:uid="{00000000-0005-0000-0000-000008000000}"/>
    <cellStyle name="Comma 2 2" xfId="8167" xr:uid="{00000000-0005-0000-0000-0000E71F0000}"/>
    <cellStyle name="Comma 2 2 2" xfId="9" xr:uid="{00000000-0005-0000-0000-000009000000}"/>
    <cellStyle name="Comma 2 2 2 2" xfId="8168" xr:uid="{00000000-0005-0000-0000-0000E81F0000}"/>
    <cellStyle name="Comma 2 2 3" xfId="8169" xr:uid="{00000000-0005-0000-0000-0000E91F0000}"/>
    <cellStyle name="Comma 2 3" xfId="8170" xr:uid="{00000000-0005-0000-0000-0000EA1F0000}"/>
    <cellStyle name="Comma 2 3 2" xfId="8171" xr:uid="{00000000-0005-0000-0000-0000EB1F0000}"/>
    <cellStyle name="Comma 2 3 3" xfId="8172" xr:uid="{00000000-0005-0000-0000-0000EC1F0000}"/>
    <cellStyle name="Comma 2 4" xfId="8173" xr:uid="{00000000-0005-0000-0000-0000ED1F0000}"/>
    <cellStyle name="Comma 2 4 2" xfId="8174" xr:uid="{00000000-0005-0000-0000-0000EE1F0000}"/>
    <cellStyle name="Comma 2 4 3" xfId="8175" xr:uid="{00000000-0005-0000-0000-0000EF1F0000}"/>
    <cellStyle name="Comma 2 4 3 2" xfId="8176" xr:uid="{00000000-0005-0000-0000-0000F01F0000}"/>
    <cellStyle name="Comma 2 4 4" xfId="8177" xr:uid="{00000000-0005-0000-0000-0000F11F0000}"/>
    <cellStyle name="Comma 2 5" xfId="8178" xr:uid="{00000000-0005-0000-0000-0000F21F0000}"/>
    <cellStyle name="Comma 20" xfId="8179" xr:uid="{00000000-0005-0000-0000-0000F31F0000}"/>
    <cellStyle name="Comma 21" xfId="8180" xr:uid="{00000000-0005-0000-0000-0000F41F0000}"/>
    <cellStyle name="Comma 22" xfId="8181" xr:uid="{00000000-0005-0000-0000-0000F51F0000}"/>
    <cellStyle name="Comma 23" xfId="8182" xr:uid="{00000000-0005-0000-0000-0000F61F0000}"/>
    <cellStyle name="Comma 24" xfId="8183" xr:uid="{00000000-0005-0000-0000-0000F71F0000}"/>
    <cellStyle name="Comma 25" xfId="8184" xr:uid="{00000000-0005-0000-0000-0000F81F0000}"/>
    <cellStyle name="Comma 26" xfId="8185" xr:uid="{00000000-0005-0000-0000-0000F91F0000}"/>
    <cellStyle name="Comma 27" xfId="8186" xr:uid="{00000000-0005-0000-0000-0000FA1F0000}"/>
    <cellStyle name="Comma 28" xfId="8187" xr:uid="{00000000-0005-0000-0000-0000FB1F0000}"/>
    <cellStyle name="Comma 29" xfId="8188" xr:uid="{00000000-0005-0000-0000-0000FC1F0000}"/>
    <cellStyle name="Comma 3" xfId="8189" xr:uid="{00000000-0005-0000-0000-0000FD1F0000}"/>
    <cellStyle name="Comma 3 2" xfId="8190" xr:uid="{00000000-0005-0000-0000-0000FE1F0000}"/>
    <cellStyle name="Comma 3 2 2" xfId="8191" xr:uid="{00000000-0005-0000-0000-0000FF1F0000}"/>
    <cellStyle name="Comma 3 2 2 2" xfId="8192" xr:uid="{00000000-0005-0000-0000-000000200000}"/>
    <cellStyle name="Comma 3 2 2 3" xfId="8193" xr:uid="{00000000-0005-0000-0000-000001200000}"/>
    <cellStyle name="Comma 3 2 2 3 2" xfId="8194" xr:uid="{00000000-0005-0000-0000-000002200000}"/>
    <cellStyle name="Comma 3 2 2 4" xfId="8195" xr:uid="{00000000-0005-0000-0000-000003200000}"/>
    <cellStyle name="Comma 3 2 2 4 2" xfId="8196" xr:uid="{00000000-0005-0000-0000-000004200000}"/>
    <cellStyle name="Comma 3 2 3" xfId="8197" xr:uid="{00000000-0005-0000-0000-000005200000}"/>
    <cellStyle name="Comma 3 2 3 2" xfId="8198" xr:uid="{00000000-0005-0000-0000-000006200000}"/>
    <cellStyle name="Comma 3 2 4" xfId="8199" xr:uid="{00000000-0005-0000-0000-000007200000}"/>
    <cellStyle name="Comma 3 2 5" xfId="8200" xr:uid="{00000000-0005-0000-0000-000008200000}"/>
    <cellStyle name="Comma 3 3" xfId="8201" xr:uid="{00000000-0005-0000-0000-000009200000}"/>
    <cellStyle name="Comma 3 3 2" xfId="8202" xr:uid="{00000000-0005-0000-0000-00000A200000}"/>
    <cellStyle name="Comma 3 4" xfId="8203" xr:uid="{00000000-0005-0000-0000-00000B200000}"/>
    <cellStyle name="Comma 3 4 2" xfId="8204" xr:uid="{00000000-0005-0000-0000-00000C200000}"/>
    <cellStyle name="Comma 3 5" xfId="8205" xr:uid="{00000000-0005-0000-0000-00000D200000}"/>
    <cellStyle name="Comma 3 5 2" xfId="8206" xr:uid="{00000000-0005-0000-0000-00000E200000}"/>
    <cellStyle name="Comma 3 5 3" xfId="8207" xr:uid="{00000000-0005-0000-0000-00000F200000}"/>
    <cellStyle name="Comma 3 5 3 2" xfId="8208" xr:uid="{00000000-0005-0000-0000-000010200000}"/>
    <cellStyle name="Comma 3 5 4" xfId="8209" xr:uid="{00000000-0005-0000-0000-000011200000}"/>
    <cellStyle name="Comma 3 5 4 2" xfId="8210" xr:uid="{00000000-0005-0000-0000-000012200000}"/>
    <cellStyle name="Comma 3 6" xfId="8211" xr:uid="{00000000-0005-0000-0000-000013200000}"/>
    <cellStyle name="Comma 3 6 2" xfId="8212" xr:uid="{00000000-0005-0000-0000-000014200000}"/>
    <cellStyle name="Comma 3 7" xfId="8213" xr:uid="{00000000-0005-0000-0000-000015200000}"/>
    <cellStyle name="Comma 3 8" xfId="8214" xr:uid="{00000000-0005-0000-0000-000016200000}"/>
    <cellStyle name="Comma 30" xfId="8215" xr:uid="{00000000-0005-0000-0000-000017200000}"/>
    <cellStyle name="Comma 31" xfId="8216" xr:uid="{00000000-0005-0000-0000-000018200000}"/>
    <cellStyle name="Comma 32" xfId="31687" xr:uid="{C6F50C0A-8A0D-4AD4-8BEE-9F4AFBDD76AE}"/>
    <cellStyle name="Comma 35" xfId="52" xr:uid="{00000000-0005-0000-0000-000034000000}"/>
    <cellStyle name="Comma 37" xfId="53" xr:uid="{00000000-0005-0000-0000-000035000000}"/>
    <cellStyle name="Comma 38" xfId="54" xr:uid="{00000000-0005-0000-0000-000036000000}"/>
    <cellStyle name="Comma 39" xfId="55" xr:uid="{00000000-0005-0000-0000-000037000000}"/>
    <cellStyle name="Comma 4" xfId="8217" xr:uid="{00000000-0005-0000-0000-000019200000}"/>
    <cellStyle name="Comma 4 2" xfId="8218" xr:uid="{00000000-0005-0000-0000-00001A200000}"/>
    <cellStyle name="Comma 4 2 2" xfId="8219" xr:uid="{00000000-0005-0000-0000-00001B200000}"/>
    <cellStyle name="Comma 4 3" xfId="8220" xr:uid="{00000000-0005-0000-0000-00001C200000}"/>
    <cellStyle name="Comma 5" xfId="10" xr:uid="{00000000-0005-0000-0000-00000A000000}"/>
    <cellStyle name="Comma 5 2" xfId="8221" xr:uid="{00000000-0005-0000-0000-00001D200000}"/>
    <cellStyle name="Comma 5 2 2" xfId="8222" xr:uid="{00000000-0005-0000-0000-00001E200000}"/>
    <cellStyle name="Comma 5 3" xfId="8223" xr:uid="{00000000-0005-0000-0000-00001F200000}"/>
    <cellStyle name="Comma 6" xfId="8224" xr:uid="{00000000-0005-0000-0000-000020200000}"/>
    <cellStyle name="Comma 6 2" xfId="8225" xr:uid="{00000000-0005-0000-0000-000021200000}"/>
    <cellStyle name="Comma 6 3" xfId="8226" xr:uid="{00000000-0005-0000-0000-000022200000}"/>
    <cellStyle name="Comma 7" xfId="56" xr:uid="{00000000-0005-0000-0000-000038000000}"/>
    <cellStyle name="Comma 7 2" xfId="8227" xr:uid="{00000000-0005-0000-0000-000023200000}"/>
    <cellStyle name="Comma 7 3" xfId="8228" xr:uid="{00000000-0005-0000-0000-000024200000}"/>
    <cellStyle name="Comma 7 3 2" xfId="8229" xr:uid="{00000000-0005-0000-0000-000025200000}"/>
    <cellStyle name="Comma 7 4" xfId="8230" xr:uid="{00000000-0005-0000-0000-000026200000}"/>
    <cellStyle name="Comma 7 4 2" xfId="8231" xr:uid="{00000000-0005-0000-0000-000027200000}"/>
    <cellStyle name="Comma 8" xfId="57" xr:uid="{00000000-0005-0000-0000-000039000000}"/>
    <cellStyle name="Comma 8 2" xfId="8232" xr:uid="{00000000-0005-0000-0000-000028200000}"/>
    <cellStyle name="Comma 8 2 2" xfId="8233" xr:uid="{00000000-0005-0000-0000-000029200000}"/>
    <cellStyle name="Comma 8 3" xfId="8234" xr:uid="{00000000-0005-0000-0000-00002A200000}"/>
    <cellStyle name="Comma 8 4" xfId="8235" xr:uid="{00000000-0005-0000-0000-00002B200000}"/>
    <cellStyle name="Comma 8 4 2" xfId="8236" xr:uid="{00000000-0005-0000-0000-00002C200000}"/>
    <cellStyle name="Comma 8 5" xfId="8237" xr:uid="{00000000-0005-0000-0000-00002D200000}"/>
    <cellStyle name="Comma 8 6" xfId="8238" xr:uid="{00000000-0005-0000-0000-00002E200000}"/>
    <cellStyle name="Comma 9" xfId="8239" xr:uid="{00000000-0005-0000-0000-00002F200000}"/>
    <cellStyle name="Comma 9 2" xfId="8240" xr:uid="{00000000-0005-0000-0000-000030200000}"/>
    <cellStyle name="Comma 9 3" xfId="8241" xr:uid="{00000000-0005-0000-0000-000031200000}"/>
    <cellStyle name="Comma 9 3 2" xfId="8242" xr:uid="{00000000-0005-0000-0000-000032200000}"/>
    <cellStyle name="Comma 9 4" xfId="8243" xr:uid="{00000000-0005-0000-0000-000033200000}"/>
    <cellStyle name="Comma 9 4 2" xfId="8244" xr:uid="{00000000-0005-0000-0000-000034200000}"/>
    <cellStyle name="Copied" xfId="8245" xr:uid="{00000000-0005-0000-0000-000035200000}"/>
    <cellStyle name="Copied 2" xfId="8246" xr:uid="{00000000-0005-0000-0000-000036200000}"/>
    <cellStyle name="Copied 2 2" xfId="8247" xr:uid="{00000000-0005-0000-0000-000037200000}"/>
    <cellStyle name="Copied 2 2 2" xfId="8248" xr:uid="{00000000-0005-0000-0000-000038200000}"/>
    <cellStyle name="Copied 2 3" xfId="8249" xr:uid="{00000000-0005-0000-0000-000039200000}"/>
    <cellStyle name="Copied 2 3 2" xfId="8250" xr:uid="{00000000-0005-0000-0000-00003A200000}"/>
    <cellStyle name="Copied 2 3 2 2" xfId="8251" xr:uid="{00000000-0005-0000-0000-00003B200000}"/>
    <cellStyle name="Copied 2 3 3" xfId="8252" xr:uid="{00000000-0005-0000-0000-00003C200000}"/>
    <cellStyle name="Copied 2 4" xfId="8253" xr:uid="{00000000-0005-0000-0000-00003D200000}"/>
    <cellStyle name="Copied 3" xfId="8254" xr:uid="{00000000-0005-0000-0000-00003E200000}"/>
    <cellStyle name="Copied 3 2" xfId="8255" xr:uid="{00000000-0005-0000-0000-00003F200000}"/>
    <cellStyle name="Copied 3 2 2" xfId="8256" xr:uid="{00000000-0005-0000-0000-000040200000}"/>
    <cellStyle name="Copied 3 3" xfId="8257" xr:uid="{00000000-0005-0000-0000-000041200000}"/>
    <cellStyle name="Copied 4" xfId="8258" xr:uid="{00000000-0005-0000-0000-000042200000}"/>
    <cellStyle name="Copied 4 2" xfId="8259" xr:uid="{00000000-0005-0000-0000-000043200000}"/>
    <cellStyle name="Copied 4 2 2" xfId="8260" xr:uid="{00000000-0005-0000-0000-000044200000}"/>
    <cellStyle name="Copied 4 3" xfId="8261" xr:uid="{00000000-0005-0000-0000-000045200000}"/>
    <cellStyle name="Copied 5" xfId="8262" xr:uid="{00000000-0005-0000-0000-000046200000}"/>
    <cellStyle name="Copied 5 2" xfId="8263" xr:uid="{00000000-0005-0000-0000-000047200000}"/>
    <cellStyle name="Copied 6" xfId="8264" xr:uid="{00000000-0005-0000-0000-000048200000}"/>
    <cellStyle name="Copied 6 2" xfId="8265" xr:uid="{00000000-0005-0000-0000-000049200000}"/>
    <cellStyle name="Copied 7" xfId="8266" xr:uid="{00000000-0005-0000-0000-00004A200000}"/>
    <cellStyle name="CostNoZero" xfId="8267" xr:uid="{00000000-0005-0000-0000-00004B200000}"/>
    <cellStyle name="Currency" xfId="2" xr:uid="{00000000-0005-0000-0000-000002000000}"/>
    <cellStyle name="Currency [0]" xfId="3" xr:uid="{00000000-0005-0000-0000-000003000000}"/>
    <cellStyle name="Currency 10" xfId="8268" xr:uid="{00000000-0005-0000-0000-00004C200000}"/>
    <cellStyle name="Currency 11" xfId="8269" xr:uid="{00000000-0005-0000-0000-00004D200000}"/>
    <cellStyle name="Currency 12 2" xfId="31680" xr:uid="{00000000-0005-0000-0000-0000C17B0000}"/>
    <cellStyle name="Currency 2" xfId="58" xr:uid="{00000000-0005-0000-0000-00003A000000}"/>
    <cellStyle name="Currency 2 2" xfId="8270" xr:uid="{00000000-0005-0000-0000-00004E200000}"/>
    <cellStyle name="Currency 2 2 2" xfId="8271" xr:uid="{00000000-0005-0000-0000-00004F200000}"/>
    <cellStyle name="Currency 2 2 2 2" xfId="8272" xr:uid="{00000000-0005-0000-0000-000050200000}"/>
    <cellStyle name="Currency 2 2 2 3" xfId="8273" xr:uid="{00000000-0005-0000-0000-000051200000}"/>
    <cellStyle name="Currency 2 2 2 3 2" xfId="8274" xr:uid="{00000000-0005-0000-0000-000052200000}"/>
    <cellStyle name="Currency 2 2 2 4" xfId="8275" xr:uid="{00000000-0005-0000-0000-000053200000}"/>
    <cellStyle name="Currency 2 2 2 4 2" xfId="8276" xr:uid="{00000000-0005-0000-0000-000054200000}"/>
    <cellStyle name="Currency 2 2 3" xfId="8277" xr:uid="{00000000-0005-0000-0000-000055200000}"/>
    <cellStyle name="Currency 2 2 3 2" xfId="8278" xr:uid="{00000000-0005-0000-0000-000056200000}"/>
    <cellStyle name="Currency 2 2 4" xfId="8279" xr:uid="{00000000-0005-0000-0000-000057200000}"/>
    <cellStyle name="Currency 2 3" xfId="8280" xr:uid="{00000000-0005-0000-0000-000058200000}"/>
    <cellStyle name="Currency 2 3 2" xfId="8281" xr:uid="{00000000-0005-0000-0000-000059200000}"/>
    <cellStyle name="Currency 2 3 3" xfId="8282" xr:uid="{00000000-0005-0000-0000-00005A200000}"/>
    <cellStyle name="Currency 2 3 3 2" xfId="8283" xr:uid="{00000000-0005-0000-0000-00005B200000}"/>
    <cellStyle name="Currency 2 3 4" xfId="8284" xr:uid="{00000000-0005-0000-0000-00005C200000}"/>
    <cellStyle name="Currency 2 3 4 2" xfId="8285" xr:uid="{00000000-0005-0000-0000-00005D200000}"/>
    <cellStyle name="Currency 2 4" xfId="8286" xr:uid="{00000000-0005-0000-0000-00005E200000}"/>
    <cellStyle name="Currency 2 4 2" xfId="8287" xr:uid="{00000000-0005-0000-0000-00005F200000}"/>
    <cellStyle name="Currency 2 5" xfId="8288" xr:uid="{00000000-0005-0000-0000-000060200000}"/>
    <cellStyle name="Currency 2 6" xfId="8289" xr:uid="{00000000-0005-0000-0000-000061200000}"/>
    <cellStyle name="Currency 2 7" xfId="8290" xr:uid="{00000000-0005-0000-0000-000062200000}"/>
    <cellStyle name="Currency 3" xfId="8291" xr:uid="{00000000-0005-0000-0000-000063200000}"/>
    <cellStyle name="Currency 3 2" xfId="8292" xr:uid="{00000000-0005-0000-0000-000064200000}"/>
    <cellStyle name="Currency 3 2 2" xfId="8293" xr:uid="{00000000-0005-0000-0000-000065200000}"/>
    <cellStyle name="Currency 3 3" xfId="8294" xr:uid="{00000000-0005-0000-0000-000066200000}"/>
    <cellStyle name="Currency 3 3 2" xfId="8295" xr:uid="{00000000-0005-0000-0000-000067200000}"/>
    <cellStyle name="Currency 3 3 3" xfId="8296" xr:uid="{00000000-0005-0000-0000-000068200000}"/>
    <cellStyle name="Currency 3 3 3 2" xfId="8297" xr:uid="{00000000-0005-0000-0000-000069200000}"/>
    <cellStyle name="Currency 3 3 4" xfId="8298" xr:uid="{00000000-0005-0000-0000-00006A200000}"/>
    <cellStyle name="Currency 3 3 4 2" xfId="8299" xr:uid="{00000000-0005-0000-0000-00006B200000}"/>
    <cellStyle name="Currency 3 4" xfId="8300" xr:uid="{00000000-0005-0000-0000-00006C200000}"/>
    <cellStyle name="Currency 3 5" xfId="8301" xr:uid="{00000000-0005-0000-0000-00006D200000}"/>
    <cellStyle name="Currency 4" xfId="8302" xr:uid="{00000000-0005-0000-0000-00006E200000}"/>
    <cellStyle name="Currency 4 2" xfId="8303" xr:uid="{00000000-0005-0000-0000-00006F200000}"/>
    <cellStyle name="Currency 4 2 2" xfId="8304" xr:uid="{00000000-0005-0000-0000-000070200000}"/>
    <cellStyle name="Currency 4 3" xfId="8305" xr:uid="{00000000-0005-0000-0000-000071200000}"/>
    <cellStyle name="Currency 4 3 2" xfId="8306" xr:uid="{00000000-0005-0000-0000-000072200000}"/>
    <cellStyle name="Currency 4 4" xfId="8307" xr:uid="{00000000-0005-0000-0000-000073200000}"/>
    <cellStyle name="Currency 5" xfId="8308" xr:uid="{00000000-0005-0000-0000-000074200000}"/>
    <cellStyle name="Currency 5 2" xfId="8309" xr:uid="{00000000-0005-0000-0000-000075200000}"/>
    <cellStyle name="Currency 6" xfId="8310" xr:uid="{00000000-0005-0000-0000-000076200000}"/>
    <cellStyle name="Currency 6 2" xfId="8311" xr:uid="{00000000-0005-0000-0000-000077200000}"/>
    <cellStyle name="Currency 6 2 2" xfId="8312" xr:uid="{00000000-0005-0000-0000-000078200000}"/>
    <cellStyle name="Currency 6 3" xfId="8313" xr:uid="{00000000-0005-0000-0000-000079200000}"/>
    <cellStyle name="Currency 6 3 2" xfId="8314" xr:uid="{00000000-0005-0000-0000-00007A200000}"/>
    <cellStyle name="Currency 6 4" xfId="8315" xr:uid="{00000000-0005-0000-0000-00007B200000}"/>
    <cellStyle name="Currency 7" xfId="8316" xr:uid="{00000000-0005-0000-0000-00007C200000}"/>
    <cellStyle name="Currency 7 2" xfId="8317" xr:uid="{00000000-0005-0000-0000-00007D200000}"/>
    <cellStyle name="Currency 8" xfId="8318" xr:uid="{00000000-0005-0000-0000-00007E200000}"/>
    <cellStyle name="Currency 9" xfId="8319" xr:uid="{00000000-0005-0000-0000-00007F200000}"/>
    <cellStyle name="Currency.00" xfId="8320" xr:uid="{00000000-0005-0000-0000-000080200000}"/>
    <cellStyle name="Date" xfId="8321" xr:uid="{00000000-0005-0000-0000-000081200000}"/>
    <cellStyle name="Date (m/d/yy)" xfId="8322" xr:uid="{00000000-0005-0000-0000-000082200000}"/>
    <cellStyle name="Date (m/d/yy) 2" xfId="8323" xr:uid="{00000000-0005-0000-0000-000083200000}"/>
    <cellStyle name="Date_~6497230" xfId="8324" xr:uid="{00000000-0005-0000-0000-000084200000}"/>
    <cellStyle name="Decimal" xfId="8325" xr:uid="{00000000-0005-0000-0000-000085200000}"/>
    <cellStyle name="Emphasis 1" xfId="8326" xr:uid="{00000000-0005-0000-0000-000086200000}"/>
    <cellStyle name="Emphasis 1 10" xfId="8327" xr:uid="{00000000-0005-0000-0000-000087200000}"/>
    <cellStyle name="Emphasis 1 2" xfId="8328" xr:uid="{00000000-0005-0000-0000-000088200000}"/>
    <cellStyle name="Emphasis 1 2 2" xfId="8329" xr:uid="{00000000-0005-0000-0000-000089200000}"/>
    <cellStyle name="Emphasis 1 2 2 2" xfId="8330" xr:uid="{00000000-0005-0000-0000-00008A200000}"/>
    <cellStyle name="Emphasis 1 2 3" xfId="8331" xr:uid="{00000000-0005-0000-0000-00008B200000}"/>
    <cellStyle name="Emphasis 1 2 3 2" xfId="8332" xr:uid="{00000000-0005-0000-0000-00008C200000}"/>
    <cellStyle name="Emphasis 1 2 3 2 2" xfId="8333" xr:uid="{00000000-0005-0000-0000-00008D200000}"/>
    <cellStyle name="Emphasis 1 2 3 3" xfId="8334" xr:uid="{00000000-0005-0000-0000-00008E200000}"/>
    <cellStyle name="Emphasis 1 2 4" xfId="8335" xr:uid="{00000000-0005-0000-0000-00008F200000}"/>
    <cellStyle name="Emphasis 1 2 4 2" xfId="8336" xr:uid="{00000000-0005-0000-0000-000090200000}"/>
    <cellStyle name="Emphasis 1 2 4 2 2" xfId="8337" xr:uid="{00000000-0005-0000-0000-000091200000}"/>
    <cellStyle name="Emphasis 1 2 4 3" xfId="8338" xr:uid="{00000000-0005-0000-0000-000092200000}"/>
    <cellStyle name="Emphasis 1 2 5" xfId="8339" xr:uid="{00000000-0005-0000-0000-000093200000}"/>
    <cellStyle name="Emphasis 1 3" xfId="8340" xr:uid="{00000000-0005-0000-0000-000094200000}"/>
    <cellStyle name="Emphasis 1 3 2" xfId="8341" xr:uid="{00000000-0005-0000-0000-000095200000}"/>
    <cellStyle name="Emphasis 1 3 2 2" xfId="8342" xr:uid="{00000000-0005-0000-0000-000096200000}"/>
    <cellStyle name="Emphasis 1 3 3" xfId="8343" xr:uid="{00000000-0005-0000-0000-000097200000}"/>
    <cellStyle name="Emphasis 1 4" xfId="8344" xr:uid="{00000000-0005-0000-0000-000098200000}"/>
    <cellStyle name="Emphasis 1 4 2" xfId="8345" xr:uid="{00000000-0005-0000-0000-000099200000}"/>
    <cellStyle name="Emphasis 1 5" xfId="8346" xr:uid="{00000000-0005-0000-0000-00009A200000}"/>
    <cellStyle name="Emphasis 1 5 2" xfId="8347" xr:uid="{00000000-0005-0000-0000-00009B200000}"/>
    <cellStyle name="Emphasis 1 6" xfId="8348" xr:uid="{00000000-0005-0000-0000-00009C200000}"/>
    <cellStyle name="Emphasis 1 6 2" xfId="8349" xr:uid="{00000000-0005-0000-0000-00009D200000}"/>
    <cellStyle name="Emphasis 1 6 2 2" xfId="8350" xr:uid="{00000000-0005-0000-0000-00009E200000}"/>
    <cellStyle name="Emphasis 1 6 3" xfId="8351" xr:uid="{00000000-0005-0000-0000-00009F200000}"/>
    <cellStyle name="Emphasis 1 7" xfId="8352" xr:uid="{00000000-0005-0000-0000-0000A0200000}"/>
    <cellStyle name="Emphasis 1 7 2" xfId="8353" xr:uid="{00000000-0005-0000-0000-0000A1200000}"/>
    <cellStyle name="Emphasis 1 8" xfId="8354" xr:uid="{00000000-0005-0000-0000-0000A2200000}"/>
    <cellStyle name="Emphasis 1 8 2" xfId="8355" xr:uid="{00000000-0005-0000-0000-0000A3200000}"/>
    <cellStyle name="Emphasis 1 9" xfId="8356" xr:uid="{00000000-0005-0000-0000-0000A4200000}"/>
    <cellStyle name="Emphasis 2" xfId="8357" xr:uid="{00000000-0005-0000-0000-0000A5200000}"/>
    <cellStyle name="Emphasis 2 10" xfId="8358" xr:uid="{00000000-0005-0000-0000-0000A6200000}"/>
    <cellStyle name="Emphasis 2 2" xfId="8359" xr:uid="{00000000-0005-0000-0000-0000A7200000}"/>
    <cellStyle name="Emphasis 2 2 2" xfId="8360" xr:uid="{00000000-0005-0000-0000-0000A8200000}"/>
    <cellStyle name="Emphasis 2 2 2 2" xfId="8361" xr:uid="{00000000-0005-0000-0000-0000A9200000}"/>
    <cellStyle name="Emphasis 2 2 3" xfId="8362" xr:uid="{00000000-0005-0000-0000-0000AA200000}"/>
    <cellStyle name="Emphasis 2 2 3 2" xfId="8363" xr:uid="{00000000-0005-0000-0000-0000AB200000}"/>
    <cellStyle name="Emphasis 2 2 3 2 2" xfId="8364" xr:uid="{00000000-0005-0000-0000-0000AC200000}"/>
    <cellStyle name="Emphasis 2 2 3 3" xfId="8365" xr:uid="{00000000-0005-0000-0000-0000AD200000}"/>
    <cellStyle name="Emphasis 2 2 4" xfId="8366" xr:uid="{00000000-0005-0000-0000-0000AE200000}"/>
    <cellStyle name="Emphasis 2 2 4 2" xfId="8367" xr:uid="{00000000-0005-0000-0000-0000AF200000}"/>
    <cellStyle name="Emphasis 2 2 4 2 2" xfId="8368" xr:uid="{00000000-0005-0000-0000-0000B0200000}"/>
    <cellStyle name="Emphasis 2 2 4 3" xfId="8369" xr:uid="{00000000-0005-0000-0000-0000B1200000}"/>
    <cellStyle name="Emphasis 2 2 5" xfId="8370" xr:uid="{00000000-0005-0000-0000-0000B2200000}"/>
    <cellStyle name="Emphasis 2 3" xfId="8371" xr:uid="{00000000-0005-0000-0000-0000B3200000}"/>
    <cellStyle name="Emphasis 2 3 2" xfId="8372" xr:uid="{00000000-0005-0000-0000-0000B4200000}"/>
    <cellStyle name="Emphasis 2 3 2 2" xfId="8373" xr:uid="{00000000-0005-0000-0000-0000B5200000}"/>
    <cellStyle name="Emphasis 2 3 3" xfId="8374" xr:uid="{00000000-0005-0000-0000-0000B6200000}"/>
    <cellStyle name="Emphasis 2 4" xfId="8375" xr:uid="{00000000-0005-0000-0000-0000B7200000}"/>
    <cellStyle name="Emphasis 2 4 2" xfId="8376" xr:uid="{00000000-0005-0000-0000-0000B8200000}"/>
    <cellStyle name="Emphasis 2 5" xfId="8377" xr:uid="{00000000-0005-0000-0000-0000B9200000}"/>
    <cellStyle name="Emphasis 2 5 2" xfId="8378" xr:uid="{00000000-0005-0000-0000-0000BA200000}"/>
    <cellStyle name="Emphasis 2 6" xfId="8379" xr:uid="{00000000-0005-0000-0000-0000BB200000}"/>
    <cellStyle name="Emphasis 2 6 2" xfId="8380" xr:uid="{00000000-0005-0000-0000-0000BC200000}"/>
    <cellStyle name="Emphasis 2 6 2 2" xfId="8381" xr:uid="{00000000-0005-0000-0000-0000BD200000}"/>
    <cellStyle name="Emphasis 2 6 3" xfId="8382" xr:uid="{00000000-0005-0000-0000-0000BE200000}"/>
    <cellStyle name="Emphasis 2 7" xfId="8383" xr:uid="{00000000-0005-0000-0000-0000BF200000}"/>
    <cellStyle name="Emphasis 2 7 2" xfId="8384" xr:uid="{00000000-0005-0000-0000-0000C0200000}"/>
    <cellStyle name="Emphasis 2 8" xfId="8385" xr:uid="{00000000-0005-0000-0000-0000C1200000}"/>
    <cellStyle name="Emphasis 2 8 2" xfId="8386" xr:uid="{00000000-0005-0000-0000-0000C2200000}"/>
    <cellStyle name="Emphasis 2 9" xfId="8387" xr:uid="{00000000-0005-0000-0000-0000C3200000}"/>
    <cellStyle name="Emphasis 3" xfId="8388" xr:uid="{00000000-0005-0000-0000-0000C4200000}"/>
    <cellStyle name="Emphasis 3 2" xfId="8389" xr:uid="{00000000-0005-0000-0000-0000C5200000}"/>
    <cellStyle name="Emphasis 3 2 2" xfId="8390" xr:uid="{00000000-0005-0000-0000-0000C6200000}"/>
    <cellStyle name="Emphasis 3 2 2 2" xfId="8391" xr:uid="{00000000-0005-0000-0000-0000C7200000}"/>
    <cellStyle name="Emphasis 3 2 3" xfId="8392" xr:uid="{00000000-0005-0000-0000-0000C8200000}"/>
    <cellStyle name="Emphasis 3 2 3 2" xfId="8393" xr:uid="{00000000-0005-0000-0000-0000C9200000}"/>
    <cellStyle name="Emphasis 3 2 3 2 2" xfId="8394" xr:uid="{00000000-0005-0000-0000-0000CA200000}"/>
    <cellStyle name="Emphasis 3 2 3 3" xfId="8395" xr:uid="{00000000-0005-0000-0000-0000CB200000}"/>
    <cellStyle name="Emphasis 3 2 4" xfId="8396" xr:uid="{00000000-0005-0000-0000-0000CC200000}"/>
    <cellStyle name="Emphasis 3 3" xfId="8397" xr:uid="{00000000-0005-0000-0000-0000CD200000}"/>
    <cellStyle name="Emphasis 3 3 2" xfId="8398" xr:uid="{00000000-0005-0000-0000-0000CE200000}"/>
    <cellStyle name="Emphasis 3 3 2 2" xfId="8399" xr:uid="{00000000-0005-0000-0000-0000CF200000}"/>
    <cellStyle name="Emphasis 3 3 3" xfId="8400" xr:uid="{00000000-0005-0000-0000-0000D0200000}"/>
    <cellStyle name="Emphasis 3 4" xfId="8401" xr:uid="{00000000-0005-0000-0000-0000D1200000}"/>
    <cellStyle name="Emphasis 3 4 2" xfId="8402" xr:uid="{00000000-0005-0000-0000-0000D2200000}"/>
    <cellStyle name="Emphasis 3 5" xfId="8403" xr:uid="{00000000-0005-0000-0000-0000D3200000}"/>
    <cellStyle name="Emphasis 3 5 2" xfId="8404" xr:uid="{00000000-0005-0000-0000-0000D4200000}"/>
    <cellStyle name="Emphasis 3 6" xfId="8405" xr:uid="{00000000-0005-0000-0000-0000D5200000}"/>
    <cellStyle name="Emphasis 3 7" xfId="8406" xr:uid="{00000000-0005-0000-0000-0000D6200000}"/>
    <cellStyle name="Entered" xfId="8407" xr:uid="{00000000-0005-0000-0000-0000D7200000}"/>
    <cellStyle name="Entered 2" xfId="8408" xr:uid="{00000000-0005-0000-0000-0000D8200000}"/>
    <cellStyle name="Entered 2 2" xfId="8409" xr:uid="{00000000-0005-0000-0000-0000D9200000}"/>
    <cellStyle name="Entered 2 2 2" xfId="8410" xr:uid="{00000000-0005-0000-0000-0000DA200000}"/>
    <cellStyle name="Entered 2 3" xfId="8411" xr:uid="{00000000-0005-0000-0000-0000DB200000}"/>
    <cellStyle name="Entered 2 3 2" xfId="8412" xr:uid="{00000000-0005-0000-0000-0000DC200000}"/>
    <cellStyle name="Entered 2 3 2 2" xfId="8413" xr:uid="{00000000-0005-0000-0000-0000DD200000}"/>
    <cellStyle name="Entered 2 3 3" xfId="8414" xr:uid="{00000000-0005-0000-0000-0000DE200000}"/>
    <cellStyle name="Entered 2 4" xfId="8415" xr:uid="{00000000-0005-0000-0000-0000DF200000}"/>
    <cellStyle name="Entered 3" xfId="8416" xr:uid="{00000000-0005-0000-0000-0000E0200000}"/>
    <cellStyle name="Entered 3 2" xfId="8417" xr:uid="{00000000-0005-0000-0000-0000E1200000}"/>
    <cellStyle name="Entered 3 2 2" xfId="8418" xr:uid="{00000000-0005-0000-0000-0000E2200000}"/>
    <cellStyle name="Entered 3 3" xfId="8419" xr:uid="{00000000-0005-0000-0000-0000E3200000}"/>
    <cellStyle name="Entered 4" xfId="8420" xr:uid="{00000000-0005-0000-0000-0000E4200000}"/>
    <cellStyle name="Entered 4 2" xfId="8421" xr:uid="{00000000-0005-0000-0000-0000E5200000}"/>
    <cellStyle name="Entered 4 2 2" xfId="8422" xr:uid="{00000000-0005-0000-0000-0000E6200000}"/>
    <cellStyle name="Entered 4 3" xfId="8423" xr:uid="{00000000-0005-0000-0000-0000E7200000}"/>
    <cellStyle name="Entered 5" xfId="8424" xr:uid="{00000000-0005-0000-0000-0000E8200000}"/>
    <cellStyle name="Entered 5 2" xfId="8425" xr:uid="{00000000-0005-0000-0000-0000E9200000}"/>
    <cellStyle name="Entered 6" xfId="8426" xr:uid="{00000000-0005-0000-0000-0000EA200000}"/>
    <cellStyle name="Entered 6 2" xfId="8427" xr:uid="{00000000-0005-0000-0000-0000EB200000}"/>
    <cellStyle name="Entered 7" xfId="8428" xr:uid="{00000000-0005-0000-0000-0000EC200000}"/>
    <cellStyle name="Euro" xfId="8429" xr:uid="{00000000-0005-0000-0000-0000ED200000}"/>
    <cellStyle name="Euro 2" xfId="8430" xr:uid="{00000000-0005-0000-0000-0000EE200000}"/>
    <cellStyle name="Euro 2 2" xfId="8431" xr:uid="{00000000-0005-0000-0000-0000EF200000}"/>
    <cellStyle name="Euro 2 2 2" xfId="8432" xr:uid="{00000000-0005-0000-0000-0000F0200000}"/>
    <cellStyle name="Euro 2 2 2 2" xfId="8433" xr:uid="{00000000-0005-0000-0000-0000F1200000}"/>
    <cellStyle name="Euro 2 2 3" xfId="8434" xr:uid="{00000000-0005-0000-0000-0000F2200000}"/>
    <cellStyle name="Euro 2 3" xfId="8435" xr:uid="{00000000-0005-0000-0000-0000F3200000}"/>
    <cellStyle name="Euro 2 3 2" xfId="8436" xr:uid="{00000000-0005-0000-0000-0000F4200000}"/>
    <cellStyle name="Euro 2 3 2 2" xfId="8437" xr:uid="{00000000-0005-0000-0000-0000F5200000}"/>
    <cellStyle name="Euro 2 3 3" xfId="8438" xr:uid="{00000000-0005-0000-0000-0000F6200000}"/>
    <cellStyle name="Euro 2 4" xfId="8439" xr:uid="{00000000-0005-0000-0000-0000F7200000}"/>
    <cellStyle name="Euro 3" xfId="8440" xr:uid="{00000000-0005-0000-0000-0000F8200000}"/>
    <cellStyle name="Euro 3 2" xfId="8441" xr:uid="{00000000-0005-0000-0000-0000F9200000}"/>
    <cellStyle name="Euro 3 2 2" xfId="8442" xr:uid="{00000000-0005-0000-0000-0000FA200000}"/>
    <cellStyle name="Euro 3 3" xfId="8443" xr:uid="{00000000-0005-0000-0000-0000FB200000}"/>
    <cellStyle name="Euro 4" xfId="8444" xr:uid="{00000000-0005-0000-0000-0000FC200000}"/>
    <cellStyle name="Euro 4 2" xfId="8445" xr:uid="{00000000-0005-0000-0000-0000FD200000}"/>
    <cellStyle name="Euro 4 2 2" xfId="8446" xr:uid="{00000000-0005-0000-0000-0000FE200000}"/>
    <cellStyle name="Euro 4 3" xfId="8447" xr:uid="{00000000-0005-0000-0000-0000FF200000}"/>
    <cellStyle name="Euro 5" xfId="8448" xr:uid="{00000000-0005-0000-0000-000000210000}"/>
    <cellStyle name="Euro 5 2" xfId="8449" xr:uid="{00000000-0005-0000-0000-000001210000}"/>
    <cellStyle name="Euro 6" xfId="8450" xr:uid="{00000000-0005-0000-0000-000002210000}"/>
    <cellStyle name="Explanatory Text 2" xfId="8451" xr:uid="{00000000-0005-0000-0000-000003210000}"/>
    <cellStyle name="Explanatory Text 2 10" xfId="8452" xr:uid="{00000000-0005-0000-0000-000004210000}"/>
    <cellStyle name="Explanatory Text 2 2" xfId="8453" xr:uid="{00000000-0005-0000-0000-000005210000}"/>
    <cellStyle name="Explanatory Text 2 2 2" xfId="8454" xr:uid="{00000000-0005-0000-0000-000006210000}"/>
    <cellStyle name="Explanatory Text 2 2 2 2" xfId="8455" xr:uid="{00000000-0005-0000-0000-000007210000}"/>
    <cellStyle name="Explanatory Text 2 2 3" xfId="8456" xr:uid="{00000000-0005-0000-0000-000008210000}"/>
    <cellStyle name="Explanatory Text 2 2 3 2" xfId="8457" xr:uid="{00000000-0005-0000-0000-000009210000}"/>
    <cellStyle name="Explanatory Text 2 2 3 2 2" xfId="8458" xr:uid="{00000000-0005-0000-0000-00000A210000}"/>
    <cellStyle name="Explanatory Text 2 2 3 3" xfId="8459" xr:uid="{00000000-0005-0000-0000-00000B210000}"/>
    <cellStyle name="Explanatory Text 2 2 4" xfId="8460" xr:uid="{00000000-0005-0000-0000-00000C210000}"/>
    <cellStyle name="Explanatory Text 2 3" xfId="8461" xr:uid="{00000000-0005-0000-0000-00000D210000}"/>
    <cellStyle name="Explanatory Text 2 3 2" xfId="8462" xr:uid="{00000000-0005-0000-0000-00000E210000}"/>
    <cellStyle name="Explanatory Text 2 3 2 2" xfId="8463" xr:uid="{00000000-0005-0000-0000-00000F210000}"/>
    <cellStyle name="Explanatory Text 2 3 3" xfId="8464" xr:uid="{00000000-0005-0000-0000-000010210000}"/>
    <cellStyle name="Explanatory Text 2 3 3 2" xfId="8465" xr:uid="{00000000-0005-0000-0000-000011210000}"/>
    <cellStyle name="Explanatory Text 2 3 3 2 2" xfId="8466" xr:uid="{00000000-0005-0000-0000-000012210000}"/>
    <cellStyle name="Explanatory Text 2 3 3 3" xfId="8467" xr:uid="{00000000-0005-0000-0000-000013210000}"/>
    <cellStyle name="Explanatory Text 2 3 4" xfId="8468" xr:uid="{00000000-0005-0000-0000-000014210000}"/>
    <cellStyle name="Explanatory Text 2 4" xfId="8469" xr:uid="{00000000-0005-0000-0000-000015210000}"/>
    <cellStyle name="Explanatory Text 2 4 2" xfId="8470" xr:uid="{00000000-0005-0000-0000-000016210000}"/>
    <cellStyle name="Explanatory Text 2 4 2 2" xfId="8471" xr:uid="{00000000-0005-0000-0000-000017210000}"/>
    <cellStyle name="Explanatory Text 2 4 3" xfId="8472" xr:uid="{00000000-0005-0000-0000-000018210000}"/>
    <cellStyle name="Explanatory Text 2 5" xfId="8473" xr:uid="{00000000-0005-0000-0000-000019210000}"/>
    <cellStyle name="Explanatory Text 2 5 2" xfId="8474" xr:uid="{00000000-0005-0000-0000-00001A210000}"/>
    <cellStyle name="Explanatory Text 2 5 2 2" xfId="8475" xr:uid="{00000000-0005-0000-0000-00001B210000}"/>
    <cellStyle name="Explanatory Text 2 5 3" xfId="8476" xr:uid="{00000000-0005-0000-0000-00001C210000}"/>
    <cellStyle name="Explanatory Text 2 5 3 2" xfId="8477" xr:uid="{00000000-0005-0000-0000-00001D210000}"/>
    <cellStyle name="Explanatory Text 2 5 3 2 2" xfId="8478" xr:uid="{00000000-0005-0000-0000-00001E210000}"/>
    <cellStyle name="Explanatory Text 2 5 3 3" xfId="8479" xr:uid="{00000000-0005-0000-0000-00001F210000}"/>
    <cellStyle name="Explanatory Text 2 5 4" xfId="8480" xr:uid="{00000000-0005-0000-0000-000020210000}"/>
    <cellStyle name="Explanatory Text 2 6" xfId="8481" xr:uid="{00000000-0005-0000-0000-000021210000}"/>
    <cellStyle name="Explanatory Text 2 6 2" xfId="8482" xr:uid="{00000000-0005-0000-0000-000022210000}"/>
    <cellStyle name="Explanatory Text 2 7" xfId="8483" xr:uid="{00000000-0005-0000-0000-000023210000}"/>
    <cellStyle name="Explanatory Text 2 7 2" xfId="8484" xr:uid="{00000000-0005-0000-0000-000024210000}"/>
    <cellStyle name="Explanatory Text 2 8" xfId="8485" xr:uid="{00000000-0005-0000-0000-000025210000}"/>
    <cellStyle name="Explanatory Text 2 8 2" xfId="8486" xr:uid="{00000000-0005-0000-0000-000026210000}"/>
    <cellStyle name="Explanatory Text 2 8 2 2" xfId="8487" xr:uid="{00000000-0005-0000-0000-000027210000}"/>
    <cellStyle name="Explanatory Text 2 8 3" xfId="8488" xr:uid="{00000000-0005-0000-0000-000028210000}"/>
    <cellStyle name="Explanatory Text 2 9" xfId="8489" xr:uid="{00000000-0005-0000-0000-000029210000}"/>
    <cellStyle name="Explanatory Text 2 9 2" xfId="8490" xr:uid="{00000000-0005-0000-0000-00002A210000}"/>
    <cellStyle name="Explanatory Text 2 9 2 2" xfId="8491" xr:uid="{00000000-0005-0000-0000-00002B210000}"/>
    <cellStyle name="Explanatory Text 2 9 3" xfId="8492" xr:uid="{00000000-0005-0000-0000-00002C210000}"/>
    <cellStyle name="Explanatory Text 3" xfId="8493" xr:uid="{00000000-0005-0000-0000-00002D210000}"/>
    <cellStyle name="Explanatory Text 3 2" xfId="8494" xr:uid="{00000000-0005-0000-0000-00002E210000}"/>
    <cellStyle name="Explanatory Text 3 2 2" xfId="8495" xr:uid="{00000000-0005-0000-0000-00002F210000}"/>
    <cellStyle name="Explanatory Text 3 3" xfId="8496" xr:uid="{00000000-0005-0000-0000-000030210000}"/>
    <cellStyle name="Explanatory Text 3 3 2" xfId="8497" xr:uid="{00000000-0005-0000-0000-000031210000}"/>
    <cellStyle name="Explanatory Text 3 4" xfId="8498" xr:uid="{00000000-0005-0000-0000-000032210000}"/>
    <cellStyle name="Explanatory Text 3 4 2" xfId="8499" xr:uid="{00000000-0005-0000-0000-000033210000}"/>
    <cellStyle name="Explanatory Text 3 4 2 2" xfId="8500" xr:uid="{00000000-0005-0000-0000-000034210000}"/>
    <cellStyle name="Explanatory Text 3 4 3" xfId="8501" xr:uid="{00000000-0005-0000-0000-000035210000}"/>
    <cellStyle name="Explanatory Text 3 5" xfId="8502" xr:uid="{00000000-0005-0000-0000-000036210000}"/>
    <cellStyle name="Explanatory Text 4" xfId="8503" xr:uid="{00000000-0005-0000-0000-000037210000}"/>
    <cellStyle name="Explanatory Text 4 2" xfId="8504" xr:uid="{00000000-0005-0000-0000-000038210000}"/>
    <cellStyle name="Explanatory Text 4 2 2" xfId="8505" xr:uid="{00000000-0005-0000-0000-000039210000}"/>
    <cellStyle name="Explanatory Text 4 3" xfId="8506" xr:uid="{00000000-0005-0000-0000-00003A210000}"/>
    <cellStyle name="Explanatory Text 4 3 2" xfId="8507" xr:uid="{00000000-0005-0000-0000-00003B210000}"/>
    <cellStyle name="Explanatory Text 4 3 2 2" xfId="8508" xr:uid="{00000000-0005-0000-0000-00003C210000}"/>
    <cellStyle name="Explanatory Text 4 3 3" xfId="8509" xr:uid="{00000000-0005-0000-0000-00003D210000}"/>
    <cellStyle name="Explanatory Text 4 4" xfId="8510" xr:uid="{00000000-0005-0000-0000-00003E210000}"/>
    <cellStyle name="Explanatory Text 5" xfId="8511" xr:uid="{00000000-0005-0000-0000-00003F210000}"/>
    <cellStyle name="Explanatory Text 5 2" xfId="8512" xr:uid="{00000000-0005-0000-0000-000040210000}"/>
    <cellStyle name="Explanatory Text 5 2 2" xfId="8513" xr:uid="{00000000-0005-0000-0000-000041210000}"/>
    <cellStyle name="Explanatory Text 5 3" xfId="8514" xr:uid="{00000000-0005-0000-0000-000042210000}"/>
    <cellStyle name="Explanatory Text 5 3 2" xfId="8515" xr:uid="{00000000-0005-0000-0000-000043210000}"/>
    <cellStyle name="Explanatory Text 5 3 2 2" xfId="8516" xr:uid="{00000000-0005-0000-0000-000044210000}"/>
    <cellStyle name="Explanatory Text 5 3 3" xfId="8517" xr:uid="{00000000-0005-0000-0000-000045210000}"/>
    <cellStyle name="Explanatory Text 5 4" xfId="8518" xr:uid="{00000000-0005-0000-0000-000046210000}"/>
    <cellStyle name="Explanatory Text 6" xfId="8519" xr:uid="{00000000-0005-0000-0000-000047210000}"/>
    <cellStyle name="Explanatory Text 6 2" xfId="8520" xr:uid="{00000000-0005-0000-0000-000048210000}"/>
    <cellStyle name="Explanatory Text 6 2 2" xfId="8521" xr:uid="{00000000-0005-0000-0000-000049210000}"/>
    <cellStyle name="Explanatory Text 6 3" xfId="8522" xr:uid="{00000000-0005-0000-0000-00004A210000}"/>
    <cellStyle name="Explanatory Text 7" xfId="8523" xr:uid="{00000000-0005-0000-0000-00004B210000}"/>
    <cellStyle name="Explanatory Text 8" xfId="8524" xr:uid="{00000000-0005-0000-0000-00004C210000}"/>
    <cellStyle name="Fixed" xfId="8525" xr:uid="{00000000-0005-0000-0000-00004D210000}"/>
    <cellStyle name="Fixed 2" xfId="8526" xr:uid="{00000000-0005-0000-0000-00004E210000}"/>
    <cellStyle name="Fixed 2 2" xfId="8527" xr:uid="{00000000-0005-0000-0000-00004F210000}"/>
    <cellStyle name="Fixed 3" xfId="8528" xr:uid="{00000000-0005-0000-0000-000050210000}"/>
    <cellStyle name="Fixed 3 2" xfId="8529" xr:uid="{00000000-0005-0000-0000-000051210000}"/>
    <cellStyle name="Fixed 4" xfId="8530" xr:uid="{00000000-0005-0000-0000-000052210000}"/>
    <cellStyle name="Fixed 5" xfId="8531" xr:uid="{00000000-0005-0000-0000-000053210000}"/>
    <cellStyle name="Floating" xfId="8532" xr:uid="{00000000-0005-0000-0000-000054210000}"/>
    <cellStyle name="General" xfId="8533" xr:uid="{00000000-0005-0000-0000-000055210000}"/>
    <cellStyle name="General 2" xfId="8534" xr:uid="{00000000-0005-0000-0000-000056210000}"/>
    <cellStyle name="General 2 2" xfId="8535" xr:uid="{00000000-0005-0000-0000-000057210000}"/>
    <cellStyle name="General 2 2 2" xfId="8536" xr:uid="{00000000-0005-0000-0000-000058210000}"/>
    <cellStyle name="General 2 3" xfId="8537" xr:uid="{00000000-0005-0000-0000-000059210000}"/>
    <cellStyle name="General 3" xfId="8538" xr:uid="{00000000-0005-0000-0000-00005A210000}"/>
    <cellStyle name="General 3 2" xfId="8539" xr:uid="{00000000-0005-0000-0000-00005B210000}"/>
    <cellStyle name="General 3 2 2" xfId="8540" xr:uid="{00000000-0005-0000-0000-00005C210000}"/>
    <cellStyle name="General 3 3" xfId="8541" xr:uid="{00000000-0005-0000-0000-00005D210000}"/>
    <cellStyle name="General 3 3 2" xfId="8542" xr:uid="{00000000-0005-0000-0000-00005E210000}"/>
    <cellStyle name="General 3 3 2 2" xfId="8543" xr:uid="{00000000-0005-0000-0000-00005F210000}"/>
    <cellStyle name="General 3 3 3" xfId="8544" xr:uid="{00000000-0005-0000-0000-000060210000}"/>
    <cellStyle name="General 3 4" xfId="8545" xr:uid="{00000000-0005-0000-0000-000061210000}"/>
    <cellStyle name="General 4" xfId="8546" xr:uid="{00000000-0005-0000-0000-000062210000}"/>
    <cellStyle name="General 4 2" xfId="8547" xr:uid="{00000000-0005-0000-0000-000063210000}"/>
    <cellStyle name="General 4 2 2" xfId="8548" xr:uid="{00000000-0005-0000-0000-000064210000}"/>
    <cellStyle name="General 4 3" xfId="8549" xr:uid="{00000000-0005-0000-0000-000065210000}"/>
    <cellStyle name="General 5" xfId="8550" xr:uid="{00000000-0005-0000-0000-000066210000}"/>
    <cellStyle name="General2" xfId="8551" xr:uid="{00000000-0005-0000-0000-000067210000}"/>
    <cellStyle name="Good 2" xfId="8552" xr:uid="{00000000-0005-0000-0000-000068210000}"/>
    <cellStyle name="Good 2 10" xfId="8553" xr:uid="{00000000-0005-0000-0000-000069210000}"/>
    <cellStyle name="Good 2 10 2" xfId="8554" xr:uid="{00000000-0005-0000-0000-00006A210000}"/>
    <cellStyle name="Good 2 11" xfId="8555" xr:uid="{00000000-0005-0000-0000-00006B210000}"/>
    <cellStyle name="Good 2 12" xfId="8556" xr:uid="{00000000-0005-0000-0000-00006C210000}"/>
    <cellStyle name="Good 2 2" xfId="8557" xr:uid="{00000000-0005-0000-0000-00006D210000}"/>
    <cellStyle name="Good 2 2 2" xfId="8558" xr:uid="{00000000-0005-0000-0000-00006E210000}"/>
    <cellStyle name="Good 2 2 2 2" xfId="8559" xr:uid="{00000000-0005-0000-0000-00006F210000}"/>
    <cellStyle name="Good 2 2 3" xfId="8560" xr:uid="{00000000-0005-0000-0000-000070210000}"/>
    <cellStyle name="Good 2 2 3 2" xfId="8561" xr:uid="{00000000-0005-0000-0000-000071210000}"/>
    <cellStyle name="Good 2 2 3 2 2" xfId="8562" xr:uid="{00000000-0005-0000-0000-000072210000}"/>
    <cellStyle name="Good 2 2 3 3" xfId="8563" xr:uid="{00000000-0005-0000-0000-000073210000}"/>
    <cellStyle name="Good 2 2 4" xfId="8564" xr:uid="{00000000-0005-0000-0000-000074210000}"/>
    <cellStyle name="Good 2 2 4 2" xfId="8565" xr:uid="{00000000-0005-0000-0000-000075210000}"/>
    <cellStyle name="Good 2 2 5" xfId="8566" xr:uid="{00000000-0005-0000-0000-000076210000}"/>
    <cellStyle name="Good 2 3" xfId="8567" xr:uid="{00000000-0005-0000-0000-000077210000}"/>
    <cellStyle name="Good 2 3 2" xfId="8568" xr:uid="{00000000-0005-0000-0000-000078210000}"/>
    <cellStyle name="Good 2 3 2 2" xfId="8569" xr:uid="{00000000-0005-0000-0000-000079210000}"/>
    <cellStyle name="Good 2 3 3" xfId="8570" xr:uid="{00000000-0005-0000-0000-00007A210000}"/>
    <cellStyle name="Good 2 3 3 2" xfId="8571" xr:uid="{00000000-0005-0000-0000-00007B210000}"/>
    <cellStyle name="Good 2 3 3 2 2" xfId="8572" xr:uid="{00000000-0005-0000-0000-00007C210000}"/>
    <cellStyle name="Good 2 3 3 3" xfId="8573" xr:uid="{00000000-0005-0000-0000-00007D210000}"/>
    <cellStyle name="Good 2 3 4" xfId="8574" xr:uid="{00000000-0005-0000-0000-00007E210000}"/>
    <cellStyle name="Good 2 4" xfId="8575" xr:uid="{00000000-0005-0000-0000-00007F210000}"/>
    <cellStyle name="Good 2 4 2" xfId="8576" xr:uid="{00000000-0005-0000-0000-000080210000}"/>
    <cellStyle name="Good 2 4 2 2" xfId="8577" xr:uid="{00000000-0005-0000-0000-000081210000}"/>
    <cellStyle name="Good 2 4 3" xfId="8578" xr:uid="{00000000-0005-0000-0000-000082210000}"/>
    <cellStyle name="Good 2 5" xfId="8579" xr:uid="{00000000-0005-0000-0000-000083210000}"/>
    <cellStyle name="Good 2 5 2" xfId="8580" xr:uid="{00000000-0005-0000-0000-000084210000}"/>
    <cellStyle name="Good 2 5 2 2" xfId="8581" xr:uid="{00000000-0005-0000-0000-000085210000}"/>
    <cellStyle name="Good 2 5 3" xfId="8582" xr:uid="{00000000-0005-0000-0000-000086210000}"/>
    <cellStyle name="Good 2 5 3 2" xfId="8583" xr:uid="{00000000-0005-0000-0000-000087210000}"/>
    <cellStyle name="Good 2 5 3 2 2" xfId="8584" xr:uid="{00000000-0005-0000-0000-000088210000}"/>
    <cellStyle name="Good 2 5 3 3" xfId="8585" xr:uid="{00000000-0005-0000-0000-000089210000}"/>
    <cellStyle name="Good 2 5 4" xfId="8586" xr:uid="{00000000-0005-0000-0000-00008A210000}"/>
    <cellStyle name="Good 2 6" xfId="8587" xr:uid="{00000000-0005-0000-0000-00008B210000}"/>
    <cellStyle name="Good 2 6 2" xfId="8588" xr:uid="{00000000-0005-0000-0000-00008C210000}"/>
    <cellStyle name="Good 2 6 2 2" xfId="8589" xr:uid="{00000000-0005-0000-0000-00008D210000}"/>
    <cellStyle name="Good 2 6 3" xfId="8590" xr:uid="{00000000-0005-0000-0000-00008E210000}"/>
    <cellStyle name="Good 2 6 3 2" xfId="8591" xr:uid="{00000000-0005-0000-0000-00008F210000}"/>
    <cellStyle name="Good 2 6 3 2 2" xfId="8592" xr:uid="{00000000-0005-0000-0000-000090210000}"/>
    <cellStyle name="Good 2 6 3 3" xfId="8593" xr:uid="{00000000-0005-0000-0000-000091210000}"/>
    <cellStyle name="Good 2 6 4" xfId="8594" xr:uid="{00000000-0005-0000-0000-000092210000}"/>
    <cellStyle name="Good 2 6 4 2" xfId="8595" xr:uid="{00000000-0005-0000-0000-000093210000}"/>
    <cellStyle name="Good 2 6 5" xfId="8596" xr:uid="{00000000-0005-0000-0000-000094210000}"/>
    <cellStyle name="Good 2 7" xfId="8597" xr:uid="{00000000-0005-0000-0000-000095210000}"/>
    <cellStyle name="Good 2 7 2" xfId="8598" xr:uid="{00000000-0005-0000-0000-000096210000}"/>
    <cellStyle name="Good 2 8" xfId="8599" xr:uid="{00000000-0005-0000-0000-000097210000}"/>
    <cellStyle name="Good 2 8 2" xfId="8600" xr:uid="{00000000-0005-0000-0000-000098210000}"/>
    <cellStyle name="Good 2 8 2 2" xfId="8601" xr:uid="{00000000-0005-0000-0000-000099210000}"/>
    <cellStyle name="Good 2 8 3" xfId="8602" xr:uid="{00000000-0005-0000-0000-00009A210000}"/>
    <cellStyle name="Good 2 9" xfId="8603" xr:uid="{00000000-0005-0000-0000-00009B210000}"/>
    <cellStyle name="Good 2 9 2" xfId="8604" xr:uid="{00000000-0005-0000-0000-00009C210000}"/>
    <cellStyle name="Good 2 9 2 2" xfId="8605" xr:uid="{00000000-0005-0000-0000-00009D210000}"/>
    <cellStyle name="Good 2 9 3" xfId="8606" xr:uid="{00000000-0005-0000-0000-00009E210000}"/>
    <cellStyle name="Good 3" xfId="8607" xr:uid="{00000000-0005-0000-0000-00009F210000}"/>
    <cellStyle name="Good 3 2" xfId="8608" xr:uid="{00000000-0005-0000-0000-0000A0210000}"/>
    <cellStyle name="Good 3 2 2" xfId="8609" xr:uid="{00000000-0005-0000-0000-0000A1210000}"/>
    <cellStyle name="Good 3 3" xfId="8610" xr:uid="{00000000-0005-0000-0000-0000A2210000}"/>
    <cellStyle name="Good 3 3 2" xfId="8611" xr:uid="{00000000-0005-0000-0000-0000A3210000}"/>
    <cellStyle name="Good 3 4" xfId="8612" xr:uid="{00000000-0005-0000-0000-0000A4210000}"/>
    <cellStyle name="Good 3 4 2" xfId="8613" xr:uid="{00000000-0005-0000-0000-0000A5210000}"/>
    <cellStyle name="Good 3 4 2 2" xfId="8614" xr:uid="{00000000-0005-0000-0000-0000A6210000}"/>
    <cellStyle name="Good 3 4 3" xfId="8615" xr:uid="{00000000-0005-0000-0000-0000A7210000}"/>
    <cellStyle name="Good 3 5" xfId="8616" xr:uid="{00000000-0005-0000-0000-0000A8210000}"/>
    <cellStyle name="Good 4" xfId="8617" xr:uid="{00000000-0005-0000-0000-0000A9210000}"/>
    <cellStyle name="Good 4 2" xfId="8618" xr:uid="{00000000-0005-0000-0000-0000AA210000}"/>
    <cellStyle name="Good 4 2 2" xfId="8619" xr:uid="{00000000-0005-0000-0000-0000AB210000}"/>
    <cellStyle name="Good 4 3" xfId="8620" xr:uid="{00000000-0005-0000-0000-0000AC210000}"/>
    <cellStyle name="Good 4 3 2" xfId="8621" xr:uid="{00000000-0005-0000-0000-0000AD210000}"/>
    <cellStyle name="Good 4 3 2 2" xfId="8622" xr:uid="{00000000-0005-0000-0000-0000AE210000}"/>
    <cellStyle name="Good 4 3 3" xfId="8623" xr:uid="{00000000-0005-0000-0000-0000AF210000}"/>
    <cellStyle name="Good 4 4" xfId="8624" xr:uid="{00000000-0005-0000-0000-0000B0210000}"/>
    <cellStyle name="Good 5" xfId="8625" xr:uid="{00000000-0005-0000-0000-0000B1210000}"/>
    <cellStyle name="Good 5 2" xfId="8626" xr:uid="{00000000-0005-0000-0000-0000B2210000}"/>
    <cellStyle name="Good 5 2 2" xfId="8627" xr:uid="{00000000-0005-0000-0000-0000B3210000}"/>
    <cellStyle name="Good 5 3" xfId="8628" xr:uid="{00000000-0005-0000-0000-0000B4210000}"/>
    <cellStyle name="Good 5 3 2" xfId="8629" xr:uid="{00000000-0005-0000-0000-0000B5210000}"/>
    <cellStyle name="Good 5 3 2 2" xfId="8630" xr:uid="{00000000-0005-0000-0000-0000B6210000}"/>
    <cellStyle name="Good 5 3 3" xfId="8631" xr:uid="{00000000-0005-0000-0000-0000B7210000}"/>
    <cellStyle name="Good 5 4" xfId="8632" xr:uid="{00000000-0005-0000-0000-0000B8210000}"/>
    <cellStyle name="Good 6" xfId="8633" xr:uid="{00000000-0005-0000-0000-0000B9210000}"/>
    <cellStyle name="Good 6 2" xfId="8634" xr:uid="{00000000-0005-0000-0000-0000BA210000}"/>
    <cellStyle name="Good 6 2 2" xfId="8635" xr:uid="{00000000-0005-0000-0000-0000BB210000}"/>
    <cellStyle name="Good 6 3" xfId="8636" xr:uid="{00000000-0005-0000-0000-0000BC210000}"/>
    <cellStyle name="Good 7" xfId="8637" xr:uid="{00000000-0005-0000-0000-0000BD210000}"/>
    <cellStyle name="Good 7 2" xfId="8638" xr:uid="{00000000-0005-0000-0000-0000BE210000}"/>
    <cellStyle name="Good 8" xfId="8639" xr:uid="{00000000-0005-0000-0000-0000BF210000}"/>
    <cellStyle name="Good 9" xfId="8640" xr:uid="{00000000-0005-0000-0000-0000C0210000}"/>
    <cellStyle name="Grey" xfId="8641" xr:uid="{00000000-0005-0000-0000-0000C1210000}"/>
    <cellStyle name="Grey 2" xfId="8642" xr:uid="{00000000-0005-0000-0000-0000C2210000}"/>
    <cellStyle name="HEADER" xfId="8643" xr:uid="{00000000-0005-0000-0000-0000C3210000}"/>
    <cellStyle name="HEADER 2" xfId="8644" xr:uid="{00000000-0005-0000-0000-0000C4210000}"/>
    <cellStyle name="HEADER 2 2" xfId="8645" xr:uid="{00000000-0005-0000-0000-0000C5210000}"/>
    <cellStyle name="HEADER 2 2 2" xfId="8646" xr:uid="{00000000-0005-0000-0000-0000C6210000}"/>
    <cellStyle name="HEADER 2 2 2 2" xfId="8647" xr:uid="{00000000-0005-0000-0000-0000C7210000}"/>
    <cellStyle name="HEADER 2 2 3" xfId="8648" xr:uid="{00000000-0005-0000-0000-0000C8210000}"/>
    <cellStyle name="HEADER 2 2 3 2" xfId="8649" xr:uid="{00000000-0005-0000-0000-0000C9210000}"/>
    <cellStyle name="HEADER 2 2 3 2 2" xfId="8650" xr:uid="{00000000-0005-0000-0000-0000CA210000}"/>
    <cellStyle name="HEADER 2 2 3 3" xfId="8651" xr:uid="{00000000-0005-0000-0000-0000CB210000}"/>
    <cellStyle name="HEADER 2 2 4" xfId="8652" xr:uid="{00000000-0005-0000-0000-0000CC210000}"/>
    <cellStyle name="HEADER 2 3" xfId="8653" xr:uid="{00000000-0005-0000-0000-0000CD210000}"/>
    <cellStyle name="HEADER 2 3 2" xfId="8654" xr:uid="{00000000-0005-0000-0000-0000CE210000}"/>
    <cellStyle name="HEADER 2 4" xfId="8655" xr:uid="{00000000-0005-0000-0000-0000CF210000}"/>
    <cellStyle name="HEADER 3" xfId="8656" xr:uid="{00000000-0005-0000-0000-0000D0210000}"/>
    <cellStyle name="HEADER 3 2" xfId="8657" xr:uid="{00000000-0005-0000-0000-0000D1210000}"/>
    <cellStyle name="HEADER 4" xfId="8658" xr:uid="{00000000-0005-0000-0000-0000D2210000}"/>
    <cellStyle name="HEADER 4 2" xfId="8659" xr:uid="{00000000-0005-0000-0000-0000D3210000}"/>
    <cellStyle name="HEADER 5" xfId="8660" xr:uid="{00000000-0005-0000-0000-0000D4210000}"/>
    <cellStyle name="Header1" xfId="8661" xr:uid="{00000000-0005-0000-0000-0000D5210000}"/>
    <cellStyle name="Header1 2" xfId="8662" xr:uid="{00000000-0005-0000-0000-0000D6210000}"/>
    <cellStyle name="Header1 2 2" xfId="8663" xr:uid="{00000000-0005-0000-0000-0000D7210000}"/>
    <cellStyle name="Header1 2 2 2" xfId="8664" xr:uid="{00000000-0005-0000-0000-0000D8210000}"/>
    <cellStyle name="Header1 2 3" xfId="8665" xr:uid="{00000000-0005-0000-0000-0000D9210000}"/>
    <cellStyle name="Header1 2 3 2" xfId="8666" xr:uid="{00000000-0005-0000-0000-0000DA210000}"/>
    <cellStyle name="Header1 2 3 2 2" xfId="8667" xr:uid="{00000000-0005-0000-0000-0000DB210000}"/>
    <cellStyle name="Header1 2 3 3" xfId="8668" xr:uid="{00000000-0005-0000-0000-0000DC210000}"/>
    <cellStyle name="Header1 2 4" xfId="8669" xr:uid="{00000000-0005-0000-0000-0000DD210000}"/>
    <cellStyle name="Header1 3" xfId="8670" xr:uid="{00000000-0005-0000-0000-0000DE210000}"/>
    <cellStyle name="Header1 3 2" xfId="8671" xr:uid="{00000000-0005-0000-0000-0000DF210000}"/>
    <cellStyle name="Header1 3 2 2" xfId="8672" xr:uid="{00000000-0005-0000-0000-0000E0210000}"/>
    <cellStyle name="Header1 3 3" xfId="8673" xr:uid="{00000000-0005-0000-0000-0000E1210000}"/>
    <cellStyle name="Header1 4" xfId="8674" xr:uid="{00000000-0005-0000-0000-0000E2210000}"/>
    <cellStyle name="Header1 4 2" xfId="8675" xr:uid="{00000000-0005-0000-0000-0000E3210000}"/>
    <cellStyle name="Header1 5" xfId="8676" xr:uid="{00000000-0005-0000-0000-0000E4210000}"/>
    <cellStyle name="Header1 5 2" xfId="8677" xr:uid="{00000000-0005-0000-0000-0000E5210000}"/>
    <cellStyle name="Header1 6" xfId="8678" xr:uid="{00000000-0005-0000-0000-0000E6210000}"/>
    <cellStyle name="Header2" xfId="8679" xr:uid="{00000000-0005-0000-0000-0000E7210000}"/>
    <cellStyle name="Header2 2" xfId="8680" xr:uid="{00000000-0005-0000-0000-0000E8210000}"/>
    <cellStyle name="Header2 2 2" xfId="8681" xr:uid="{00000000-0005-0000-0000-0000E9210000}"/>
    <cellStyle name="Header2 2 2 2" xfId="8682" xr:uid="{00000000-0005-0000-0000-0000EA210000}"/>
    <cellStyle name="Header2 2 2 2 2" xfId="8683" xr:uid="{00000000-0005-0000-0000-0000EB210000}"/>
    <cellStyle name="Header2 2 2 2 2 2" xfId="8684" xr:uid="{00000000-0005-0000-0000-0000EC210000}"/>
    <cellStyle name="Header2 2 2 2 2 2 2" xfId="8685" xr:uid="{00000000-0005-0000-0000-0000ED210000}"/>
    <cellStyle name="Header2 2 2 2 2 2 2 2" xfId="8686" xr:uid="{00000000-0005-0000-0000-0000EE210000}"/>
    <cellStyle name="Header2 2 2 2 2 2 2 3" xfId="8687" xr:uid="{00000000-0005-0000-0000-0000EF210000}"/>
    <cellStyle name="Header2 2 2 2 2 2 3" xfId="8688" xr:uid="{00000000-0005-0000-0000-0000F0210000}"/>
    <cellStyle name="Header2 2 2 2 2 3" xfId="8689" xr:uid="{00000000-0005-0000-0000-0000F1210000}"/>
    <cellStyle name="Header2 2 2 2 3" xfId="8690" xr:uid="{00000000-0005-0000-0000-0000F2210000}"/>
    <cellStyle name="Header2 2 2 2 3 2" xfId="8691" xr:uid="{00000000-0005-0000-0000-0000F3210000}"/>
    <cellStyle name="Header2 2 2 2 3 2 2" xfId="8692" xr:uid="{00000000-0005-0000-0000-0000F4210000}"/>
    <cellStyle name="Header2 2 2 2 3 2 2 2" xfId="8693" xr:uid="{00000000-0005-0000-0000-0000F5210000}"/>
    <cellStyle name="Header2 2 2 2 3 2 2 3" xfId="8694" xr:uid="{00000000-0005-0000-0000-0000F6210000}"/>
    <cellStyle name="Header2 2 2 2 3 2 3" xfId="8695" xr:uid="{00000000-0005-0000-0000-0000F7210000}"/>
    <cellStyle name="Header2 2 2 2 3 3" xfId="8696" xr:uid="{00000000-0005-0000-0000-0000F8210000}"/>
    <cellStyle name="Header2 2 2 2 3 3 2" xfId="8697" xr:uid="{00000000-0005-0000-0000-0000F9210000}"/>
    <cellStyle name="Header2 2 2 2 3 3 3" xfId="8698" xr:uid="{00000000-0005-0000-0000-0000FA210000}"/>
    <cellStyle name="Header2 2 2 2 3 4" xfId="8699" xr:uid="{00000000-0005-0000-0000-0000FB210000}"/>
    <cellStyle name="Header2 2 2 2 4" xfId="8700" xr:uid="{00000000-0005-0000-0000-0000FC210000}"/>
    <cellStyle name="Header2 2 2 2 4 2" xfId="8701" xr:uid="{00000000-0005-0000-0000-0000FD210000}"/>
    <cellStyle name="Header2 2 2 2 4 2 2" xfId="8702" xr:uid="{00000000-0005-0000-0000-0000FE210000}"/>
    <cellStyle name="Header2 2 2 2 4 2 3" xfId="8703" xr:uid="{00000000-0005-0000-0000-0000FF210000}"/>
    <cellStyle name="Header2 2 2 2 4 3" xfId="8704" xr:uid="{00000000-0005-0000-0000-000000220000}"/>
    <cellStyle name="Header2 2 2 2 5" xfId="8705" xr:uid="{00000000-0005-0000-0000-000001220000}"/>
    <cellStyle name="Header2 2 2 2 5 2" xfId="8706" xr:uid="{00000000-0005-0000-0000-000002220000}"/>
    <cellStyle name="Header2 2 2 2 5 3" xfId="8707" xr:uid="{00000000-0005-0000-0000-000003220000}"/>
    <cellStyle name="Header2 2 2 2 6" xfId="8708" xr:uid="{00000000-0005-0000-0000-000004220000}"/>
    <cellStyle name="Header2 2 2 3" xfId="8709" xr:uid="{00000000-0005-0000-0000-000005220000}"/>
    <cellStyle name="Header2 2 3" xfId="8710" xr:uid="{00000000-0005-0000-0000-000006220000}"/>
    <cellStyle name="Header2 2 3 2" xfId="8711" xr:uid="{00000000-0005-0000-0000-000007220000}"/>
    <cellStyle name="Header2 2 3 2 2" xfId="8712" xr:uid="{00000000-0005-0000-0000-000008220000}"/>
    <cellStyle name="Header2 2 3 2 2 2" xfId="8713" xr:uid="{00000000-0005-0000-0000-000009220000}"/>
    <cellStyle name="Header2 2 3 2 2 2 2" xfId="8714" xr:uid="{00000000-0005-0000-0000-00000A220000}"/>
    <cellStyle name="Header2 2 3 2 2 2 2 2" xfId="8715" xr:uid="{00000000-0005-0000-0000-00000B220000}"/>
    <cellStyle name="Header2 2 3 2 2 2 2 2 2" xfId="8716" xr:uid="{00000000-0005-0000-0000-00000C220000}"/>
    <cellStyle name="Header2 2 3 2 2 2 2 2 3" xfId="8717" xr:uid="{00000000-0005-0000-0000-00000D220000}"/>
    <cellStyle name="Header2 2 3 2 2 2 2 3" xfId="8718" xr:uid="{00000000-0005-0000-0000-00000E220000}"/>
    <cellStyle name="Header2 2 3 2 2 2 3" xfId="8719" xr:uid="{00000000-0005-0000-0000-00000F220000}"/>
    <cellStyle name="Header2 2 3 2 2 3" xfId="8720" xr:uid="{00000000-0005-0000-0000-000010220000}"/>
    <cellStyle name="Header2 2 3 2 2 3 2" xfId="8721" xr:uid="{00000000-0005-0000-0000-000011220000}"/>
    <cellStyle name="Header2 2 3 2 2 3 2 2" xfId="8722" xr:uid="{00000000-0005-0000-0000-000012220000}"/>
    <cellStyle name="Header2 2 3 2 2 3 2 2 2" xfId="8723" xr:uid="{00000000-0005-0000-0000-000013220000}"/>
    <cellStyle name="Header2 2 3 2 2 3 2 2 3" xfId="8724" xr:uid="{00000000-0005-0000-0000-000014220000}"/>
    <cellStyle name="Header2 2 3 2 2 3 2 3" xfId="8725" xr:uid="{00000000-0005-0000-0000-000015220000}"/>
    <cellStyle name="Header2 2 3 2 2 3 3" xfId="8726" xr:uid="{00000000-0005-0000-0000-000016220000}"/>
    <cellStyle name="Header2 2 3 2 2 3 3 2" xfId="8727" xr:uid="{00000000-0005-0000-0000-000017220000}"/>
    <cellStyle name="Header2 2 3 2 2 3 3 3" xfId="8728" xr:uid="{00000000-0005-0000-0000-000018220000}"/>
    <cellStyle name="Header2 2 3 2 2 3 4" xfId="8729" xr:uid="{00000000-0005-0000-0000-000019220000}"/>
    <cellStyle name="Header2 2 3 2 2 4" xfId="8730" xr:uid="{00000000-0005-0000-0000-00001A220000}"/>
    <cellStyle name="Header2 2 3 2 2 4 2" xfId="8731" xr:uid="{00000000-0005-0000-0000-00001B220000}"/>
    <cellStyle name="Header2 2 3 2 2 4 2 2" xfId="8732" xr:uid="{00000000-0005-0000-0000-00001C220000}"/>
    <cellStyle name="Header2 2 3 2 2 4 2 3" xfId="8733" xr:uid="{00000000-0005-0000-0000-00001D220000}"/>
    <cellStyle name="Header2 2 3 2 2 4 3" xfId="8734" xr:uid="{00000000-0005-0000-0000-00001E220000}"/>
    <cellStyle name="Header2 2 3 2 2 5" xfId="8735" xr:uid="{00000000-0005-0000-0000-00001F220000}"/>
    <cellStyle name="Header2 2 3 2 2 5 2" xfId="8736" xr:uid="{00000000-0005-0000-0000-000020220000}"/>
    <cellStyle name="Header2 2 3 2 2 5 3" xfId="8737" xr:uid="{00000000-0005-0000-0000-000021220000}"/>
    <cellStyle name="Header2 2 3 2 2 6" xfId="8738" xr:uid="{00000000-0005-0000-0000-000022220000}"/>
    <cellStyle name="Header2 2 3 2 3" xfId="8739" xr:uid="{00000000-0005-0000-0000-000023220000}"/>
    <cellStyle name="Header2 2 3 3" xfId="8740" xr:uid="{00000000-0005-0000-0000-000024220000}"/>
    <cellStyle name="Header2 2 3 3 2" xfId="8741" xr:uid="{00000000-0005-0000-0000-000025220000}"/>
    <cellStyle name="Header2 2 3 3 2 2" xfId="8742" xr:uid="{00000000-0005-0000-0000-000026220000}"/>
    <cellStyle name="Header2 2 3 3 2 2 2" xfId="8743" xr:uid="{00000000-0005-0000-0000-000027220000}"/>
    <cellStyle name="Header2 2 3 3 2 2 2 2" xfId="8744" xr:uid="{00000000-0005-0000-0000-000028220000}"/>
    <cellStyle name="Header2 2 3 3 2 2 2 3" xfId="8745" xr:uid="{00000000-0005-0000-0000-000029220000}"/>
    <cellStyle name="Header2 2 3 3 2 2 3" xfId="8746" xr:uid="{00000000-0005-0000-0000-00002A220000}"/>
    <cellStyle name="Header2 2 3 3 2 3" xfId="8747" xr:uid="{00000000-0005-0000-0000-00002B220000}"/>
    <cellStyle name="Header2 2 3 3 3" xfId="8748" xr:uid="{00000000-0005-0000-0000-00002C220000}"/>
    <cellStyle name="Header2 2 3 3 3 2" xfId="8749" xr:uid="{00000000-0005-0000-0000-00002D220000}"/>
    <cellStyle name="Header2 2 3 3 3 2 2" xfId="8750" xr:uid="{00000000-0005-0000-0000-00002E220000}"/>
    <cellStyle name="Header2 2 3 3 3 2 2 2" xfId="8751" xr:uid="{00000000-0005-0000-0000-00002F220000}"/>
    <cellStyle name="Header2 2 3 3 3 2 2 3" xfId="8752" xr:uid="{00000000-0005-0000-0000-000030220000}"/>
    <cellStyle name="Header2 2 3 3 3 2 3" xfId="8753" xr:uid="{00000000-0005-0000-0000-000031220000}"/>
    <cellStyle name="Header2 2 3 3 3 3" xfId="8754" xr:uid="{00000000-0005-0000-0000-000032220000}"/>
    <cellStyle name="Header2 2 3 3 3 3 2" xfId="8755" xr:uid="{00000000-0005-0000-0000-000033220000}"/>
    <cellStyle name="Header2 2 3 3 3 3 3" xfId="8756" xr:uid="{00000000-0005-0000-0000-000034220000}"/>
    <cellStyle name="Header2 2 3 3 3 4" xfId="8757" xr:uid="{00000000-0005-0000-0000-000035220000}"/>
    <cellStyle name="Header2 2 3 3 4" xfId="8758" xr:uid="{00000000-0005-0000-0000-000036220000}"/>
    <cellStyle name="Header2 2 3 3 4 2" xfId="8759" xr:uid="{00000000-0005-0000-0000-000037220000}"/>
    <cellStyle name="Header2 2 3 3 4 2 2" xfId="8760" xr:uid="{00000000-0005-0000-0000-000038220000}"/>
    <cellStyle name="Header2 2 3 3 4 2 3" xfId="8761" xr:uid="{00000000-0005-0000-0000-000039220000}"/>
    <cellStyle name="Header2 2 3 3 4 3" xfId="8762" xr:uid="{00000000-0005-0000-0000-00003A220000}"/>
    <cellStyle name="Header2 2 3 3 5" xfId="8763" xr:uid="{00000000-0005-0000-0000-00003B220000}"/>
    <cellStyle name="Header2 2 3 3 5 2" xfId="8764" xr:uid="{00000000-0005-0000-0000-00003C220000}"/>
    <cellStyle name="Header2 2 3 3 5 3" xfId="8765" xr:uid="{00000000-0005-0000-0000-00003D220000}"/>
    <cellStyle name="Header2 2 3 3 6" xfId="8766" xr:uid="{00000000-0005-0000-0000-00003E220000}"/>
    <cellStyle name="Header2 2 3 4" xfId="8767" xr:uid="{00000000-0005-0000-0000-00003F220000}"/>
    <cellStyle name="Header2 2 4" xfId="8768" xr:uid="{00000000-0005-0000-0000-000040220000}"/>
    <cellStyle name="Header2 2 4 2" xfId="8769" xr:uid="{00000000-0005-0000-0000-000041220000}"/>
    <cellStyle name="Header2 2 4 2 2" xfId="8770" xr:uid="{00000000-0005-0000-0000-000042220000}"/>
    <cellStyle name="Header2 2 4 2 2 2" xfId="8771" xr:uid="{00000000-0005-0000-0000-000043220000}"/>
    <cellStyle name="Header2 2 4 2 2 2 2" xfId="8772" xr:uid="{00000000-0005-0000-0000-000044220000}"/>
    <cellStyle name="Header2 2 4 2 2 2 3" xfId="8773" xr:uid="{00000000-0005-0000-0000-000045220000}"/>
    <cellStyle name="Header2 2 4 2 2 3" xfId="8774" xr:uid="{00000000-0005-0000-0000-000046220000}"/>
    <cellStyle name="Header2 2 4 2 3" xfId="8775" xr:uid="{00000000-0005-0000-0000-000047220000}"/>
    <cellStyle name="Header2 2 4 3" xfId="8776" xr:uid="{00000000-0005-0000-0000-000048220000}"/>
    <cellStyle name="Header2 2 4 3 2" xfId="8777" xr:uid="{00000000-0005-0000-0000-000049220000}"/>
    <cellStyle name="Header2 2 4 3 2 2" xfId="8778" xr:uid="{00000000-0005-0000-0000-00004A220000}"/>
    <cellStyle name="Header2 2 4 3 2 2 2" xfId="8779" xr:uid="{00000000-0005-0000-0000-00004B220000}"/>
    <cellStyle name="Header2 2 4 3 2 2 3" xfId="8780" xr:uid="{00000000-0005-0000-0000-00004C220000}"/>
    <cellStyle name="Header2 2 4 3 2 3" xfId="8781" xr:uid="{00000000-0005-0000-0000-00004D220000}"/>
    <cellStyle name="Header2 2 4 3 3" xfId="8782" xr:uid="{00000000-0005-0000-0000-00004E220000}"/>
    <cellStyle name="Header2 2 4 3 3 2" xfId="8783" xr:uid="{00000000-0005-0000-0000-00004F220000}"/>
    <cellStyle name="Header2 2 4 3 3 3" xfId="8784" xr:uid="{00000000-0005-0000-0000-000050220000}"/>
    <cellStyle name="Header2 2 4 3 4" xfId="8785" xr:uid="{00000000-0005-0000-0000-000051220000}"/>
    <cellStyle name="Header2 2 4 4" xfId="8786" xr:uid="{00000000-0005-0000-0000-000052220000}"/>
    <cellStyle name="Header2 2 4 4 2" xfId="8787" xr:uid="{00000000-0005-0000-0000-000053220000}"/>
    <cellStyle name="Header2 2 4 4 2 2" xfId="8788" xr:uid="{00000000-0005-0000-0000-000054220000}"/>
    <cellStyle name="Header2 2 4 4 2 3" xfId="8789" xr:uid="{00000000-0005-0000-0000-000055220000}"/>
    <cellStyle name="Header2 2 4 4 3" xfId="8790" xr:uid="{00000000-0005-0000-0000-000056220000}"/>
    <cellStyle name="Header2 2 4 5" xfId="8791" xr:uid="{00000000-0005-0000-0000-000057220000}"/>
    <cellStyle name="Header2 2 4 5 2" xfId="8792" xr:uid="{00000000-0005-0000-0000-000058220000}"/>
    <cellStyle name="Header2 2 4 5 3" xfId="8793" xr:uid="{00000000-0005-0000-0000-000059220000}"/>
    <cellStyle name="Header2 2 4 6" xfId="8794" xr:uid="{00000000-0005-0000-0000-00005A220000}"/>
    <cellStyle name="Header2 2 5" xfId="8795" xr:uid="{00000000-0005-0000-0000-00005B220000}"/>
    <cellStyle name="Header2 3" xfId="8796" xr:uid="{00000000-0005-0000-0000-00005C220000}"/>
    <cellStyle name="Header2 3 2" xfId="8797" xr:uid="{00000000-0005-0000-0000-00005D220000}"/>
    <cellStyle name="Header2 3 2 2" xfId="8798" xr:uid="{00000000-0005-0000-0000-00005E220000}"/>
    <cellStyle name="Header2 3 2 2 2" xfId="8799" xr:uid="{00000000-0005-0000-0000-00005F220000}"/>
    <cellStyle name="Header2 3 2 2 2 2" xfId="8800" xr:uid="{00000000-0005-0000-0000-000060220000}"/>
    <cellStyle name="Header2 3 2 2 2 2 2" xfId="8801" xr:uid="{00000000-0005-0000-0000-000061220000}"/>
    <cellStyle name="Header2 3 2 2 2 2 2 2" xfId="8802" xr:uid="{00000000-0005-0000-0000-000062220000}"/>
    <cellStyle name="Header2 3 2 2 2 2 2 3" xfId="8803" xr:uid="{00000000-0005-0000-0000-000063220000}"/>
    <cellStyle name="Header2 3 2 2 2 2 3" xfId="8804" xr:uid="{00000000-0005-0000-0000-000064220000}"/>
    <cellStyle name="Header2 3 2 2 2 3" xfId="8805" xr:uid="{00000000-0005-0000-0000-000065220000}"/>
    <cellStyle name="Header2 3 2 2 3" xfId="8806" xr:uid="{00000000-0005-0000-0000-000066220000}"/>
    <cellStyle name="Header2 3 2 2 3 2" xfId="8807" xr:uid="{00000000-0005-0000-0000-000067220000}"/>
    <cellStyle name="Header2 3 2 2 3 2 2" xfId="8808" xr:uid="{00000000-0005-0000-0000-000068220000}"/>
    <cellStyle name="Header2 3 2 2 3 2 2 2" xfId="8809" xr:uid="{00000000-0005-0000-0000-000069220000}"/>
    <cellStyle name="Header2 3 2 2 3 2 2 3" xfId="8810" xr:uid="{00000000-0005-0000-0000-00006A220000}"/>
    <cellStyle name="Header2 3 2 2 3 2 3" xfId="8811" xr:uid="{00000000-0005-0000-0000-00006B220000}"/>
    <cellStyle name="Header2 3 2 2 3 3" xfId="8812" xr:uid="{00000000-0005-0000-0000-00006C220000}"/>
    <cellStyle name="Header2 3 2 2 3 3 2" xfId="8813" xr:uid="{00000000-0005-0000-0000-00006D220000}"/>
    <cellStyle name="Header2 3 2 2 3 3 3" xfId="8814" xr:uid="{00000000-0005-0000-0000-00006E220000}"/>
    <cellStyle name="Header2 3 2 2 3 4" xfId="8815" xr:uid="{00000000-0005-0000-0000-00006F220000}"/>
    <cellStyle name="Header2 3 2 2 4" xfId="8816" xr:uid="{00000000-0005-0000-0000-000070220000}"/>
    <cellStyle name="Header2 3 2 2 4 2" xfId="8817" xr:uid="{00000000-0005-0000-0000-000071220000}"/>
    <cellStyle name="Header2 3 2 2 4 2 2" xfId="8818" xr:uid="{00000000-0005-0000-0000-000072220000}"/>
    <cellStyle name="Header2 3 2 2 4 2 3" xfId="8819" xr:uid="{00000000-0005-0000-0000-000073220000}"/>
    <cellStyle name="Header2 3 2 2 4 3" xfId="8820" xr:uid="{00000000-0005-0000-0000-000074220000}"/>
    <cellStyle name="Header2 3 2 2 5" xfId="8821" xr:uid="{00000000-0005-0000-0000-000075220000}"/>
    <cellStyle name="Header2 3 2 2 5 2" xfId="8822" xr:uid="{00000000-0005-0000-0000-000076220000}"/>
    <cellStyle name="Header2 3 2 2 5 3" xfId="8823" xr:uid="{00000000-0005-0000-0000-000077220000}"/>
    <cellStyle name="Header2 3 2 2 6" xfId="8824" xr:uid="{00000000-0005-0000-0000-000078220000}"/>
    <cellStyle name="Header2 3 2 3" xfId="8825" xr:uid="{00000000-0005-0000-0000-000079220000}"/>
    <cellStyle name="Header2 3 3" xfId="8826" xr:uid="{00000000-0005-0000-0000-00007A220000}"/>
    <cellStyle name="Header2 3 3 2" xfId="8827" xr:uid="{00000000-0005-0000-0000-00007B220000}"/>
    <cellStyle name="Header2 3 3 2 2" xfId="8828" xr:uid="{00000000-0005-0000-0000-00007C220000}"/>
    <cellStyle name="Header2 3 3 2 2 2" xfId="8829" xr:uid="{00000000-0005-0000-0000-00007D220000}"/>
    <cellStyle name="Header2 3 3 2 2 2 2" xfId="8830" xr:uid="{00000000-0005-0000-0000-00007E220000}"/>
    <cellStyle name="Header2 3 3 2 2 2 3" xfId="8831" xr:uid="{00000000-0005-0000-0000-00007F220000}"/>
    <cellStyle name="Header2 3 3 2 2 3" xfId="8832" xr:uid="{00000000-0005-0000-0000-000080220000}"/>
    <cellStyle name="Header2 3 3 2 3" xfId="8833" xr:uid="{00000000-0005-0000-0000-000081220000}"/>
    <cellStyle name="Header2 3 3 3" xfId="8834" xr:uid="{00000000-0005-0000-0000-000082220000}"/>
    <cellStyle name="Header2 3 3 3 2" xfId="8835" xr:uid="{00000000-0005-0000-0000-000083220000}"/>
    <cellStyle name="Header2 3 3 3 2 2" xfId="8836" xr:uid="{00000000-0005-0000-0000-000084220000}"/>
    <cellStyle name="Header2 3 3 3 2 2 2" xfId="8837" xr:uid="{00000000-0005-0000-0000-000085220000}"/>
    <cellStyle name="Header2 3 3 3 2 2 3" xfId="8838" xr:uid="{00000000-0005-0000-0000-000086220000}"/>
    <cellStyle name="Header2 3 3 3 2 3" xfId="8839" xr:uid="{00000000-0005-0000-0000-000087220000}"/>
    <cellStyle name="Header2 3 3 3 3" xfId="8840" xr:uid="{00000000-0005-0000-0000-000088220000}"/>
    <cellStyle name="Header2 3 3 3 3 2" xfId="8841" xr:uid="{00000000-0005-0000-0000-000089220000}"/>
    <cellStyle name="Header2 3 3 3 3 3" xfId="8842" xr:uid="{00000000-0005-0000-0000-00008A220000}"/>
    <cellStyle name="Header2 3 3 3 4" xfId="8843" xr:uid="{00000000-0005-0000-0000-00008B220000}"/>
    <cellStyle name="Header2 3 3 4" xfId="8844" xr:uid="{00000000-0005-0000-0000-00008C220000}"/>
    <cellStyle name="Header2 3 3 4 2" xfId="8845" xr:uid="{00000000-0005-0000-0000-00008D220000}"/>
    <cellStyle name="Header2 3 3 4 2 2" xfId="8846" xr:uid="{00000000-0005-0000-0000-00008E220000}"/>
    <cellStyle name="Header2 3 3 4 2 3" xfId="8847" xr:uid="{00000000-0005-0000-0000-00008F220000}"/>
    <cellStyle name="Header2 3 3 4 3" xfId="8848" xr:uid="{00000000-0005-0000-0000-000090220000}"/>
    <cellStyle name="Header2 3 3 5" xfId="8849" xr:uid="{00000000-0005-0000-0000-000091220000}"/>
    <cellStyle name="Header2 3 3 5 2" xfId="8850" xr:uid="{00000000-0005-0000-0000-000092220000}"/>
    <cellStyle name="Header2 3 3 5 3" xfId="8851" xr:uid="{00000000-0005-0000-0000-000093220000}"/>
    <cellStyle name="Header2 3 3 6" xfId="8852" xr:uid="{00000000-0005-0000-0000-000094220000}"/>
    <cellStyle name="Header2 3 4" xfId="8853" xr:uid="{00000000-0005-0000-0000-000095220000}"/>
    <cellStyle name="Header2 4" xfId="8854" xr:uid="{00000000-0005-0000-0000-000096220000}"/>
    <cellStyle name="Header2 4 2" xfId="8855" xr:uid="{00000000-0005-0000-0000-000097220000}"/>
    <cellStyle name="Header2 4 2 2" xfId="8856" xr:uid="{00000000-0005-0000-0000-000098220000}"/>
    <cellStyle name="Header2 4 2 2 2" xfId="8857" xr:uid="{00000000-0005-0000-0000-000099220000}"/>
    <cellStyle name="Header2 4 2 2 2 2" xfId="8858" xr:uid="{00000000-0005-0000-0000-00009A220000}"/>
    <cellStyle name="Header2 4 2 2 2 2 2" xfId="8859" xr:uid="{00000000-0005-0000-0000-00009B220000}"/>
    <cellStyle name="Header2 4 2 2 2 2 3" xfId="8860" xr:uid="{00000000-0005-0000-0000-00009C220000}"/>
    <cellStyle name="Header2 4 2 2 2 3" xfId="8861" xr:uid="{00000000-0005-0000-0000-00009D220000}"/>
    <cellStyle name="Header2 4 2 2 3" xfId="8862" xr:uid="{00000000-0005-0000-0000-00009E220000}"/>
    <cellStyle name="Header2 4 2 3" xfId="8863" xr:uid="{00000000-0005-0000-0000-00009F220000}"/>
    <cellStyle name="Header2 4 2 3 2" xfId="8864" xr:uid="{00000000-0005-0000-0000-0000A0220000}"/>
    <cellStyle name="Header2 4 2 3 2 2" xfId="8865" xr:uid="{00000000-0005-0000-0000-0000A1220000}"/>
    <cellStyle name="Header2 4 2 3 2 2 2" xfId="8866" xr:uid="{00000000-0005-0000-0000-0000A2220000}"/>
    <cellStyle name="Header2 4 2 3 2 2 3" xfId="8867" xr:uid="{00000000-0005-0000-0000-0000A3220000}"/>
    <cellStyle name="Header2 4 2 3 2 3" xfId="8868" xr:uid="{00000000-0005-0000-0000-0000A4220000}"/>
    <cellStyle name="Header2 4 2 3 3" xfId="8869" xr:uid="{00000000-0005-0000-0000-0000A5220000}"/>
    <cellStyle name="Header2 4 2 3 3 2" xfId="8870" xr:uid="{00000000-0005-0000-0000-0000A6220000}"/>
    <cellStyle name="Header2 4 2 3 3 3" xfId="8871" xr:uid="{00000000-0005-0000-0000-0000A7220000}"/>
    <cellStyle name="Header2 4 2 3 4" xfId="8872" xr:uid="{00000000-0005-0000-0000-0000A8220000}"/>
    <cellStyle name="Header2 4 2 4" xfId="8873" xr:uid="{00000000-0005-0000-0000-0000A9220000}"/>
    <cellStyle name="Header2 4 2 4 2" xfId="8874" xr:uid="{00000000-0005-0000-0000-0000AA220000}"/>
    <cellStyle name="Header2 4 2 4 2 2" xfId="8875" xr:uid="{00000000-0005-0000-0000-0000AB220000}"/>
    <cellStyle name="Header2 4 2 4 2 3" xfId="8876" xr:uid="{00000000-0005-0000-0000-0000AC220000}"/>
    <cellStyle name="Header2 4 2 4 3" xfId="8877" xr:uid="{00000000-0005-0000-0000-0000AD220000}"/>
    <cellStyle name="Header2 4 2 5" xfId="8878" xr:uid="{00000000-0005-0000-0000-0000AE220000}"/>
    <cellStyle name="Header2 4 2 5 2" xfId="8879" xr:uid="{00000000-0005-0000-0000-0000AF220000}"/>
    <cellStyle name="Header2 4 2 5 3" xfId="8880" xr:uid="{00000000-0005-0000-0000-0000B0220000}"/>
    <cellStyle name="Header2 4 2 6" xfId="8881" xr:uid="{00000000-0005-0000-0000-0000B1220000}"/>
    <cellStyle name="Header2 4 3" xfId="8882" xr:uid="{00000000-0005-0000-0000-0000B2220000}"/>
    <cellStyle name="Header2 5" xfId="8883" xr:uid="{00000000-0005-0000-0000-0000B3220000}"/>
    <cellStyle name="Header2 5 2" xfId="8884" xr:uid="{00000000-0005-0000-0000-0000B4220000}"/>
    <cellStyle name="Header2 5 2 2" xfId="8885" xr:uid="{00000000-0005-0000-0000-0000B5220000}"/>
    <cellStyle name="Header2 5 2 2 2" xfId="8886" xr:uid="{00000000-0005-0000-0000-0000B6220000}"/>
    <cellStyle name="Header2 5 2 2 3" xfId="8887" xr:uid="{00000000-0005-0000-0000-0000B7220000}"/>
    <cellStyle name="Header2 5 2 3" xfId="8888" xr:uid="{00000000-0005-0000-0000-0000B8220000}"/>
    <cellStyle name="Header2 5 3" xfId="8889" xr:uid="{00000000-0005-0000-0000-0000B9220000}"/>
    <cellStyle name="Header2 6" xfId="8890" xr:uid="{00000000-0005-0000-0000-0000BA220000}"/>
    <cellStyle name="Header2 6 2" xfId="8891" xr:uid="{00000000-0005-0000-0000-0000BB220000}"/>
    <cellStyle name="Header2 6 2 2" xfId="8892" xr:uid="{00000000-0005-0000-0000-0000BC220000}"/>
    <cellStyle name="Header2 6 2 2 2" xfId="8893" xr:uid="{00000000-0005-0000-0000-0000BD220000}"/>
    <cellStyle name="Header2 6 2 2 2 2" xfId="8894" xr:uid="{00000000-0005-0000-0000-0000BE220000}"/>
    <cellStyle name="Header2 6 2 2 2 3" xfId="8895" xr:uid="{00000000-0005-0000-0000-0000BF220000}"/>
    <cellStyle name="Header2 6 2 2 3" xfId="8896" xr:uid="{00000000-0005-0000-0000-0000C0220000}"/>
    <cellStyle name="Header2 6 2 3" xfId="8897" xr:uid="{00000000-0005-0000-0000-0000C1220000}"/>
    <cellStyle name="Header2 6 3" xfId="8898" xr:uid="{00000000-0005-0000-0000-0000C2220000}"/>
    <cellStyle name="Header2 6 3 2" xfId="8899" xr:uid="{00000000-0005-0000-0000-0000C3220000}"/>
    <cellStyle name="Header2 6 3 2 2" xfId="8900" xr:uid="{00000000-0005-0000-0000-0000C4220000}"/>
    <cellStyle name="Header2 6 3 2 2 2" xfId="8901" xr:uid="{00000000-0005-0000-0000-0000C5220000}"/>
    <cellStyle name="Header2 6 3 2 2 3" xfId="8902" xr:uid="{00000000-0005-0000-0000-0000C6220000}"/>
    <cellStyle name="Header2 6 3 2 3" xfId="8903" xr:uid="{00000000-0005-0000-0000-0000C7220000}"/>
    <cellStyle name="Header2 6 3 3" xfId="8904" xr:uid="{00000000-0005-0000-0000-0000C8220000}"/>
    <cellStyle name="Header2 6 3 3 2" xfId="8905" xr:uid="{00000000-0005-0000-0000-0000C9220000}"/>
    <cellStyle name="Header2 6 3 3 3" xfId="8906" xr:uid="{00000000-0005-0000-0000-0000CA220000}"/>
    <cellStyle name="Header2 6 3 4" xfId="8907" xr:uid="{00000000-0005-0000-0000-0000CB220000}"/>
    <cellStyle name="Header2 6 4" xfId="8908" xr:uid="{00000000-0005-0000-0000-0000CC220000}"/>
    <cellStyle name="Header2 6 4 2" xfId="8909" xr:uid="{00000000-0005-0000-0000-0000CD220000}"/>
    <cellStyle name="Header2 6 4 2 2" xfId="8910" xr:uid="{00000000-0005-0000-0000-0000CE220000}"/>
    <cellStyle name="Header2 6 4 2 3" xfId="8911" xr:uid="{00000000-0005-0000-0000-0000CF220000}"/>
    <cellStyle name="Header2 6 4 3" xfId="8912" xr:uid="{00000000-0005-0000-0000-0000D0220000}"/>
    <cellStyle name="Header2 6 5" xfId="8913" xr:uid="{00000000-0005-0000-0000-0000D1220000}"/>
    <cellStyle name="Header2 6 5 2" xfId="8914" xr:uid="{00000000-0005-0000-0000-0000D2220000}"/>
    <cellStyle name="Header2 6 5 3" xfId="8915" xr:uid="{00000000-0005-0000-0000-0000D3220000}"/>
    <cellStyle name="Header2 6 6" xfId="8916" xr:uid="{00000000-0005-0000-0000-0000D4220000}"/>
    <cellStyle name="Header2 7" xfId="8917" xr:uid="{00000000-0005-0000-0000-0000D5220000}"/>
    <cellStyle name="Heading 1 2" xfId="8918" xr:uid="{00000000-0005-0000-0000-0000D6220000}"/>
    <cellStyle name="Heading 1 2 10" xfId="8919" xr:uid="{00000000-0005-0000-0000-0000D7220000}"/>
    <cellStyle name="Heading 1 2 10 2" xfId="8920" xr:uid="{00000000-0005-0000-0000-0000D8220000}"/>
    <cellStyle name="Heading 1 2 11" xfId="8921" xr:uid="{00000000-0005-0000-0000-0000D9220000}"/>
    <cellStyle name="Heading 1 2 12" xfId="8922" xr:uid="{00000000-0005-0000-0000-0000DA220000}"/>
    <cellStyle name="Heading 1 2 2" xfId="8923" xr:uid="{00000000-0005-0000-0000-0000DB220000}"/>
    <cellStyle name="Heading 1 2 2 2" xfId="8924" xr:uid="{00000000-0005-0000-0000-0000DC220000}"/>
    <cellStyle name="Heading 1 2 2 2 2" xfId="8925" xr:uid="{00000000-0005-0000-0000-0000DD220000}"/>
    <cellStyle name="Heading 1 2 2 3" xfId="8926" xr:uid="{00000000-0005-0000-0000-0000DE220000}"/>
    <cellStyle name="Heading 1 2 2 3 2" xfId="8927" xr:uid="{00000000-0005-0000-0000-0000DF220000}"/>
    <cellStyle name="Heading 1 2 2 3 2 2" xfId="8928" xr:uid="{00000000-0005-0000-0000-0000E0220000}"/>
    <cellStyle name="Heading 1 2 2 3 3" xfId="8929" xr:uid="{00000000-0005-0000-0000-0000E1220000}"/>
    <cellStyle name="Heading 1 2 2 4" xfId="8930" xr:uid="{00000000-0005-0000-0000-0000E2220000}"/>
    <cellStyle name="Heading 1 2 3" xfId="8931" xr:uid="{00000000-0005-0000-0000-0000E3220000}"/>
    <cellStyle name="Heading 1 2 3 2" xfId="8932" xr:uid="{00000000-0005-0000-0000-0000E4220000}"/>
    <cellStyle name="Heading 1 2 3 2 2" xfId="8933" xr:uid="{00000000-0005-0000-0000-0000E5220000}"/>
    <cellStyle name="Heading 1 2 3 3" xfId="8934" xr:uid="{00000000-0005-0000-0000-0000E6220000}"/>
    <cellStyle name="Heading 1 2 3 3 2" xfId="8935" xr:uid="{00000000-0005-0000-0000-0000E7220000}"/>
    <cellStyle name="Heading 1 2 3 3 2 2" xfId="8936" xr:uid="{00000000-0005-0000-0000-0000E8220000}"/>
    <cellStyle name="Heading 1 2 3 3 3" xfId="8937" xr:uid="{00000000-0005-0000-0000-0000E9220000}"/>
    <cellStyle name="Heading 1 2 3 4" xfId="8938" xr:uid="{00000000-0005-0000-0000-0000EA220000}"/>
    <cellStyle name="Heading 1 2 4" xfId="8939" xr:uid="{00000000-0005-0000-0000-0000EB220000}"/>
    <cellStyle name="Heading 1 2 4 2" xfId="8940" xr:uid="{00000000-0005-0000-0000-0000EC220000}"/>
    <cellStyle name="Heading 1 2 4 2 2" xfId="8941" xr:uid="{00000000-0005-0000-0000-0000ED220000}"/>
    <cellStyle name="Heading 1 2 4 3" xfId="8942" xr:uid="{00000000-0005-0000-0000-0000EE220000}"/>
    <cellStyle name="Heading 1 2 5" xfId="8943" xr:uid="{00000000-0005-0000-0000-0000EF220000}"/>
    <cellStyle name="Heading 1 2 5 2" xfId="8944" xr:uid="{00000000-0005-0000-0000-0000F0220000}"/>
    <cellStyle name="Heading 1 2 5 2 2" xfId="8945" xr:uid="{00000000-0005-0000-0000-0000F1220000}"/>
    <cellStyle name="Heading 1 2 5 3" xfId="8946" xr:uid="{00000000-0005-0000-0000-0000F2220000}"/>
    <cellStyle name="Heading 1 2 5 3 2" xfId="8947" xr:uid="{00000000-0005-0000-0000-0000F3220000}"/>
    <cellStyle name="Heading 1 2 5 3 2 2" xfId="8948" xr:uid="{00000000-0005-0000-0000-0000F4220000}"/>
    <cellStyle name="Heading 1 2 5 3 3" xfId="8949" xr:uid="{00000000-0005-0000-0000-0000F5220000}"/>
    <cellStyle name="Heading 1 2 5 4" xfId="8950" xr:uid="{00000000-0005-0000-0000-0000F6220000}"/>
    <cellStyle name="Heading 1 2 6" xfId="8951" xr:uid="{00000000-0005-0000-0000-0000F7220000}"/>
    <cellStyle name="Heading 1 2 6 2" xfId="8952" xr:uid="{00000000-0005-0000-0000-0000F8220000}"/>
    <cellStyle name="Heading 1 2 7" xfId="8953" xr:uid="{00000000-0005-0000-0000-0000F9220000}"/>
    <cellStyle name="Heading 1 2 7 2" xfId="8954" xr:uid="{00000000-0005-0000-0000-0000FA220000}"/>
    <cellStyle name="Heading 1 2 8" xfId="8955" xr:uid="{00000000-0005-0000-0000-0000FB220000}"/>
    <cellStyle name="Heading 1 2 8 2" xfId="8956" xr:uid="{00000000-0005-0000-0000-0000FC220000}"/>
    <cellStyle name="Heading 1 2 8 2 2" xfId="8957" xr:uid="{00000000-0005-0000-0000-0000FD220000}"/>
    <cellStyle name="Heading 1 2 8 3" xfId="8958" xr:uid="{00000000-0005-0000-0000-0000FE220000}"/>
    <cellStyle name="Heading 1 2 9" xfId="8959" xr:uid="{00000000-0005-0000-0000-0000FF220000}"/>
    <cellStyle name="Heading 1 2 9 2" xfId="8960" xr:uid="{00000000-0005-0000-0000-000000230000}"/>
    <cellStyle name="Heading 1 2 9 2 2" xfId="8961" xr:uid="{00000000-0005-0000-0000-000001230000}"/>
    <cellStyle name="Heading 1 2 9 3" xfId="8962" xr:uid="{00000000-0005-0000-0000-000002230000}"/>
    <cellStyle name="Heading 1 3" xfId="8963" xr:uid="{00000000-0005-0000-0000-000003230000}"/>
    <cellStyle name="Heading 1 3 2" xfId="8964" xr:uid="{00000000-0005-0000-0000-000004230000}"/>
    <cellStyle name="Heading 1 3 2 2" xfId="8965" xr:uid="{00000000-0005-0000-0000-000005230000}"/>
    <cellStyle name="Heading 1 3 3" xfId="8966" xr:uid="{00000000-0005-0000-0000-000006230000}"/>
    <cellStyle name="Heading 1 3 3 2" xfId="8967" xr:uid="{00000000-0005-0000-0000-000007230000}"/>
    <cellStyle name="Heading 1 3 4" xfId="8968" xr:uid="{00000000-0005-0000-0000-000008230000}"/>
    <cellStyle name="Heading 1 3 4 2" xfId="8969" xr:uid="{00000000-0005-0000-0000-000009230000}"/>
    <cellStyle name="Heading 1 3 4 2 2" xfId="8970" xr:uid="{00000000-0005-0000-0000-00000A230000}"/>
    <cellStyle name="Heading 1 3 4 3" xfId="8971" xr:uid="{00000000-0005-0000-0000-00000B230000}"/>
    <cellStyle name="Heading 1 3 5" xfId="8972" xr:uid="{00000000-0005-0000-0000-00000C230000}"/>
    <cellStyle name="Heading 1 4" xfId="8973" xr:uid="{00000000-0005-0000-0000-00000D230000}"/>
    <cellStyle name="Heading 1 4 2" xfId="8974" xr:uid="{00000000-0005-0000-0000-00000E230000}"/>
    <cellStyle name="Heading 1 4 2 2" xfId="8975" xr:uid="{00000000-0005-0000-0000-00000F230000}"/>
    <cellStyle name="Heading 1 4 3" xfId="8976" xr:uid="{00000000-0005-0000-0000-000010230000}"/>
    <cellStyle name="Heading 1 4 3 2" xfId="8977" xr:uid="{00000000-0005-0000-0000-000011230000}"/>
    <cellStyle name="Heading 1 4 3 2 2" xfId="8978" xr:uid="{00000000-0005-0000-0000-000012230000}"/>
    <cellStyle name="Heading 1 4 3 3" xfId="8979" xr:uid="{00000000-0005-0000-0000-000013230000}"/>
    <cellStyle name="Heading 1 4 4" xfId="8980" xr:uid="{00000000-0005-0000-0000-000014230000}"/>
    <cellStyle name="Heading 1 5" xfId="8981" xr:uid="{00000000-0005-0000-0000-000015230000}"/>
    <cellStyle name="Heading 1 5 2" xfId="8982" xr:uid="{00000000-0005-0000-0000-000016230000}"/>
    <cellStyle name="Heading 1 5 2 2" xfId="8983" xr:uid="{00000000-0005-0000-0000-000017230000}"/>
    <cellStyle name="Heading 1 5 3" xfId="8984" xr:uid="{00000000-0005-0000-0000-000018230000}"/>
    <cellStyle name="Heading 1 5 3 2" xfId="8985" xr:uid="{00000000-0005-0000-0000-000019230000}"/>
    <cellStyle name="Heading 1 5 3 2 2" xfId="8986" xr:uid="{00000000-0005-0000-0000-00001A230000}"/>
    <cellStyle name="Heading 1 5 3 3" xfId="8987" xr:uid="{00000000-0005-0000-0000-00001B230000}"/>
    <cellStyle name="Heading 1 5 4" xfId="8988" xr:uid="{00000000-0005-0000-0000-00001C230000}"/>
    <cellStyle name="Heading 1 6" xfId="8989" xr:uid="{00000000-0005-0000-0000-00001D230000}"/>
    <cellStyle name="Heading 1 6 2" xfId="8990" xr:uid="{00000000-0005-0000-0000-00001E230000}"/>
    <cellStyle name="Heading 1 6 2 2" xfId="8991" xr:uid="{00000000-0005-0000-0000-00001F230000}"/>
    <cellStyle name="Heading 1 6 3" xfId="8992" xr:uid="{00000000-0005-0000-0000-000020230000}"/>
    <cellStyle name="Heading 1 7" xfId="8993" xr:uid="{00000000-0005-0000-0000-000021230000}"/>
    <cellStyle name="Heading 1 7 2" xfId="8994" xr:uid="{00000000-0005-0000-0000-000022230000}"/>
    <cellStyle name="Heading 1 8" xfId="8995" xr:uid="{00000000-0005-0000-0000-000023230000}"/>
    <cellStyle name="Heading 1 9" xfId="8996" xr:uid="{00000000-0005-0000-0000-000024230000}"/>
    <cellStyle name="Heading 2 2" xfId="8997" xr:uid="{00000000-0005-0000-0000-000025230000}"/>
    <cellStyle name="Heading 2 2 10" xfId="8998" xr:uid="{00000000-0005-0000-0000-000026230000}"/>
    <cellStyle name="Heading 2 2 10 2" xfId="8999" xr:uid="{00000000-0005-0000-0000-000027230000}"/>
    <cellStyle name="Heading 2 2 11" xfId="9000" xr:uid="{00000000-0005-0000-0000-000028230000}"/>
    <cellStyle name="Heading 2 2 12" xfId="9001" xr:uid="{00000000-0005-0000-0000-000029230000}"/>
    <cellStyle name="Heading 2 2 2" xfId="9002" xr:uid="{00000000-0005-0000-0000-00002A230000}"/>
    <cellStyle name="Heading 2 2 2 2" xfId="9003" xr:uid="{00000000-0005-0000-0000-00002B230000}"/>
    <cellStyle name="Heading 2 2 2 2 2" xfId="9004" xr:uid="{00000000-0005-0000-0000-00002C230000}"/>
    <cellStyle name="Heading 2 2 2 3" xfId="9005" xr:uid="{00000000-0005-0000-0000-00002D230000}"/>
    <cellStyle name="Heading 2 2 2 3 2" xfId="9006" xr:uid="{00000000-0005-0000-0000-00002E230000}"/>
    <cellStyle name="Heading 2 2 2 3 2 2" xfId="9007" xr:uid="{00000000-0005-0000-0000-00002F230000}"/>
    <cellStyle name="Heading 2 2 2 3 3" xfId="9008" xr:uid="{00000000-0005-0000-0000-000030230000}"/>
    <cellStyle name="Heading 2 2 2 4" xfId="9009" xr:uid="{00000000-0005-0000-0000-000031230000}"/>
    <cellStyle name="Heading 2 2 3" xfId="9010" xr:uid="{00000000-0005-0000-0000-000032230000}"/>
    <cellStyle name="Heading 2 2 3 2" xfId="9011" xr:uid="{00000000-0005-0000-0000-000033230000}"/>
    <cellStyle name="Heading 2 2 3 2 2" xfId="9012" xr:uid="{00000000-0005-0000-0000-000034230000}"/>
    <cellStyle name="Heading 2 2 3 3" xfId="9013" xr:uid="{00000000-0005-0000-0000-000035230000}"/>
    <cellStyle name="Heading 2 2 3 3 2" xfId="9014" xr:uid="{00000000-0005-0000-0000-000036230000}"/>
    <cellStyle name="Heading 2 2 3 3 2 2" xfId="9015" xr:uid="{00000000-0005-0000-0000-000037230000}"/>
    <cellStyle name="Heading 2 2 3 3 3" xfId="9016" xr:uid="{00000000-0005-0000-0000-000038230000}"/>
    <cellStyle name="Heading 2 2 3 4" xfId="9017" xr:uid="{00000000-0005-0000-0000-000039230000}"/>
    <cellStyle name="Heading 2 2 4" xfId="9018" xr:uid="{00000000-0005-0000-0000-00003A230000}"/>
    <cellStyle name="Heading 2 2 4 2" xfId="9019" xr:uid="{00000000-0005-0000-0000-00003B230000}"/>
    <cellStyle name="Heading 2 2 4 2 2" xfId="9020" xr:uid="{00000000-0005-0000-0000-00003C230000}"/>
    <cellStyle name="Heading 2 2 4 3" xfId="9021" xr:uid="{00000000-0005-0000-0000-00003D230000}"/>
    <cellStyle name="Heading 2 2 5" xfId="9022" xr:uid="{00000000-0005-0000-0000-00003E230000}"/>
    <cellStyle name="Heading 2 2 5 2" xfId="9023" xr:uid="{00000000-0005-0000-0000-00003F230000}"/>
    <cellStyle name="Heading 2 2 5 2 2" xfId="9024" xr:uid="{00000000-0005-0000-0000-000040230000}"/>
    <cellStyle name="Heading 2 2 5 3" xfId="9025" xr:uid="{00000000-0005-0000-0000-000041230000}"/>
    <cellStyle name="Heading 2 2 5 3 2" xfId="9026" xr:uid="{00000000-0005-0000-0000-000042230000}"/>
    <cellStyle name="Heading 2 2 5 3 2 2" xfId="9027" xr:uid="{00000000-0005-0000-0000-000043230000}"/>
    <cellStyle name="Heading 2 2 5 3 3" xfId="9028" xr:uid="{00000000-0005-0000-0000-000044230000}"/>
    <cellStyle name="Heading 2 2 5 4" xfId="9029" xr:uid="{00000000-0005-0000-0000-000045230000}"/>
    <cellStyle name="Heading 2 2 6" xfId="9030" xr:uid="{00000000-0005-0000-0000-000046230000}"/>
    <cellStyle name="Heading 2 2 6 2" xfId="9031" xr:uid="{00000000-0005-0000-0000-000047230000}"/>
    <cellStyle name="Heading 2 2 6 2 2" xfId="9032" xr:uid="{00000000-0005-0000-0000-000048230000}"/>
    <cellStyle name="Heading 2 2 6 3" xfId="9033" xr:uid="{00000000-0005-0000-0000-000049230000}"/>
    <cellStyle name="Heading 2 2 6 3 2" xfId="9034" xr:uid="{00000000-0005-0000-0000-00004A230000}"/>
    <cellStyle name="Heading 2 2 6 4" xfId="9035" xr:uid="{00000000-0005-0000-0000-00004B230000}"/>
    <cellStyle name="Heading 2 2 7" xfId="9036" xr:uid="{00000000-0005-0000-0000-00004C230000}"/>
    <cellStyle name="Heading 2 2 7 2" xfId="9037" xr:uid="{00000000-0005-0000-0000-00004D230000}"/>
    <cellStyle name="Heading 2 2 8" xfId="9038" xr:uid="{00000000-0005-0000-0000-00004E230000}"/>
    <cellStyle name="Heading 2 2 8 2" xfId="9039" xr:uid="{00000000-0005-0000-0000-00004F230000}"/>
    <cellStyle name="Heading 2 2 8 2 2" xfId="9040" xr:uid="{00000000-0005-0000-0000-000050230000}"/>
    <cellStyle name="Heading 2 2 8 3" xfId="9041" xr:uid="{00000000-0005-0000-0000-000051230000}"/>
    <cellStyle name="Heading 2 2 9" xfId="9042" xr:uid="{00000000-0005-0000-0000-000052230000}"/>
    <cellStyle name="Heading 2 2 9 2" xfId="9043" xr:uid="{00000000-0005-0000-0000-000053230000}"/>
    <cellStyle name="Heading 2 2 9 2 2" xfId="9044" xr:uid="{00000000-0005-0000-0000-000054230000}"/>
    <cellStyle name="Heading 2 2 9 3" xfId="9045" xr:uid="{00000000-0005-0000-0000-000055230000}"/>
    <cellStyle name="Heading 2 3" xfId="9046" xr:uid="{00000000-0005-0000-0000-000056230000}"/>
    <cellStyle name="Heading 2 3 2" xfId="9047" xr:uid="{00000000-0005-0000-0000-000057230000}"/>
    <cellStyle name="Heading 2 3 2 2" xfId="9048" xr:uid="{00000000-0005-0000-0000-000058230000}"/>
    <cellStyle name="Heading 2 3 3" xfId="9049" xr:uid="{00000000-0005-0000-0000-000059230000}"/>
    <cellStyle name="Heading 2 3 3 2" xfId="9050" xr:uid="{00000000-0005-0000-0000-00005A230000}"/>
    <cellStyle name="Heading 2 3 4" xfId="9051" xr:uid="{00000000-0005-0000-0000-00005B230000}"/>
    <cellStyle name="Heading 2 3 4 2" xfId="9052" xr:uid="{00000000-0005-0000-0000-00005C230000}"/>
    <cellStyle name="Heading 2 3 4 2 2" xfId="9053" xr:uid="{00000000-0005-0000-0000-00005D230000}"/>
    <cellStyle name="Heading 2 3 4 3" xfId="9054" xr:uid="{00000000-0005-0000-0000-00005E230000}"/>
    <cellStyle name="Heading 2 3 5" xfId="9055" xr:uid="{00000000-0005-0000-0000-00005F230000}"/>
    <cellStyle name="Heading 2 4" xfId="9056" xr:uid="{00000000-0005-0000-0000-000060230000}"/>
    <cellStyle name="Heading 2 4 2" xfId="9057" xr:uid="{00000000-0005-0000-0000-000061230000}"/>
    <cellStyle name="Heading 2 4 2 2" xfId="9058" xr:uid="{00000000-0005-0000-0000-000062230000}"/>
    <cellStyle name="Heading 2 4 3" xfId="9059" xr:uid="{00000000-0005-0000-0000-000063230000}"/>
    <cellStyle name="Heading 2 4 3 2" xfId="9060" xr:uid="{00000000-0005-0000-0000-000064230000}"/>
    <cellStyle name="Heading 2 4 3 2 2" xfId="9061" xr:uid="{00000000-0005-0000-0000-000065230000}"/>
    <cellStyle name="Heading 2 4 3 3" xfId="9062" xr:uid="{00000000-0005-0000-0000-000066230000}"/>
    <cellStyle name="Heading 2 4 4" xfId="9063" xr:uid="{00000000-0005-0000-0000-000067230000}"/>
    <cellStyle name="Heading 2 5" xfId="9064" xr:uid="{00000000-0005-0000-0000-000068230000}"/>
    <cellStyle name="Heading 2 5 2" xfId="9065" xr:uid="{00000000-0005-0000-0000-000069230000}"/>
    <cellStyle name="Heading 2 5 2 2" xfId="9066" xr:uid="{00000000-0005-0000-0000-00006A230000}"/>
    <cellStyle name="Heading 2 5 3" xfId="9067" xr:uid="{00000000-0005-0000-0000-00006B230000}"/>
    <cellStyle name="Heading 2 5 3 2" xfId="9068" xr:uid="{00000000-0005-0000-0000-00006C230000}"/>
    <cellStyle name="Heading 2 5 3 2 2" xfId="9069" xr:uid="{00000000-0005-0000-0000-00006D230000}"/>
    <cellStyle name="Heading 2 5 3 3" xfId="9070" xr:uid="{00000000-0005-0000-0000-00006E230000}"/>
    <cellStyle name="Heading 2 5 4" xfId="9071" xr:uid="{00000000-0005-0000-0000-00006F230000}"/>
    <cellStyle name="Heading 2 6" xfId="9072" xr:uid="{00000000-0005-0000-0000-000070230000}"/>
    <cellStyle name="Heading 2 6 2" xfId="9073" xr:uid="{00000000-0005-0000-0000-000071230000}"/>
    <cellStyle name="Heading 2 6 2 2" xfId="9074" xr:uid="{00000000-0005-0000-0000-000072230000}"/>
    <cellStyle name="Heading 2 6 3" xfId="9075" xr:uid="{00000000-0005-0000-0000-000073230000}"/>
    <cellStyle name="Heading 2 7" xfId="9076" xr:uid="{00000000-0005-0000-0000-000074230000}"/>
    <cellStyle name="Heading 2 7 2" xfId="9077" xr:uid="{00000000-0005-0000-0000-000075230000}"/>
    <cellStyle name="Heading 2 8" xfId="9078" xr:uid="{00000000-0005-0000-0000-000076230000}"/>
    <cellStyle name="Heading 2 9" xfId="9079" xr:uid="{00000000-0005-0000-0000-000077230000}"/>
    <cellStyle name="Heading 3 2" xfId="9080" xr:uid="{00000000-0005-0000-0000-000078230000}"/>
    <cellStyle name="Heading 3 2 10" xfId="9081" xr:uid="{00000000-0005-0000-0000-000079230000}"/>
    <cellStyle name="Heading 3 2 10 2" xfId="9082" xr:uid="{00000000-0005-0000-0000-00007A230000}"/>
    <cellStyle name="Heading 3 2 11" xfId="9083" xr:uid="{00000000-0005-0000-0000-00007B230000}"/>
    <cellStyle name="Heading 3 2 12" xfId="9084" xr:uid="{00000000-0005-0000-0000-00007C230000}"/>
    <cellStyle name="Heading 3 2 2" xfId="9085" xr:uid="{00000000-0005-0000-0000-00007D230000}"/>
    <cellStyle name="Heading 3 2 2 2" xfId="9086" xr:uid="{00000000-0005-0000-0000-00007E230000}"/>
    <cellStyle name="Heading 3 2 2 2 2" xfId="9087" xr:uid="{00000000-0005-0000-0000-00007F230000}"/>
    <cellStyle name="Heading 3 2 2 3" xfId="9088" xr:uid="{00000000-0005-0000-0000-000080230000}"/>
    <cellStyle name="Heading 3 2 2 3 2" xfId="9089" xr:uid="{00000000-0005-0000-0000-000081230000}"/>
    <cellStyle name="Heading 3 2 2 3 2 2" xfId="9090" xr:uid="{00000000-0005-0000-0000-000082230000}"/>
    <cellStyle name="Heading 3 2 2 3 3" xfId="9091" xr:uid="{00000000-0005-0000-0000-000083230000}"/>
    <cellStyle name="Heading 3 2 2 4" xfId="9092" xr:uid="{00000000-0005-0000-0000-000084230000}"/>
    <cellStyle name="Heading 3 2 3" xfId="9093" xr:uid="{00000000-0005-0000-0000-000085230000}"/>
    <cellStyle name="Heading 3 2 3 2" xfId="9094" xr:uid="{00000000-0005-0000-0000-000086230000}"/>
    <cellStyle name="Heading 3 2 3 2 2" xfId="9095" xr:uid="{00000000-0005-0000-0000-000087230000}"/>
    <cellStyle name="Heading 3 2 3 3" xfId="9096" xr:uid="{00000000-0005-0000-0000-000088230000}"/>
    <cellStyle name="Heading 3 2 3 3 2" xfId="9097" xr:uid="{00000000-0005-0000-0000-000089230000}"/>
    <cellStyle name="Heading 3 2 3 3 2 2" xfId="9098" xr:uid="{00000000-0005-0000-0000-00008A230000}"/>
    <cellStyle name="Heading 3 2 3 3 3" xfId="9099" xr:uid="{00000000-0005-0000-0000-00008B230000}"/>
    <cellStyle name="Heading 3 2 3 4" xfId="9100" xr:uid="{00000000-0005-0000-0000-00008C230000}"/>
    <cellStyle name="Heading 3 2 4" xfId="9101" xr:uid="{00000000-0005-0000-0000-00008D230000}"/>
    <cellStyle name="Heading 3 2 4 2" xfId="9102" xr:uid="{00000000-0005-0000-0000-00008E230000}"/>
    <cellStyle name="Heading 3 2 4 2 2" xfId="9103" xr:uid="{00000000-0005-0000-0000-00008F230000}"/>
    <cellStyle name="Heading 3 2 4 3" xfId="9104" xr:uid="{00000000-0005-0000-0000-000090230000}"/>
    <cellStyle name="Heading 3 2 5" xfId="9105" xr:uid="{00000000-0005-0000-0000-000091230000}"/>
    <cellStyle name="Heading 3 2 5 2" xfId="9106" xr:uid="{00000000-0005-0000-0000-000092230000}"/>
    <cellStyle name="Heading 3 2 5 2 2" xfId="9107" xr:uid="{00000000-0005-0000-0000-000093230000}"/>
    <cellStyle name="Heading 3 2 5 3" xfId="9108" xr:uid="{00000000-0005-0000-0000-000094230000}"/>
    <cellStyle name="Heading 3 2 5 3 2" xfId="9109" xr:uid="{00000000-0005-0000-0000-000095230000}"/>
    <cellStyle name="Heading 3 2 5 3 2 2" xfId="9110" xr:uid="{00000000-0005-0000-0000-000096230000}"/>
    <cellStyle name="Heading 3 2 5 3 3" xfId="9111" xr:uid="{00000000-0005-0000-0000-000097230000}"/>
    <cellStyle name="Heading 3 2 5 4" xfId="9112" xr:uid="{00000000-0005-0000-0000-000098230000}"/>
    <cellStyle name="Heading 3 2 6" xfId="9113" xr:uid="{00000000-0005-0000-0000-000099230000}"/>
    <cellStyle name="Heading 3 2 6 2" xfId="9114" xr:uid="{00000000-0005-0000-0000-00009A230000}"/>
    <cellStyle name="Heading 3 2 6 2 2" xfId="9115" xr:uid="{00000000-0005-0000-0000-00009B230000}"/>
    <cellStyle name="Heading 3 2 6 3" xfId="9116" xr:uid="{00000000-0005-0000-0000-00009C230000}"/>
    <cellStyle name="Heading 3 2 6 3 2" xfId="9117" xr:uid="{00000000-0005-0000-0000-00009D230000}"/>
    <cellStyle name="Heading 3 2 6 4" xfId="9118" xr:uid="{00000000-0005-0000-0000-00009E230000}"/>
    <cellStyle name="Heading 3 2 7" xfId="9119" xr:uid="{00000000-0005-0000-0000-00009F230000}"/>
    <cellStyle name="Heading 3 2 7 2" xfId="9120" xr:uid="{00000000-0005-0000-0000-0000A0230000}"/>
    <cellStyle name="Heading 3 2 8" xfId="9121" xr:uid="{00000000-0005-0000-0000-0000A1230000}"/>
    <cellStyle name="Heading 3 2 8 2" xfId="9122" xr:uid="{00000000-0005-0000-0000-0000A2230000}"/>
    <cellStyle name="Heading 3 2 8 2 2" xfId="9123" xr:uid="{00000000-0005-0000-0000-0000A3230000}"/>
    <cellStyle name="Heading 3 2 8 3" xfId="9124" xr:uid="{00000000-0005-0000-0000-0000A4230000}"/>
    <cellStyle name="Heading 3 2 9" xfId="9125" xr:uid="{00000000-0005-0000-0000-0000A5230000}"/>
    <cellStyle name="Heading 3 2 9 2" xfId="9126" xr:uid="{00000000-0005-0000-0000-0000A6230000}"/>
    <cellStyle name="Heading 3 2 9 2 2" xfId="9127" xr:uid="{00000000-0005-0000-0000-0000A7230000}"/>
    <cellStyle name="Heading 3 2 9 3" xfId="9128" xr:uid="{00000000-0005-0000-0000-0000A8230000}"/>
    <cellStyle name="Heading 3 3" xfId="9129" xr:uid="{00000000-0005-0000-0000-0000A9230000}"/>
    <cellStyle name="Heading 3 3 2" xfId="9130" xr:uid="{00000000-0005-0000-0000-0000AA230000}"/>
    <cellStyle name="Heading 3 3 2 2" xfId="9131" xr:uid="{00000000-0005-0000-0000-0000AB230000}"/>
    <cellStyle name="Heading 3 3 3" xfId="9132" xr:uid="{00000000-0005-0000-0000-0000AC230000}"/>
    <cellStyle name="Heading 3 3 3 2" xfId="9133" xr:uid="{00000000-0005-0000-0000-0000AD230000}"/>
    <cellStyle name="Heading 3 3 4" xfId="9134" xr:uid="{00000000-0005-0000-0000-0000AE230000}"/>
    <cellStyle name="Heading 3 3 4 2" xfId="9135" xr:uid="{00000000-0005-0000-0000-0000AF230000}"/>
    <cellStyle name="Heading 3 3 4 2 2" xfId="9136" xr:uid="{00000000-0005-0000-0000-0000B0230000}"/>
    <cellStyle name="Heading 3 3 4 3" xfId="9137" xr:uid="{00000000-0005-0000-0000-0000B1230000}"/>
    <cellStyle name="Heading 3 3 5" xfId="9138" xr:uid="{00000000-0005-0000-0000-0000B2230000}"/>
    <cellStyle name="Heading 3 4" xfId="9139" xr:uid="{00000000-0005-0000-0000-0000B3230000}"/>
    <cellStyle name="Heading 3 4 2" xfId="9140" xr:uid="{00000000-0005-0000-0000-0000B4230000}"/>
    <cellStyle name="Heading 3 4 2 2" xfId="9141" xr:uid="{00000000-0005-0000-0000-0000B5230000}"/>
    <cellStyle name="Heading 3 4 3" xfId="9142" xr:uid="{00000000-0005-0000-0000-0000B6230000}"/>
    <cellStyle name="Heading 3 4 3 2" xfId="9143" xr:uid="{00000000-0005-0000-0000-0000B7230000}"/>
    <cellStyle name="Heading 3 4 3 2 2" xfId="9144" xr:uid="{00000000-0005-0000-0000-0000B8230000}"/>
    <cellStyle name="Heading 3 4 3 3" xfId="9145" xr:uid="{00000000-0005-0000-0000-0000B9230000}"/>
    <cellStyle name="Heading 3 4 4" xfId="9146" xr:uid="{00000000-0005-0000-0000-0000BA230000}"/>
    <cellStyle name="Heading 3 5" xfId="9147" xr:uid="{00000000-0005-0000-0000-0000BB230000}"/>
    <cellStyle name="Heading 3 5 2" xfId="9148" xr:uid="{00000000-0005-0000-0000-0000BC230000}"/>
    <cellStyle name="Heading 3 5 2 2" xfId="9149" xr:uid="{00000000-0005-0000-0000-0000BD230000}"/>
    <cellStyle name="Heading 3 5 3" xfId="9150" xr:uid="{00000000-0005-0000-0000-0000BE230000}"/>
    <cellStyle name="Heading 3 5 3 2" xfId="9151" xr:uid="{00000000-0005-0000-0000-0000BF230000}"/>
    <cellStyle name="Heading 3 5 3 2 2" xfId="9152" xr:uid="{00000000-0005-0000-0000-0000C0230000}"/>
    <cellStyle name="Heading 3 5 3 3" xfId="9153" xr:uid="{00000000-0005-0000-0000-0000C1230000}"/>
    <cellStyle name="Heading 3 5 4" xfId="9154" xr:uid="{00000000-0005-0000-0000-0000C2230000}"/>
    <cellStyle name="Heading 3 6" xfId="9155" xr:uid="{00000000-0005-0000-0000-0000C3230000}"/>
    <cellStyle name="Heading 3 6 2" xfId="9156" xr:uid="{00000000-0005-0000-0000-0000C4230000}"/>
    <cellStyle name="Heading 3 6 2 2" xfId="9157" xr:uid="{00000000-0005-0000-0000-0000C5230000}"/>
    <cellStyle name="Heading 3 6 3" xfId="9158" xr:uid="{00000000-0005-0000-0000-0000C6230000}"/>
    <cellStyle name="Heading 3 7" xfId="9159" xr:uid="{00000000-0005-0000-0000-0000C7230000}"/>
    <cellStyle name="Heading 3 7 2" xfId="9160" xr:uid="{00000000-0005-0000-0000-0000C8230000}"/>
    <cellStyle name="Heading 3 8" xfId="9161" xr:uid="{00000000-0005-0000-0000-0000C9230000}"/>
    <cellStyle name="Heading 3 9" xfId="9162" xr:uid="{00000000-0005-0000-0000-0000CA230000}"/>
    <cellStyle name="Heading 4 2" xfId="9163" xr:uid="{00000000-0005-0000-0000-0000CB230000}"/>
    <cellStyle name="Heading 4 2 10" xfId="9164" xr:uid="{00000000-0005-0000-0000-0000CC230000}"/>
    <cellStyle name="Heading 4 2 10 2" xfId="9165" xr:uid="{00000000-0005-0000-0000-0000CD230000}"/>
    <cellStyle name="Heading 4 2 11" xfId="9166" xr:uid="{00000000-0005-0000-0000-0000CE230000}"/>
    <cellStyle name="Heading 4 2 12" xfId="9167" xr:uid="{00000000-0005-0000-0000-0000CF230000}"/>
    <cellStyle name="Heading 4 2 2" xfId="9168" xr:uid="{00000000-0005-0000-0000-0000D0230000}"/>
    <cellStyle name="Heading 4 2 2 2" xfId="9169" xr:uid="{00000000-0005-0000-0000-0000D1230000}"/>
    <cellStyle name="Heading 4 2 2 2 2" xfId="9170" xr:uid="{00000000-0005-0000-0000-0000D2230000}"/>
    <cellStyle name="Heading 4 2 2 3" xfId="9171" xr:uid="{00000000-0005-0000-0000-0000D3230000}"/>
    <cellStyle name="Heading 4 2 2 3 2" xfId="9172" xr:uid="{00000000-0005-0000-0000-0000D4230000}"/>
    <cellStyle name="Heading 4 2 2 3 2 2" xfId="9173" xr:uid="{00000000-0005-0000-0000-0000D5230000}"/>
    <cellStyle name="Heading 4 2 2 3 3" xfId="9174" xr:uid="{00000000-0005-0000-0000-0000D6230000}"/>
    <cellStyle name="Heading 4 2 2 4" xfId="9175" xr:uid="{00000000-0005-0000-0000-0000D7230000}"/>
    <cellStyle name="Heading 4 2 3" xfId="9176" xr:uid="{00000000-0005-0000-0000-0000D8230000}"/>
    <cellStyle name="Heading 4 2 3 2" xfId="9177" xr:uid="{00000000-0005-0000-0000-0000D9230000}"/>
    <cellStyle name="Heading 4 2 3 2 2" xfId="9178" xr:uid="{00000000-0005-0000-0000-0000DA230000}"/>
    <cellStyle name="Heading 4 2 3 3" xfId="9179" xr:uid="{00000000-0005-0000-0000-0000DB230000}"/>
    <cellStyle name="Heading 4 2 3 3 2" xfId="9180" xr:uid="{00000000-0005-0000-0000-0000DC230000}"/>
    <cellStyle name="Heading 4 2 3 3 2 2" xfId="9181" xr:uid="{00000000-0005-0000-0000-0000DD230000}"/>
    <cellStyle name="Heading 4 2 3 3 3" xfId="9182" xr:uid="{00000000-0005-0000-0000-0000DE230000}"/>
    <cellStyle name="Heading 4 2 3 4" xfId="9183" xr:uid="{00000000-0005-0000-0000-0000DF230000}"/>
    <cellStyle name="Heading 4 2 4" xfId="9184" xr:uid="{00000000-0005-0000-0000-0000E0230000}"/>
    <cellStyle name="Heading 4 2 4 2" xfId="9185" xr:uid="{00000000-0005-0000-0000-0000E1230000}"/>
    <cellStyle name="Heading 4 2 4 2 2" xfId="9186" xr:uid="{00000000-0005-0000-0000-0000E2230000}"/>
    <cellStyle name="Heading 4 2 4 3" xfId="9187" xr:uid="{00000000-0005-0000-0000-0000E3230000}"/>
    <cellStyle name="Heading 4 2 5" xfId="9188" xr:uid="{00000000-0005-0000-0000-0000E4230000}"/>
    <cellStyle name="Heading 4 2 5 2" xfId="9189" xr:uid="{00000000-0005-0000-0000-0000E5230000}"/>
    <cellStyle name="Heading 4 2 5 2 2" xfId="9190" xr:uid="{00000000-0005-0000-0000-0000E6230000}"/>
    <cellStyle name="Heading 4 2 5 3" xfId="9191" xr:uid="{00000000-0005-0000-0000-0000E7230000}"/>
    <cellStyle name="Heading 4 2 5 3 2" xfId="9192" xr:uid="{00000000-0005-0000-0000-0000E8230000}"/>
    <cellStyle name="Heading 4 2 5 3 2 2" xfId="9193" xr:uid="{00000000-0005-0000-0000-0000E9230000}"/>
    <cellStyle name="Heading 4 2 5 3 3" xfId="9194" xr:uid="{00000000-0005-0000-0000-0000EA230000}"/>
    <cellStyle name="Heading 4 2 5 4" xfId="9195" xr:uid="{00000000-0005-0000-0000-0000EB230000}"/>
    <cellStyle name="Heading 4 2 6" xfId="9196" xr:uid="{00000000-0005-0000-0000-0000EC230000}"/>
    <cellStyle name="Heading 4 2 6 2" xfId="9197" xr:uid="{00000000-0005-0000-0000-0000ED230000}"/>
    <cellStyle name="Heading 4 2 7" xfId="9198" xr:uid="{00000000-0005-0000-0000-0000EE230000}"/>
    <cellStyle name="Heading 4 2 7 2" xfId="9199" xr:uid="{00000000-0005-0000-0000-0000EF230000}"/>
    <cellStyle name="Heading 4 2 8" xfId="9200" xr:uid="{00000000-0005-0000-0000-0000F0230000}"/>
    <cellStyle name="Heading 4 2 8 2" xfId="9201" xr:uid="{00000000-0005-0000-0000-0000F1230000}"/>
    <cellStyle name="Heading 4 2 8 2 2" xfId="9202" xr:uid="{00000000-0005-0000-0000-0000F2230000}"/>
    <cellStyle name="Heading 4 2 8 3" xfId="9203" xr:uid="{00000000-0005-0000-0000-0000F3230000}"/>
    <cellStyle name="Heading 4 2 9" xfId="9204" xr:uid="{00000000-0005-0000-0000-0000F4230000}"/>
    <cellStyle name="Heading 4 2 9 2" xfId="9205" xr:uid="{00000000-0005-0000-0000-0000F5230000}"/>
    <cellStyle name="Heading 4 2 9 2 2" xfId="9206" xr:uid="{00000000-0005-0000-0000-0000F6230000}"/>
    <cellStyle name="Heading 4 2 9 3" xfId="9207" xr:uid="{00000000-0005-0000-0000-0000F7230000}"/>
    <cellStyle name="Heading 4 3" xfId="9208" xr:uid="{00000000-0005-0000-0000-0000F8230000}"/>
    <cellStyle name="Heading 4 3 2" xfId="9209" xr:uid="{00000000-0005-0000-0000-0000F9230000}"/>
    <cellStyle name="Heading 4 3 2 2" xfId="9210" xr:uid="{00000000-0005-0000-0000-0000FA230000}"/>
    <cellStyle name="Heading 4 3 3" xfId="9211" xr:uid="{00000000-0005-0000-0000-0000FB230000}"/>
    <cellStyle name="Heading 4 3 3 2" xfId="9212" xr:uid="{00000000-0005-0000-0000-0000FC230000}"/>
    <cellStyle name="Heading 4 3 4" xfId="9213" xr:uid="{00000000-0005-0000-0000-0000FD230000}"/>
    <cellStyle name="Heading 4 3 4 2" xfId="9214" xr:uid="{00000000-0005-0000-0000-0000FE230000}"/>
    <cellStyle name="Heading 4 3 4 2 2" xfId="9215" xr:uid="{00000000-0005-0000-0000-0000FF230000}"/>
    <cellStyle name="Heading 4 3 4 3" xfId="9216" xr:uid="{00000000-0005-0000-0000-000000240000}"/>
    <cellStyle name="Heading 4 3 5" xfId="9217" xr:uid="{00000000-0005-0000-0000-000001240000}"/>
    <cellStyle name="Heading 4 4" xfId="9218" xr:uid="{00000000-0005-0000-0000-000002240000}"/>
    <cellStyle name="Heading 4 4 2" xfId="9219" xr:uid="{00000000-0005-0000-0000-000003240000}"/>
    <cellStyle name="Heading 4 4 2 2" xfId="9220" xr:uid="{00000000-0005-0000-0000-000004240000}"/>
    <cellStyle name="Heading 4 4 3" xfId="9221" xr:uid="{00000000-0005-0000-0000-000005240000}"/>
    <cellStyle name="Heading 4 4 3 2" xfId="9222" xr:uid="{00000000-0005-0000-0000-000006240000}"/>
    <cellStyle name="Heading 4 4 3 2 2" xfId="9223" xr:uid="{00000000-0005-0000-0000-000007240000}"/>
    <cellStyle name="Heading 4 4 3 3" xfId="9224" xr:uid="{00000000-0005-0000-0000-000008240000}"/>
    <cellStyle name="Heading 4 4 4" xfId="9225" xr:uid="{00000000-0005-0000-0000-000009240000}"/>
    <cellStyle name="Heading 4 5" xfId="9226" xr:uid="{00000000-0005-0000-0000-00000A240000}"/>
    <cellStyle name="Heading 4 5 2" xfId="9227" xr:uid="{00000000-0005-0000-0000-00000B240000}"/>
    <cellStyle name="Heading 4 5 2 2" xfId="9228" xr:uid="{00000000-0005-0000-0000-00000C240000}"/>
    <cellStyle name="Heading 4 5 3" xfId="9229" xr:uid="{00000000-0005-0000-0000-00000D240000}"/>
    <cellStyle name="Heading 4 5 3 2" xfId="9230" xr:uid="{00000000-0005-0000-0000-00000E240000}"/>
    <cellStyle name="Heading 4 5 3 2 2" xfId="9231" xr:uid="{00000000-0005-0000-0000-00000F240000}"/>
    <cellStyle name="Heading 4 5 3 3" xfId="9232" xr:uid="{00000000-0005-0000-0000-000010240000}"/>
    <cellStyle name="Heading 4 5 4" xfId="9233" xr:uid="{00000000-0005-0000-0000-000011240000}"/>
    <cellStyle name="Heading 4 6" xfId="9234" xr:uid="{00000000-0005-0000-0000-000012240000}"/>
    <cellStyle name="Heading 4 6 2" xfId="9235" xr:uid="{00000000-0005-0000-0000-000013240000}"/>
    <cellStyle name="Heading 4 6 2 2" xfId="9236" xr:uid="{00000000-0005-0000-0000-000014240000}"/>
    <cellStyle name="Heading 4 6 3" xfId="9237" xr:uid="{00000000-0005-0000-0000-000015240000}"/>
    <cellStyle name="Heading 4 7" xfId="9238" xr:uid="{00000000-0005-0000-0000-000016240000}"/>
    <cellStyle name="Heading 4 7 2" xfId="9239" xr:uid="{00000000-0005-0000-0000-000017240000}"/>
    <cellStyle name="Heading 4 8" xfId="9240" xr:uid="{00000000-0005-0000-0000-000018240000}"/>
    <cellStyle name="Heading 4 9" xfId="9241" xr:uid="{00000000-0005-0000-0000-000019240000}"/>
    <cellStyle name="Heading1" xfId="9242" xr:uid="{00000000-0005-0000-0000-00001A240000}"/>
    <cellStyle name="Heading1 2" xfId="9243" xr:uid="{00000000-0005-0000-0000-00001B240000}"/>
    <cellStyle name="Heading1 2 2" xfId="9244" xr:uid="{00000000-0005-0000-0000-00001C240000}"/>
    <cellStyle name="Heading1 3" xfId="9245" xr:uid="{00000000-0005-0000-0000-00001D240000}"/>
    <cellStyle name="Heading1 3 2" xfId="9246" xr:uid="{00000000-0005-0000-0000-00001E240000}"/>
    <cellStyle name="Heading1 4" xfId="9247" xr:uid="{00000000-0005-0000-0000-00001F240000}"/>
    <cellStyle name="Heading1 5" xfId="9248" xr:uid="{00000000-0005-0000-0000-000020240000}"/>
    <cellStyle name="Heading2" xfId="9249" xr:uid="{00000000-0005-0000-0000-000021240000}"/>
    <cellStyle name="Heading2 2" xfId="9250" xr:uid="{00000000-0005-0000-0000-000022240000}"/>
    <cellStyle name="Heading2 2 2" xfId="9251" xr:uid="{00000000-0005-0000-0000-000023240000}"/>
    <cellStyle name="Heading2 3" xfId="9252" xr:uid="{00000000-0005-0000-0000-000024240000}"/>
    <cellStyle name="Heading2 3 2" xfId="9253" xr:uid="{00000000-0005-0000-0000-000025240000}"/>
    <cellStyle name="Heading2 4" xfId="9254" xr:uid="{00000000-0005-0000-0000-000026240000}"/>
    <cellStyle name="Heading2 5" xfId="9255" xr:uid="{00000000-0005-0000-0000-000027240000}"/>
    <cellStyle name="HEADINGS" xfId="9256" xr:uid="{00000000-0005-0000-0000-000028240000}"/>
    <cellStyle name="HEADINGS 2" xfId="9257" xr:uid="{00000000-0005-0000-0000-000029240000}"/>
    <cellStyle name="HEADINGS 2 2" xfId="9258" xr:uid="{00000000-0005-0000-0000-00002A240000}"/>
    <cellStyle name="HEADINGS 2 2 2" xfId="9259" xr:uid="{00000000-0005-0000-0000-00002B240000}"/>
    <cellStyle name="HEADINGS 2 3" xfId="9260" xr:uid="{00000000-0005-0000-0000-00002C240000}"/>
    <cellStyle name="HEADINGS 2 3 2" xfId="9261" xr:uid="{00000000-0005-0000-0000-00002D240000}"/>
    <cellStyle name="HEADINGS 2 3 2 2" xfId="9262" xr:uid="{00000000-0005-0000-0000-00002E240000}"/>
    <cellStyle name="HEADINGS 2 3 3" xfId="9263" xr:uid="{00000000-0005-0000-0000-00002F240000}"/>
    <cellStyle name="HEADINGS 2 4" xfId="9264" xr:uid="{00000000-0005-0000-0000-000030240000}"/>
    <cellStyle name="HEADINGS 3" xfId="9265" xr:uid="{00000000-0005-0000-0000-000031240000}"/>
    <cellStyle name="HEADINGS 3 2" xfId="9266" xr:uid="{00000000-0005-0000-0000-000032240000}"/>
    <cellStyle name="HEADINGS 3 2 2" xfId="9267" xr:uid="{00000000-0005-0000-0000-000033240000}"/>
    <cellStyle name="HEADINGS 3 3" xfId="9268" xr:uid="{00000000-0005-0000-0000-000034240000}"/>
    <cellStyle name="HEADINGS 4" xfId="9269" xr:uid="{00000000-0005-0000-0000-000035240000}"/>
    <cellStyle name="HEADINGS 4 2" xfId="9270" xr:uid="{00000000-0005-0000-0000-000036240000}"/>
    <cellStyle name="HEADINGS 4 2 2" xfId="9271" xr:uid="{00000000-0005-0000-0000-000037240000}"/>
    <cellStyle name="HEADINGS 4 3" xfId="9272" xr:uid="{00000000-0005-0000-0000-000038240000}"/>
    <cellStyle name="HEADINGS 5" xfId="9273" xr:uid="{00000000-0005-0000-0000-000039240000}"/>
    <cellStyle name="HEADINGS 5 2" xfId="9274" xr:uid="{00000000-0005-0000-0000-00003A240000}"/>
    <cellStyle name="HEADINGS 6" xfId="9275" xr:uid="{00000000-0005-0000-0000-00003B240000}"/>
    <cellStyle name="HEADINGS 6 2" xfId="9276" xr:uid="{00000000-0005-0000-0000-00003C240000}"/>
    <cellStyle name="HEADINGS 7" xfId="9277" xr:uid="{00000000-0005-0000-0000-00003D240000}"/>
    <cellStyle name="HEADINGSTOP" xfId="9278" xr:uid="{00000000-0005-0000-0000-00003E240000}"/>
    <cellStyle name="HEADINGSTOP 2" xfId="9279" xr:uid="{00000000-0005-0000-0000-00003F240000}"/>
    <cellStyle name="HEADINGSTOP 2 2" xfId="9280" xr:uid="{00000000-0005-0000-0000-000040240000}"/>
    <cellStyle name="HEADINGSTOP 2 2 2" xfId="9281" xr:uid="{00000000-0005-0000-0000-000041240000}"/>
    <cellStyle name="HEADINGSTOP 2 3" xfId="9282" xr:uid="{00000000-0005-0000-0000-000042240000}"/>
    <cellStyle name="HEADINGSTOP 2 3 2" xfId="9283" xr:uid="{00000000-0005-0000-0000-000043240000}"/>
    <cellStyle name="HEADINGSTOP 2 3 2 2" xfId="9284" xr:uid="{00000000-0005-0000-0000-000044240000}"/>
    <cellStyle name="HEADINGSTOP 2 3 3" xfId="9285" xr:uid="{00000000-0005-0000-0000-000045240000}"/>
    <cellStyle name="HEADINGSTOP 2 4" xfId="9286" xr:uid="{00000000-0005-0000-0000-000046240000}"/>
    <cellStyle name="HEADINGSTOP 3" xfId="9287" xr:uid="{00000000-0005-0000-0000-000047240000}"/>
    <cellStyle name="HEADINGSTOP 3 2" xfId="9288" xr:uid="{00000000-0005-0000-0000-000048240000}"/>
    <cellStyle name="HEADINGSTOP 3 2 2" xfId="9289" xr:uid="{00000000-0005-0000-0000-000049240000}"/>
    <cellStyle name="HEADINGSTOP 3 3" xfId="9290" xr:uid="{00000000-0005-0000-0000-00004A240000}"/>
    <cellStyle name="HEADINGSTOP 4" xfId="9291" xr:uid="{00000000-0005-0000-0000-00004B240000}"/>
    <cellStyle name="HEADINGSTOP 4 2" xfId="9292" xr:uid="{00000000-0005-0000-0000-00004C240000}"/>
    <cellStyle name="HEADINGSTOP 4 2 2" xfId="9293" xr:uid="{00000000-0005-0000-0000-00004D240000}"/>
    <cellStyle name="HEADINGSTOP 4 3" xfId="9294" xr:uid="{00000000-0005-0000-0000-00004E240000}"/>
    <cellStyle name="HEADINGSTOP 5" xfId="9295" xr:uid="{00000000-0005-0000-0000-00004F240000}"/>
    <cellStyle name="HEADINGSTOP 5 2" xfId="9296" xr:uid="{00000000-0005-0000-0000-000050240000}"/>
    <cellStyle name="HEADINGSTOP 6" xfId="9297" xr:uid="{00000000-0005-0000-0000-000051240000}"/>
    <cellStyle name="HEADINGSTOP 6 2" xfId="9298" xr:uid="{00000000-0005-0000-0000-000052240000}"/>
    <cellStyle name="HEADINGSTOP 7" xfId="9299" xr:uid="{00000000-0005-0000-0000-000053240000}"/>
    <cellStyle name="Helvetica 12" xfId="9300" xr:uid="{00000000-0005-0000-0000-000054240000}"/>
    <cellStyle name="Helvetica 12 2" xfId="9301" xr:uid="{00000000-0005-0000-0000-000055240000}"/>
    <cellStyle name="Helvetica 12 2 2" xfId="9302" xr:uid="{00000000-0005-0000-0000-000056240000}"/>
    <cellStyle name="Helvetica 12 2 2 2" xfId="9303" xr:uid="{00000000-0005-0000-0000-000057240000}"/>
    <cellStyle name="Helvetica 12 2 3" xfId="9304" xr:uid="{00000000-0005-0000-0000-000058240000}"/>
    <cellStyle name="Helvetica 12 2 3 2" xfId="9305" xr:uid="{00000000-0005-0000-0000-000059240000}"/>
    <cellStyle name="Helvetica 12 2 3 2 2" xfId="9306" xr:uid="{00000000-0005-0000-0000-00005A240000}"/>
    <cellStyle name="Helvetica 12 2 3 3" xfId="9307" xr:uid="{00000000-0005-0000-0000-00005B240000}"/>
    <cellStyle name="Helvetica 12 2 4" xfId="9308" xr:uid="{00000000-0005-0000-0000-00005C240000}"/>
    <cellStyle name="Helvetica 12 3" xfId="9309" xr:uid="{00000000-0005-0000-0000-00005D240000}"/>
    <cellStyle name="Helvetica 12 3 2" xfId="9310" xr:uid="{00000000-0005-0000-0000-00005E240000}"/>
    <cellStyle name="Helvetica 12 3 2 2" xfId="9311" xr:uid="{00000000-0005-0000-0000-00005F240000}"/>
    <cellStyle name="Helvetica 12 3 3" xfId="9312" xr:uid="{00000000-0005-0000-0000-000060240000}"/>
    <cellStyle name="Helvetica 12 4" xfId="9313" xr:uid="{00000000-0005-0000-0000-000061240000}"/>
    <cellStyle name="Helvetica 12 4 2" xfId="9314" xr:uid="{00000000-0005-0000-0000-000062240000}"/>
    <cellStyle name="Helvetica 12 5" xfId="9315" xr:uid="{00000000-0005-0000-0000-000063240000}"/>
    <cellStyle name="Helvetica 12 5 2" xfId="9316" xr:uid="{00000000-0005-0000-0000-000064240000}"/>
    <cellStyle name="Helvetica 12 6" xfId="9317" xr:uid="{00000000-0005-0000-0000-000065240000}"/>
    <cellStyle name="Hidden" xfId="9318" xr:uid="{00000000-0005-0000-0000-000066240000}"/>
    <cellStyle name="Hidden 2" xfId="9319" xr:uid="{00000000-0005-0000-0000-000067240000}"/>
    <cellStyle name="HIGHLIGHT" xfId="9320" xr:uid="{00000000-0005-0000-0000-000068240000}"/>
    <cellStyle name="HIGHLIGHT 2" xfId="9321" xr:uid="{00000000-0005-0000-0000-000069240000}"/>
    <cellStyle name="HIGHLIGHT 2 2" xfId="9322" xr:uid="{00000000-0005-0000-0000-00006A240000}"/>
    <cellStyle name="HIGHLIGHT 2 2 2" xfId="9323" xr:uid="{00000000-0005-0000-0000-00006B240000}"/>
    <cellStyle name="HIGHLIGHT 2 2 2 2" xfId="9324" xr:uid="{00000000-0005-0000-0000-00006C240000}"/>
    <cellStyle name="HIGHLIGHT 2 2 3" xfId="9325" xr:uid="{00000000-0005-0000-0000-00006D240000}"/>
    <cellStyle name="HIGHLIGHT 2 2 3 2" xfId="9326" xr:uid="{00000000-0005-0000-0000-00006E240000}"/>
    <cellStyle name="HIGHLIGHT 2 2 3 2 2" xfId="9327" xr:uid="{00000000-0005-0000-0000-00006F240000}"/>
    <cellStyle name="HIGHLIGHT 2 2 3 3" xfId="9328" xr:uid="{00000000-0005-0000-0000-000070240000}"/>
    <cellStyle name="HIGHLIGHT 2 2 4" xfId="9329" xr:uid="{00000000-0005-0000-0000-000071240000}"/>
    <cellStyle name="HIGHLIGHT 2 3" xfId="9330" xr:uid="{00000000-0005-0000-0000-000072240000}"/>
    <cellStyle name="HIGHLIGHT 2 3 2" xfId="9331" xr:uid="{00000000-0005-0000-0000-000073240000}"/>
    <cellStyle name="HIGHLIGHT 2 4" xfId="9332" xr:uid="{00000000-0005-0000-0000-000074240000}"/>
    <cellStyle name="HIGHLIGHT 3" xfId="9333" xr:uid="{00000000-0005-0000-0000-000075240000}"/>
    <cellStyle name="HIGHLIGHT 3 2" xfId="9334" xr:uid="{00000000-0005-0000-0000-000076240000}"/>
    <cellStyle name="HIGHLIGHT 4" xfId="9335" xr:uid="{00000000-0005-0000-0000-000077240000}"/>
    <cellStyle name="HIGHLIGHT 4 2" xfId="9336" xr:uid="{00000000-0005-0000-0000-000078240000}"/>
    <cellStyle name="HIGHLIGHT 5" xfId="9337" xr:uid="{00000000-0005-0000-0000-000079240000}"/>
    <cellStyle name="highlite" xfId="9338" xr:uid="{00000000-0005-0000-0000-00007A240000}"/>
    <cellStyle name="hilite" xfId="9339" xr:uid="{00000000-0005-0000-0000-00007B240000}"/>
    <cellStyle name="HITLITE" xfId="9340" xr:uid="{00000000-0005-0000-0000-00007C240000}"/>
    <cellStyle name="HITLITE 2" xfId="9341" xr:uid="{00000000-0005-0000-0000-00007D240000}"/>
    <cellStyle name="Hyperlink" xfId="31681" xr:uid="{00000000-0005-0000-0000-0000C47B0000}"/>
    <cellStyle name="Hyperlink 2" xfId="9342" xr:uid="{00000000-0005-0000-0000-00007E240000}"/>
    <cellStyle name="Initial Inputs" xfId="9343" xr:uid="{00000000-0005-0000-0000-00007F240000}"/>
    <cellStyle name="Initial Inputs 2" xfId="9344" xr:uid="{00000000-0005-0000-0000-000080240000}"/>
    <cellStyle name="Input [yellow]" xfId="9345" xr:uid="{00000000-0005-0000-0000-000081240000}"/>
    <cellStyle name="Input [yellow] 2" xfId="9346" xr:uid="{00000000-0005-0000-0000-000082240000}"/>
    <cellStyle name="Input 10" xfId="9347" xr:uid="{00000000-0005-0000-0000-000083240000}"/>
    <cellStyle name="Input 10 2" xfId="9348" xr:uid="{00000000-0005-0000-0000-000084240000}"/>
    <cellStyle name="Input 10 2 2" xfId="9349" xr:uid="{00000000-0005-0000-0000-000085240000}"/>
    <cellStyle name="Input 10 2 2 2" xfId="9350" xr:uid="{00000000-0005-0000-0000-000086240000}"/>
    <cellStyle name="Input 10 2 3" xfId="9351" xr:uid="{00000000-0005-0000-0000-000087240000}"/>
    <cellStyle name="Input 10 3" xfId="9352" xr:uid="{00000000-0005-0000-0000-000088240000}"/>
    <cellStyle name="Input 10 3 2" xfId="9353" xr:uid="{00000000-0005-0000-0000-000089240000}"/>
    <cellStyle name="Input 10 4" xfId="9354" xr:uid="{00000000-0005-0000-0000-00008A240000}"/>
    <cellStyle name="Input 100" xfId="9355" xr:uid="{00000000-0005-0000-0000-00008B240000}"/>
    <cellStyle name="Input 100 2" xfId="9356" xr:uid="{00000000-0005-0000-0000-00008C240000}"/>
    <cellStyle name="Input 100 2 2" xfId="9357" xr:uid="{00000000-0005-0000-0000-00008D240000}"/>
    <cellStyle name="Input 100 2 2 2" xfId="9358" xr:uid="{00000000-0005-0000-0000-00008E240000}"/>
    <cellStyle name="Input 100 2 3" xfId="9359" xr:uid="{00000000-0005-0000-0000-00008F240000}"/>
    <cellStyle name="Input 100 3" xfId="9360" xr:uid="{00000000-0005-0000-0000-000090240000}"/>
    <cellStyle name="Input 100 3 2" xfId="9361" xr:uid="{00000000-0005-0000-0000-000091240000}"/>
    <cellStyle name="Input 100 4" xfId="9362" xr:uid="{00000000-0005-0000-0000-000092240000}"/>
    <cellStyle name="Input 101" xfId="9363" xr:uid="{00000000-0005-0000-0000-000093240000}"/>
    <cellStyle name="Input 101 2" xfId="9364" xr:uid="{00000000-0005-0000-0000-000094240000}"/>
    <cellStyle name="Input 101 2 2" xfId="9365" xr:uid="{00000000-0005-0000-0000-000095240000}"/>
    <cellStyle name="Input 101 2 2 2" xfId="9366" xr:uid="{00000000-0005-0000-0000-000096240000}"/>
    <cellStyle name="Input 101 2 3" xfId="9367" xr:uid="{00000000-0005-0000-0000-000097240000}"/>
    <cellStyle name="Input 101 3" xfId="9368" xr:uid="{00000000-0005-0000-0000-000098240000}"/>
    <cellStyle name="Input 101 3 2" xfId="9369" xr:uid="{00000000-0005-0000-0000-000099240000}"/>
    <cellStyle name="Input 101 4" xfId="9370" xr:uid="{00000000-0005-0000-0000-00009A240000}"/>
    <cellStyle name="Input 102" xfId="9371" xr:uid="{00000000-0005-0000-0000-00009B240000}"/>
    <cellStyle name="Input 102 2" xfId="9372" xr:uid="{00000000-0005-0000-0000-00009C240000}"/>
    <cellStyle name="Input 102 2 2" xfId="9373" xr:uid="{00000000-0005-0000-0000-00009D240000}"/>
    <cellStyle name="Input 102 2 2 2" xfId="9374" xr:uid="{00000000-0005-0000-0000-00009E240000}"/>
    <cellStyle name="Input 102 2 2 2 2" xfId="9375" xr:uid="{00000000-0005-0000-0000-00009F240000}"/>
    <cellStyle name="Input 102 2 2 3" xfId="9376" xr:uid="{00000000-0005-0000-0000-0000A0240000}"/>
    <cellStyle name="Input 102 2 3" xfId="9377" xr:uid="{00000000-0005-0000-0000-0000A1240000}"/>
    <cellStyle name="Input 102 2 3 2" xfId="9378" xr:uid="{00000000-0005-0000-0000-0000A2240000}"/>
    <cellStyle name="Input 102 2 4" xfId="9379" xr:uid="{00000000-0005-0000-0000-0000A3240000}"/>
    <cellStyle name="Input 102 3" xfId="9380" xr:uid="{00000000-0005-0000-0000-0000A4240000}"/>
    <cellStyle name="Input 102 3 2" xfId="9381" xr:uid="{00000000-0005-0000-0000-0000A5240000}"/>
    <cellStyle name="Input 102 3 2 2" xfId="9382" xr:uid="{00000000-0005-0000-0000-0000A6240000}"/>
    <cellStyle name="Input 102 3 3" xfId="9383" xr:uid="{00000000-0005-0000-0000-0000A7240000}"/>
    <cellStyle name="Input 102 4" xfId="9384" xr:uid="{00000000-0005-0000-0000-0000A8240000}"/>
    <cellStyle name="Input 102 4 2" xfId="9385" xr:uid="{00000000-0005-0000-0000-0000A9240000}"/>
    <cellStyle name="Input 102 5" xfId="9386" xr:uid="{00000000-0005-0000-0000-0000AA240000}"/>
    <cellStyle name="Input 103" xfId="9387" xr:uid="{00000000-0005-0000-0000-0000AB240000}"/>
    <cellStyle name="Input 103 2" xfId="9388" xr:uid="{00000000-0005-0000-0000-0000AC240000}"/>
    <cellStyle name="Input 103 2 2" xfId="9389" xr:uid="{00000000-0005-0000-0000-0000AD240000}"/>
    <cellStyle name="Input 103 2 2 2" xfId="9390" xr:uid="{00000000-0005-0000-0000-0000AE240000}"/>
    <cellStyle name="Input 103 2 2 2 2" xfId="9391" xr:uid="{00000000-0005-0000-0000-0000AF240000}"/>
    <cellStyle name="Input 103 2 2 3" xfId="9392" xr:uid="{00000000-0005-0000-0000-0000B0240000}"/>
    <cellStyle name="Input 103 2 3" xfId="9393" xr:uid="{00000000-0005-0000-0000-0000B1240000}"/>
    <cellStyle name="Input 103 2 3 2" xfId="9394" xr:uid="{00000000-0005-0000-0000-0000B2240000}"/>
    <cellStyle name="Input 103 2 4" xfId="9395" xr:uid="{00000000-0005-0000-0000-0000B3240000}"/>
    <cellStyle name="Input 103 3" xfId="9396" xr:uid="{00000000-0005-0000-0000-0000B4240000}"/>
    <cellStyle name="Input 103 3 2" xfId="9397" xr:uid="{00000000-0005-0000-0000-0000B5240000}"/>
    <cellStyle name="Input 103 3 2 2" xfId="9398" xr:uid="{00000000-0005-0000-0000-0000B6240000}"/>
    <cellStyle name="Input 103 3 3" xfId="9399" xr:uid="{00000000-0005-0000-0000-0000B7240000}"/>
    <cellStyle name="Input 103 4" xfId="9400" xr:uid="{00000000-0005-0000-0000-0000B8240000}"/>
    <cellStyle name="Input 103 4 2" xfId="9401" xr:uid="{00000000-0005-0000-0000-0000B9240000}"/>
    <cellStyle name="Input 103 5" xfId="9402" xr:uid="{00000000-0005-0000-0000-0000BA240000}"/>
    <cellStyle name="Input 104" xfId="9403" xr:uid="{00000000-0005-0000-0000-0000BB240000}"/>
    <cellStyle name="Input 104 2" xfId="9404" xr:uid="{00000000-0005-0000-0000-0000BC240000}"/>
    <cellStyle name="Input 104 2 2" xfId="9405" xr:uid="{00000000-0005-0000-0000-0000BD240000}"/>
    <cellStyle name="Input 104 2 2 2" xfId="9406" xr:uid="{00000000-0005-0000-0000-0000BE240000}"/>
    <cellStyle name="Input 104 2 2 2 2" xfId="9407" xr:uid="{00000000-0005-0000-0000-0000BF240000}"/>
    <cellStyle name="Input 104 2 2 2 2 2" xfId="9408" xr:uid="{00000000-0005-0000-0000-0000C0240000}"/>
    <cellStyle name="Input 104 2 2 2 3" xfId="9409" xr:uid="{00000000-0005-0000-0000-0000C1240000}"/>
    <cellStyle name="Input 104 2 2 3" xfId="9410" xr:uid="{00000000-0005-0000-0000-0000C2240000}"/>
    <cellStyle name="Input 104 2 2 3 2" xfId="9411" xr:uid="{00000000-0005-0000-0000-0000C3240000}"/>
    <cellStyle name="Input 104 2 2 4" xfId="9412" xr:uid="{00000000-0005-0000-0000-0000C4240000}"/>
    <cellStyle name="Input 104 2 3" xfId="9413" xr:uid="{00000000-0005-0000-0000-0000C5240000}"/>
    <cellStyle name="Input 104 2 3 2" xfId="9414" xr:uid="{00000000-0005-0000-0000-0000C6240000}"/>
    <cellStyle name="Input 104 2 3 2 2" xfId="9415" xr:uid="{00000000-0005-0000-0000-0000C7240000}"/>
    <cellStyle name="Input 104 2 3 3" xfId="9416" xr:uid="{00000000-0005-0000-0000-0000C8240000}"/>
    <cellStyle name="Input 104 2 4" xfId="9417" xr:uid="{00000000-0005-0000-0000-0000C9240000}"/>
    <cellStyle name="Input 104 2 4 2" xfId="9418" xr:uid="{00000000-0005-0000-0000-0000CA240000}"/>
    <cellStyle name="Input 104 2 5" xfId="9419" xr:uid="{00000000-0005-0000-0000-0000CB240000}"/>
    <cellStyle name="Input 104 3" xfId="9420" xr:uid="{00000000-0005-0000-0000-0000CC240000}"/>
    <cellStyle name="Input 104 3 2" xfId="9421" xr:uid="{00000000-0005-0000-0000-0000CD240000}"/>
    <cellStyle name="Input 104 3 2 2" xfId="9422" xr:uid="{00000000-0005-0000-0000-0000CE240000}"/>
    <cellStyle name="Input 104 3 2 2 2" xfId="9423" xr:uid="{00000000-0005-0000-0000-0000CF240000}"/>
    <cellStyle name="Input 104 3 2 3" xfId="9424" xr:uid="{00000000-0005-0000-0000-0000D0240000}"/>
    <cellStyle name="Input 104 3 3" xfId="9425" xr:uid="{00000000-0005-0000-0000-0000D1240000}"/>
    <cellStyle name="Input 104 3 3 2" xfId="9426" xr:uid="{00000000-0005-0000-0000-0000D2240000}"/>
    <cellStyle name="Input 104 3 4" xfId="9427" xr:uid="{00000000-0005-0000-0000-0000D3240000}"/>
    <cellStyle name="Input 104 4" xfId="9428" xr:uid="{00000000-0005-0000-0000-0000D4240000}"/>
    <cellStyle name="Input 104 4 2" xfId="9429" xr:uid="{00000000-0005-0000-0000-0000D5240000}"/>
    <cellStyle name="Input 104 4 2 2" xfId="9430" xr:uid="{00000000-0005-0000-0000-0000D6240000}"/>
    <cellStyle name="Input 104 4 3" xfId="9431" xr:uid="{00000000-0005-0000-0000-0000D7240000}"/>
    <cellStyle name="Input 104 5" xfId="9432" xr:uid="{00000000-0005-0000-0000-0000D8240000}"/>
    <cellStyle name="Input 104 5 2" xfId="9433" xr:uid="{00000000-0005-0000-0000-0000D9240000}"/>
    <cellStyle name="Input 104 6" xfId="9434" xr:uid="{00000000-0005-0000-0000-0000DA240000}"/>
    <cellStyle name="Input 105" xfId="9435" xr:uid="{00000000-0005-0000-0000-0000DB240000}"/>
    <cellStyle name="Input 105 2" xfId="9436" xr:uid="{00000000-0005-0000-0000-0000DC240000}"/>
    <cellStyle name="Input 105 2 2" xfId="9437" xr:uid="{00000000-0005-0000-0000-0000DD240000}"/>
    <cellStyle name="Input 105 2 2 2" xfId="9438" xr:uid="{00000000-0005-0000-0000-0000DE240000}"/>
    <cellStyle name="Input 105 2 3" xfId="9439" xr:uid="{00000000-0005-0000-0000-0000DF240000}"/>
    <cellStyle name="Input 105 3" xfId="9440" xr:uid="{00000000-0005-0000-0000-0000E0240000}"/>
    <cellStyle name="Input 105 3 2" xfId="9441" xr:uid="{00000000-0005-0000-0000-0000E1240000}"/>
    <cellStyle name="Input 105 4" xfId="9442" xr:uid="{00000000-0005-0000-0000-0000E2240000}"/>
    <cellStyle name="Input 106" xfId="9443" xr:uid="{00000000-0005-0000-0000-0000E3240000}"/>
    <cellStyle name="Input 106 2" xfId="9444" xr:uid="{00000000-0005-0000-0000-0000E4240000}"/>
    <cellStyle name="Input 106 2 2" xfId="9445" xr:uid="{00000000-0005-0000-0000-0000E5240000}"/>
    <cellStyle name="Input 106 2 2 2" xfId="9446" xr:uid="{00000000-0005-0000-0000-0000E6240000}"/>
    <cellStyle name="Input 106 2 3" xfId="9447" xr:uid="{00000000-0005-0000-0000-0000E7240000}"/>
    <cellStyle name="Input 106 3" xfId="9448" xr:uid="{00000000-0005-0000-0000-0000E8240000}"/>
    <cellStyle name="Input 106 3 2" xfId="9449" xr:uid="{00000000-0005-0000-0000-0000E9240000}"/>
    <cellStyle name="Input 106 4" xfId="9450" xr:uid="{00000000-0005-0000-0000-0000EA240000}"/>
    <cellStyle name="Input 107" xfId="9451" xr:uid="{00000000-0005-0000-0000-0000EB240000}"/>
    <cellStyle name="Input 107 2" xfId="9452" xr:uid="{00000000-0005-0000-0000-0000EC240000}"/>
    <cellStyle name="Input 107 2 2" xfId="9453" xr:uid="{00000000-0005-0000-0000-0000ED240000}"/>
    <cellStyle name="Input 107 2 2 2" xfId="9454" xr:uid="{00000000-0005-0000-0000-0000EE240000}"/>
    <cellStyle name="Input 107 2 3" xfId="9455" xr:uid="{00000000-0005-0000-0000-0000EF240000}"/>
    <cellStyle name="Input 107 3" xfId="9456" xr:uid="{00000000-0005-0000-0000-0000F0240000}"/>
    <cellStyle name="Input 107 3 2" xfId="9457" xr:uid="{00000000-0005-0000-0000-0000F1240000}"/>
    <cellStyle name="Input 107 4" xfId="9458" xr:uid="{00000000-0005-0000-0000-0000F2240000}"/>
    <cellStyle name="Input 108" xfId="9459" xr:uid="{00000000-0005-0000-0000-0000F3240000}"/>
    <cellStyle name="Input 108 2" xfId="9460" xr:uid="{00000000-0005-0000-0000-0000F4240000}"/>
    <cellStyle name="Input 108 2 2" xfId="9461" xr:uid="{00000000-0005-0000-0000-0000F5240000}"/>
    <cellStyle name="Input 108 2 2 2" xfId="9462" xr:uid="{00000000-0005-0000-0000-0000F6240000}"/>
    <cellStyle name="Input 108 2 2 2 2" xfId="9463" xr:uid="{00000000-0005-0000-0000-0000F7240000}"/>
    <cellStyle name="Input 108 2 2 2 2 2" xfId="9464" xr:uid="{00000000-0005-0000-0000-0000F8240000}"/>
    <cellStyle name="Input 108 2 2 2 3" xfId="9465" xr:uid="{00000000-0005-0000-0000-0000F9240000}"/>
    <cellStyle name="Input 108 2 2 3" xfId="9466" xr:uid="{00000000-0005-0000-0000-0000FA240000}"/>
    <cellStyle name="Input 108 2 2 3 2" xfId="9467" xr:uid="{00000000-0005-0000-0000-0000FB240000}"/>
    <cellStyle name="Input 108 2 2 4" xfId="9468" xr:uid="{00000000-0005-0000-0000-0000FC240000}"/>
    <cellStyle name="Input 108 2 3" xfId="9469" xr:uid="{00000000-0005-0000-0000-0000FD240000}"/>
    <cellStyle name="Input 108 2 3 2" xfId="9470" xr:uid="{00000000-0005-0000-0000-0000FE240000}"/>
    <cellStyle name="Input 108 2 3 2 2" xfId="9471" xr:uid="{00000000-0005-0000-0000-0000FF240000}"/>
    <cellStyle name="Input 108 2 3 3" xfId="9472" xr:uid="{00000000-0005-0000-0000-000000250000}"/>
    <cellStyle name="Input 108 2 4" xfId="9473" xr:uid="{00000000-0005-0000-0000-000001250000}"/>
    <cellStyle name="Input 108 2 4 2" xfId="9474" xr:uid="{00000000-0005-0000-0000-000002250000}"/>
    <cellStyle name="Input 108 2 5" xfId="9475" xr:uid="{00000000-0005-0000-0000-000003250000}"/>
    <cellStyle name="Input 108 3" xfId="9476" xr:uid="{00000000-0005-0000-0000-000004250000}"/>
    <cellStyle name="Input 108 3 2" xfId="9477" xr:uid="{00000000-0005-0000-0000-000005250000}"/>
    <cellStyle name="Input 108 3 2 2" xfId="9478" xr:uid="{00000000-0005-0000-0000-000006250000}"/>
    <cellStyle name="Input 108 3 2 2 2" xfId="9479" xr:uid="{00000000-0005-0000-0000-000007250000}"/>
    <cellStyle name="Input 108 3 2 3" xfId="9480" xr:uid="{00000000-0005-0000-0000-000008250000}"/>
    <cellStyle name="Input 108 3 3" xfId="9481" xr:uid="{00000000-0005-0000-0000-000009250000}"/>
    <cellStyle name="Input 108 3 3 2" xfId="9482" xr:uid="{00000000-0005-0000-0000-00000A250000}"/>
    <cellStyle name="Input 108 3 4" xfId="9483" xr:uid="{00000000-0005-0000-0000-00000B250000}"/>
    <cellStyle name="Input 108 4" xfId="9484" xr:uid="{00000000-0005-0000-0000-00000C250000}"/>
    <cellStyle name="Input 108 4 2" xfId="9485" xr:uid="{00000000-0005-0000-0000-00000D250000}"/>
    <cellStyle name="Input 108 4 2 2" xfId="9486" xr:uid="{00000000-0005-0000-0000-00000E250000}"/>
    <cellStyle name="Input 108 4 3" xfId="9487" xr:uid="{00000000-0005-0000-0000-00000F250000}"/>
    <cellStyle name="Input 108 5" xfId="9488" xr:uid="{00000000-0005-0000-0000-000010250000}"/>
    <cellStyle name="Input 108 5 2" xfId="9489" xr:uid="{00000000-0005-0000-0000-000011250000}"/>
    <cellStyle name="Input 108 6" xfId="9490" xr:uid="{00000000-0005-0000-0000-000012250000}"/>
    <cellStyle name="Input 109" xfId="9491" xr:uid="{00000000-0005-0000-0000-000013250000}"/>
    <cellStyle name="Input 109 2" xfId="9492" xr:uid="{00000000-0005-0000-0000-000014250000}"/>
    <cellStyle name="Input 109 2 2" xfId="9493" xr:uid="{00000000-0005-0000-0000-000015250000}"/>
    <cellStyle name="Input 109 2 2 2" xfId="9494" xr:uid="{00000000-0005-0000-0000-000016250000}"/>
    <cellStyle name="Input 109 2 2 2 2" xfId="9495" xr:uid="{00000000-0005-0000-0000-000017250000}"/>
    <cellStyle name="Input 109 2 2 2 2 2" xfId="9496" xr:uid="{00000000-0005-0000-0000-000018250000}"/>
    <cellStyle name="Input 109 2 2 2 3" xfId="9497" xr:uid="{00000000-0005-0000-0000-000019250000}"/>
    <cellStyle name="Input 109 2 2 3" xfId="9498" xr:uid="{00000000-0005-0000-0000-00001A250000}"/>
    <cellStyle name="Input 109 2 2 3 2" xfId="9499" xr:uid="{00000000-0005-0000-0000-00001B250000}"/>
    <cellStyle name="Input 109 2 2 4" xfId="9500" xr:uid="{00000000-0005-0000-0000-00001C250000}"/>
    <cellStyle name="Input 109 2 3" xfId="9501" xr:uid="{00000000-0005-0000-0000-00001D250000}"/>
    <cellStyle name="Input 109 2 3 2" xfId="9502" xr:uid="{00000000-0005-0000-0000-00001E250000}"/>
    <cellStyle name="Input 109 2 3 2 2" xfId="9503" xr:uid="{00000000-0005-0000-0000-00001F250000}"/>
    <cellStyle name="Input 109 2 3 3" xfId="9504" xr:uid="{00000000-0005-0000-0000-000020250000}"/>
    <cellStyle name="Input 109 2 4" xfId="9505" xr:uid="{00000000-0005-0000-0000-000021250000}"/>
    <cellStyle name="Input 109 2 4 2" xfId="9506" xr:uid="{00000000-0005-0000-0000-000022250000}"/>
    <cellStyle name="Input 109 2 5" xfId="9507" xr:uid="{00000000-0005-0000-0000-000023250000}"/>
    <cellStyle name="Input 109 3" xfId="9508" xr:uid="{00000000-0005-0000-0000-000024250000}"/>
    <cellStyle name="Input 109 3 2" xfId="9509" xr:uid="{00000000-0005-0000-0000-000025250000}"/>
    <cellStyle name="Input 109 3 2 2" xfId="9510" xr:uid="{00000000-0005-0000-0000-000026250000}"/>
    <cellStyle name="Input 109 3 2 2 2" xfId="9511" xr:uid="{00000000-0005-0000-0000-000027250000}"/>
    <cellStyle name="Input 109 3 2 3" xfId="9512" xr:uid="{00000000-0005-0000-0000-000028250000}"/>
    <cellStyle name="Input 109 3 3" xfId="9513" xr:uid="{00000000-0005-0000-0000-000029250000}"/>
    <cellStyle name="Input 109 3 3 2" xfId="9514" xr:uid="{00000000-0005-0000-0000-00002A250000}"/>
    <cellStyle name="Input 109 3 4" xfId="9515" xr:uid="{00000000-0005-0000-0000-00002B250000}"/>
    <cellStyle name="Input 109 4" xfId="9516" xr:uid="{00000000-0005-0000-0000-00002C250000}"/>
    <cellStyle name="Input 109 4 2" xfId="9517" xr:uid="{00000000-0005-0000-0000-00002D250000}"/>
    <cellStyle name="Input 109 4 2 2" xfId="9518" xr:uid="{00000000-0005-0000-0000-00002E250000}"/>
    <cellStyle name="Input 109 4 3" xfId="9519" xr:uid="{00000000-0005-0000-0000-00002F250000}"/>
    <cellStyle name="Input 109 5" xfId="9520" xr:uid="{00000000-0005-0000-0000-000030250000}"/>
    <cellStyle name="Input 109 5 2" xfId="9521" xr:uid="{00000000-0005-0000-0000-000031250000}"/>
    <cellStyle name="Input 109 6" xfId="9522" xr:uid="{00000000-0005-0000-0000-000032250000}"/>
    <cellStyle name="Input 11" xfId="9523" xr:uid="{00000000-0005-0000-0000-000033250000}"/>
    <cellStyle name="Input 11 2" xfId="9524" xr:uid="{00000000-0005-0000-0000-000034250000}"/>
    <cellStyle name="Input 11 2 2" xfId="9525" xr:uid="{00000000-0005-0000-0000-000035250000}"/>
    <cellStyle name="Input 11 2 2 2" xfId="9526" xr:uid="{00000000-0005-0000-0000-000036250000}"/>
    <cellStyle name="Input 11 2 3" xfId="9527" xr:uid="{00000000-0005-0000-0000-000037250000}"/>
    <cellStyle name="Input 11 3" xfId="9528" xr:uid="{00000000-0005-0000-0000-000038250000}"/>
    <cellStyle name="Input 11 3 2" xfId="9529" xr:uid="{00000000-0005-0000-0000-000039250000}"/>
    <cellStyle name="Input 11 4" xfId="9530" xr:uid="{00000000-0005-0000-0000-00003A250000}"/>
    <cellStyle name="Input 110" xfId="9531" xr:uid="{00000000-0005-0000-0000-00003B250000}"/>
    <cellStyle name="Input 110 2" xfId="9532" xr:uid="{00000000-0005-0000-0000-00003C250000}"/>
    <cellStyle name="Input 110 2 2" xfId="9533" xr:uid="{00000000-0005-0000-0000-00003D250000}"/>
    <cellStyle name="Input 110 2 2 2" xfId="9534" xr:uid="{00000000-0005-0000-0000-00003E250000}"/>
    <cellStyle name="Input 110 2 2 2 2" xfId="9535" xr:uid="{00000000-0005-0000-0000-00003F250000}"/>
    <cellStyle name="Input 110 2 2 2 2 2" xfId="9536" xr:uid="{00000000-0005-0000-0000-000040250000}"/>
    <cellStyle name="Input 110 2 2 2 3" xfId="9537" xr:uid="{00000000-0005-0000-0000-000041250000}"/>
    <cellStyle name="Input 110 2 2 3" xfId="9538" xr:uid="{00000000-0005-0000-0000-000042250000}"/>
    <cellStyle name="Input 110 2 2 3 2" xfId="9539" xr:uid="{00000000-0005-0000-0000-000043250000}"/>
    <cellStyle name="Input 110 2 2 4" xfId="9540" xr:uid="{00000000-0005-0000-0000-000044250000}"/>
    <cellStyle name="Input 110 2 3" xfId="9541" xr:uid="{00000000-0005-0000-0000-000045250000}"/>
    <cellStyle name="Input 110 2 3 2" xfId="9542" xr:uid="{00000000-0005-0000-0000-000046250000}"/>
    <cellStyle name="Input 110 2 3 2 2" xfId="9543" xr:uid="{00000000-0005-0000-0000-000047250000}"/>
    <cellStyle name="Input 110 2 3 3" xfId="9544" xr:uid="{00000000-0005-0000-0000-000048250000}"/>
    <cellStyle name="Input 110 2 4" xfId="9545" xr:uid="{00000000-0005-0000-0000-000049250000}"/>
    <cellStyle name="Input 110 2 4 2" xfId="9546" xr:uid="{00000000-0005-0000-0000-00004A250000}"/>
    <cellStyle name="Input 110 2 5" xfId="9547" xr:uid="{00000000-0005-0000-0000-00004B250000}"/>
    <cellStyle name="Input 110 3" xfId="9548" xr:uid="{00000000-0005-0000-0000-00004C250000}"/>
    <cellStyle name="Input 110 3 2" xfId="9549" xr:uid="{00000000-0005-0000-0000-00004D250000}"/>
    <cellStyle name="Input 110 3 2 2" xfId="9550" xr:uid="{00000000-0005-0000-0000-00004E250000}"/>
    <cellStyle name="Input 110 3 2 2 2" xfId="9551" xr:uid="{00000000-0005-0000-0000-00004F250000}"/>
    <cellStyle name="Input 110 3 2 3" xfId="9552" xr:uid="{00000000-0005-0000-0000-000050250000}"/>
    <cellStyle name="Input 110 3 3" xfId="9553" xr:uid="{00000000-0005-0000-0000-000051250000}"/>
    <cellStyle name="Input 110 3 3 2" xfId="9554" xr:uid="{00000000-0005-0000-0000-000052250000}"/>
    <cellStyle name="Input 110 3 4" xfId="9555" xr:uid="{00000000-0005-0000-0000-000053250000}"/>
    <cellStyle name="Input 110 4" xfId="9556" xr:uid="{00000000-0005-0000-0000-000054250000}"/>
    <cellStyle name="Input 110 4 2" xfId="9557" xr:uid="{00000000-0005-0000-0000-000055250000}"/>
    <cellStyle name="Input 110 4 2 2" xfId="9558" xr:uid="{00000000-0005-0000-0000-000056250000}"/>
    <cellStyle name="Input 110 4 3" xfId="9559" xr:uid="{00000000-0005-0000-0000-000057250000}"/>
    <cellStyle name="Input 110 5" xfId="9560" xr:uid="{00000000-0005-0000-0000-000058250000}"/>
    <cellStyle name="Input 110 5 2" xfId="9561" xr:uid="{00000000-0005-0000-0000-000059250000}"/>
    <cellStyle name="Input 110 6" xfId="9562" xr:uid="{00000000-0005-0000-0000-00005A250000}"/>
    <cellStyle name="Input 111" xfId="9563" xr:uid="{00000000-0005-0000-0000-00005B250000}"/>
    <cellStyle name="Input 111 2" xfId="9564" xr:uid="{00000000-0005-0000-0000-00005C250000}"/>
    <cellStyle name="Input 111 2 2" xfId="9565" xr:uid="{00000000-0005-0000-0000-00005D250000}"/>
    <cellStyle name="Input 111 2 2 2" xfId="9566" xr:uid="{00000000-0005-0000-0000-00005E250000}"/>
    <cellStyle name="Input 111 2 2 2 2" xfId="9567" xr:uid="{00000000-0005-0000-0000-00005F250000}"/>
    <cellStyle name="Input 111 2 2 2 2 2" xfId="9568" xr:uid="{00000000-0005-0000-0000-000060250000}"/>
    <cellStyle name="Input 111 2 2 2 3" xfId="9569" xr:uid="{00000000-0005-0000-0000-000061250000}"/>
    <cellStyle name="Input 111 2 2 3" xfId="9570" xr:uid="{00000000-0005-0000-0000-000062250000}"/>
    <cellStyle name="Input 111 2 2 3 2" xfId="9571" xr:uid="{00000000-0005-0000-0000-000063250000}"/>
    <cellStyle name="Input 111 2 2 4" xfId="9572" xr:uid="{00000000-0005-0000-0000-000064250000}"/>
    <cellStyle name="Input 111 2 3" xfId="9573" xr:uid="{00000000-0005-0000-0000-000065250000}"/>
    <cellStyle name="Input 111 2 3 2" xfId="9574" xr:uid="{00000000-0005-0000-0000-000066250000}"/>
    <cellStyle name="Input 111 2 3 2 2" xfId="9575" xr:uid="{00000000-0005-0000-0000-000067250000}"/>
    <cellStyle name="Input 111 2 3 3" xfId="9576" xr:uid="{00000000-0005-0000-0000-000068250000}"/>
    <cellStyle name="Input 111 2 4" xfId="9577" xr:uid="{00000000-0005-0000-0000-000069250000}"/>
    <cellStyle name="Input 111 2 4 2" xfId="9578" xr:uid="{00000000-0005-0000-0000-00006A250000}"/>
    <cellStyle name="Input 111 2 5" xfId="9579" xr:uid="{00000000-0005-0000-0000-00006B250000}"/>
    <cellStyle name="Input 111 3" xfId="9580" xr:uid="{00000000-0005-0000-0000-00006C250000}"/>
    <cellStyle name="Input 111 3 2" xfId="9581" xr:uid="{00000000-0005-0000-0000-00006D250000}"/>
    <cellStyle name="Input 111 3 2 2" xfId="9582" xr:uid="{00000000-0005-0000-0000-00006E250000}"/>
    <cellStyle name="Input 111 3 2 2 2" xfId="9583" xr:uid="{00000000-0005-0000-0000-00006F250000}"/>
    <cellStyle name="Input 111 3 2 3" xfId="9584" xr:uid="{00000000-0005-0000-0000-000070250000}"/>
    <cellStyle name="Input 111 3 3" xfId="9585" xr:uid="{00000000-0005-0000-0000-000071250000}"/>
    <cellStyle name="Input 111 3 3 2" xfId="9586" xr:uid="{00000000-0005-0000-0000-000072250000}"/>
    <cellStyle name="Input 111 3 4" xfId="9587" xr:uid="{00000000-0005-0000-0000-000073250000}"/>
    <cellStyle name="Input 111 4" xfId="9588" xr:uid="{00000000-0005-0000-0000-000074250000}"/>
    <cellStyle name="Input 111 4 2" xfId="9589" xr:uid="{00000000-0005-0000-0000-000075250000}"/>
    <cellStyle name="Input 111 4 2 2" xfId="9590" xr:uid="{00000000-0005-0000-0000-000076250000}"/>
    <cellStyle name="Input 111 4 3" xfId="9591" xr:uid="{00000000-0005-0000-0000-000077250000}"/>
    <cellStyle name="Input 111 5" xfId="9592" xr:uid="{00000000-0005-0000-0000-000078250000}"/>
    <cellStyle name="Input 111 5 2" xfId="9593" xr:uid="{00000000-0005-0000-0000-000079250000}"/>
    <cellStyle name="Input 111 6" xfId="9594" xr:uid="{00000000-0005-0000-0000-00007A250000}"/>
    <cellStyle name="Input 112" xfId="9595" xr:uid="{00000000-0005-0000-0000-00007B250000}"/>
    <cellStyle name="Input 112 2" xfId="9596" xr:uid="{00000000-0005-0000-0000-00007C250000}"/>
    <cellStyle name="Input 112 2 2" xfId="9597" xr:uid="{00000000-0005-0000-0000-00007D250000}"/>
    <cellStyle name="Input 112 2 2 2" xfId="9598" xr:uid="{00000000-0005-0000-0000-00007E250000}"/>
    <cellStyle name="Input 112 2 2 2 2" xfId="9599" xr:uid="{00000000-0005-0000-0000-00007F250000}"/>
    <cellStyle name="Input 112 2 2 2 2 2" xfId="9600" xr:uid="{00000000-0005-0000-0000-000080250000}"/>
    <cellStyle name="Input 112 2 2 2 3" xfId="9601" xr:uid="{00000000-0005-0000-0000-000081250000}"/>
    <cellStyle name="Input 112 2 2 3" xfId="9602" xr:uid="{00000000-0005-0000-0000-000082250000}"/>
    <cellStyle name="Input 112 2 2 3 2" xfId="9603" xr:uid="{00000000-0005-0000-0000-000083250000}"/>
    <cellStyle name="Input 112 2 2 4" xfId="9604" xr:uid="{00000000-0005-0000-0000-000084250000}"/>
    <cellStyle name="Input 112 2 3" xfId="9605" xr:uid="{00000000-0005-0000-0000-000085250000}"/>
    <cellStyle name="Input 112 2 3 2" xfId="9606" xr:uid="{00000000-0005-0000-0000-000086250000}"/>
    <cellStyle name="Input 112 2 3 2 2" xfId="9607" xr:uid="{00000000-0005-0000-0000-000087250000}"/>
    <cellStyle name="Input 112 2 3 3" xfId="9608" xr:uid="{00000000-0005-0000-0000-000088250000}"/>
    <cellStyle name="Input 112 2 4" xfId="9609" xr:uid="{00000000-0005-0000-0000-000089250000}"/>
    <cellStyle name="Input 112 2 4 2" xfId="9610" xr:uid="{00000000-0005-0000-0000-00008A250000}"/>
    <cellStyle name="Input 112 2 5" xfId="9611" xr:uid="{00000000-0005-0000-0000-00008B250000}"/>
    <cellStyle name="Input 112 3" xfId="9612" xr:uid="{00000000-0005-0000-0000-00008C250000}"/>
    <cellStyle name="Input 112 3 2" xfId="9613" xr:uid="{00000000-0005-0000-0000-00008D250000}"/>
    <cellStyle name="Input 112 3 2 2" xfId="9614" xr:uid="{00000000-0005-0000-0000-00008E250000}"/>
    <cellStyle name="Input 112 3 2 2 2" xfId="9615" xr:uid="{00000000-0005-0000-0000-00008F250000}"/>
    <cellStyle name="Input 112 3 2 3" xfId="9616" xr:uid="{00000000-0005-0000-0000-000090250000}"/>
    <cellStyle name="Input 112 3 3" xfId="9617" xr:uid="{00000000-0005-0000-0000-000091250000}"/>
    <cellStyle name="Input 112 3 3 2" xfId="9618" xr:uid="{00000000-0005-0000-0000-000092250000}"/>
    <cellStyle name="Input 112 3 4" xfId="9619" xr:uid="{00000000-0005-0000-0000-000093250000}"/>
    <cellStyle name="Input 112 4" xfId="9620" xr:uid="{00000000-0005-0000-0000-000094250000}"/>
    <cellStyle name="Input 112 4 2" xfId="9621" xr:uid="{00000000-0005-0000-0000-000095250000}"/>
    <cellStyle name="Input 112 4 2 2" xfId="9622" xr:uid="{00000000-0005-0000-0000-000096250000}"/>
    <cellStyle name="Input 112 4 3" xfId="9623" xr:uid="{00000000-0005-0000-0000-000097250000}"/>
    <cellStyle name="Input 112 5" xfId="9624" xr:uid="{00000000-0005-0000-0000-000098250000}"/>
    <cellStyle name="Input 112 5 2" xfId="9625" xr:uid="{00000000-0005-0000-0000-000099250000}"/>
    <cellStyle name="Input 112 6" xfId="9626" xr:uid="{00000000-0005-0000-0000-00009A250000}"/>
    <cellStyle name="Input 113" xfId="9627" xr:uid="{00000000-0005-0000-0000-00009B250000}"/>
    <cellStyle name="Input 113 2" xfId="9628" xr:uid="{00000000-0005-0000-0000-00009C250000}"/>
    <cellStyle name="Input 113 2 2" xfId="9629" xr:uid="{00000000-0005-0000-0000-00009D250000}"/>
    <cellStyle name="Input 113 2 2 2" xfId="9630" xr:uid="{00000000-0005-0000-0000-00009E250000}"/>
    <cellStyle name="Input 113 2 2 2 2" xfId="9631" xr:uid="{00000000-0005-0000-0000-00009F250000}"/>
    <cellStyle name="Input 113 2 2 2 2 2" xfId="9632" xr:uid="{00000000-0005-0000-0000-0000A0250000}"/>
    <cellStyle name="Input 113 2 2 2 3" xfId="9633" xr:uid="{00000000-0005-0000-0000-0000A1250000}"/>
    <cellStyle name="Input 113 2 2 3" xfId="9634" xr:uid="{00000000-0005-0000-0000-0000A2250000}"/>
    <cellStyle name="Input 113 2 2 3 2" xfId="9635" xr:uid="{00000000-0005-0000-0000-0000A3250000}"/>
    <cellStyle name="Input 113 2 2 4" xfId="9636" xr:uid="{00000000-0005-0000-0000-0000A4250000}"/>
    <cellStyle name="Input 113 2 3" xfId="9637" xr:uid="{00000000-0005-0000-0000-0000A5250000}"/>
    <cellStyle name="Input 113 2 3 2" xfId="9638" xr:uid="{00000000-0005-0000-0000-0000A6250000}"/>
    <cellStyle name="Input 113 2 3 2 2" xfId="9639" xr:uid="{00000000-0005-0000-0000-0000A7250000}"/>
    <cellStyle name="Input 113 2 3 3" xfId="9640" xr:uid="{00000000-0005-0000-0000-0000A8250000}"/>
    <cellStyle name="Input 113 2 4" xfId="9641" xr:uid="{00000000-0005-0000-0000-0000A9250000}"/>
    <cellStyle name="Input 113 2 4 2" xfId="9642" xr:uid="{00000000-0005-0000-0000-0000AA250000}"/>
    <cellStyle name="Input 113 2 5" xfId="9643" xr:uid="{00000000-0005-0000-0000-0000AB250000}"/>
    <cellStyle name="Input 113 3" xfId="9644" xr:uid="{00000000-0005-0000-0000-0000AC250000}"/>
    <cellStyle name="Input 113 3 2" xfId="9645" xr:uid="{00000000-0005-0000-0000-0000AD250000}"/>
    <cellStyle name="Input 113 3 2 2" xfId="9646" xr:uid="{00000000-0005-0000-0000-0000AE250000}"/>
    <cellStyle name="Input 113 3 2 2 2" xfId="9647" xr:uid="{00000000-0005-0000-0000-0000AF250000}"/>
    <cellStyle name="Input 113 3 2 3" xfId="9648" xr:uid="{00000000-0005-0000-0000-0000B0250000}"/>
    <cellStyle name="Input 113 3 3" xfId="9649" xr:uid="{00000000-0005-0000-0000-0000B1250000}"/>
    <cellStyle name="Input 113 3 3 2" xfId="9650" xr:uid="{00000000-0005-0000-0000-0000B2250000}"/>
    <cellStyle name="Input 113 3 4" xfId="9651" xr:uid="{00000000-0005-0000-0000-0000B3250000}"/>
    <cellStyle name="Input 113 4" xfId="9652" xr:uid="{00000000-0005-0000-0000-0000B4250000}"/>
    <cellStyle name="Input 113 4 2" xfId="9653" xr:uid="{00000000-0005-0000-0000-0000B5250000}"/>
    <cellStyle name="Input 113 4 2 2" xfId="9654" xr:uid="{00000000-0005-0000-0000-0000B6250000}"/>
    <cellStyle name="Input 113 4 3" xfId="9655" xr:uid="{00000000-0005-0000-0000-0000B7250000}"/>
    <cellStyle name="Input 113 5" xfId="9656" xr:uid="{00000000-0005-0000-0000-0000B8250000}"/>
    <cellStyle name="Input 113 5 2" xfId="9657" xr:uid="{00000000-0005-0000-0000-0000B9250000}"/>
    <cellStyle name="Input 113 6" xfId="9658" xr:uid="{00000000-0005-0000-0000-0000BA250000}"/>
    <cellStyle name="Input 114" xfId="9659" xr:uid="{00000000-0005-0000-0000-0000BB250000}"/>
    <cellStyle name="Input 114 2" xfId="9660" xr:uid="{00000000-0005-0000-0000-0000BC250000}"/>
    <cellStyle name="Input 114 2 2" xfId="9661" xr:uid="{00000000-0005-0000-0000-0000BD250000}"/>
    <cellStyle name="Input 114 2 2 2" xfId="9662" xr:uid="{00000000-0005-0000-0000-0000BE250000}"/>
    <cellStyle name="Input 114 2 2 2 2" xfId="9663" xr:uid="{00000000-0005-0000-0000-0000BF250000}"/>
    <cellStyle name="Input 114 2 2 3" xfId="9664" xr:uid="{00000000-0005-0000-0000-0000C0250000}"/>
    <cellStyle name="Input 114 2 3" xfId="9665" xr:uid="{00000000-0005-0000-0000-0000C1250000}"/>
    <cellStyle name="Input 114 2 3 2" xfId="9666" xr:uid="{00000000-0005-0000-0000-0000C2250000}"/>
    <cellStyle name="Input 114 2 4" xfId="9667" xr:uid="{00000000-0005-0000-0000-0000C3250000}"/>
    <cellStyle name="Input 114 3" xfId="9668" xr:uid="{00000000-0005-0000-0000-0000C4250000}"/>
    <cellStyle name="Input 114 3 2" xfId="9669" xr:uid="{00000000-0005-0000-0000-0000C5250000}"/>
    <cellStyle name="Input 114 3 2 2" xfId="9670" xr:uid="{00000000-0005-0000-0000-0000C6250000}"/>
    <cellStyle name="Input 114 3 3" xfId="9671" xr:uid="{00000000-0005-0000-0000-0000C7250000}"/>
    <cellStyle name="Input 114 4" xfId="9672" xr:uid="{00000000-0005-0000-0000-0000C8250000}"/>
    <cellStyle name="Input 114 4 2" xfId="9673" xr:uid="{00000000-0005-0000-0000-0000C9250000}"/>
    <cellStyle name="Input 114 5" xfId="9674" xr:uid="{00000000-0005-0000-0000-0000CA250000}"/>
    <cellStyle name="Input 115" xfId="9675" xr:uid="{00000000-0005-0000-0000-0000CB250000}"/>
    <cellStyle name="Input 115 2" xfId="9676" xr:uid="{00000000-0005-0000-0000-0000CC250000}"/>
    <cellStyle name="Input 115 2 2" xfId="9677" xr:uid="{00000000-0005-0000-0000-0000CD250000}"/>
    <cellStyle name="Input 115 2 2 2" xfId="9678" xr:uid="{00000000-0005-0000-0000-0000CE250000}"/>
    <cellStyle name="Input 115 2 2 2 2" xfId="9679" xr:uid="{00000000-0005-0000-0000-0000CF250000}"/>
    <cellStyle name="Input 115 2 2 3" xfId="9680" xr:uid="{00000000-0005-0000-0000-0000D0250000}"/>
    <cellStyle name="Input 115 2 3" xfId="9681" xr:uid="{00000000-0005-0000-0000-0000D1250000}"/>
    <cellStyle name="Input 115 2 3 2" xfId="9682" xr:uid="{00000000-0005-0000-0000-0000D2250000}"/>
    <cellStyle name="Input 115 2 4" xfId="9683" xr:uid="{00000000-0005-0000-0000-0000D3250000}"/>
    <cellStyle name="Input 115 3" xfId="9684" xr:uid="{00000000-0005-0000-0000-0000D4250000}"/>
    <cellStyle name="Input 115 3 2" xfId="9685" xr:uid="{00000000-0005-0000-0000-0000D5250000}"/>
    <cellStyle name="Input 115 3 2 2" xfId="9686" xr:uid="{00000000-0005-0000-0000-0000D6250000}"/>
    <cellStyle name="Input 115 3 3" xfId="9687" xr:uid="{00000000-0005-0000-0000-0000D7250000}"/>
    <cellStyle name="Input 115 4" xfId="9688" xr:uid="{00000000-0005-0000-0000-0000D8250000}"/>
    <cellStyle name="Input 115 4 2" xfId="9689" xr:uid="{00000000-0005-0000-0000-0000D9250000}"/>
    <cellStyle name="Input 115 5" xfId="9690" xr:uid="{00000000-0005-0000-0000-0000DA250000}"/>
    <cellStyle name="Input 116" xfId="9691" xr:uid="{00000000-0005-0000-0000-0000DB250000}"/>
    <cellStyle name="Input 116 2" xfId="9692" xr:uid="{00000000-0005-0000-0000-0000DC250000}"/>
    <cellStyle name="Input 116 2 2" xfId="9693" xr:uid="{00000000-0005-0000-0000-0000DD250000}"/>
    <cellStyle name="Input 116 2 2 2" xfId="9694" xr:uid="{00000000-0005-0000-0000-0000DE250000}"/>
    <cellStyle name="Input 116 2 2 2 2" xfId="9695" xr:uid="{00000000-0005-0000-0000-0000DF250000}"/>
    <cellStyle name="Input 116 2 2 3" xfId="9696" xr:uid="{00000000-0005-0000-0000-0000E0250000}"/>
    <cellStyle name="Input 116 2 3" xfId="9697" xr:uid="{00000000-0005-0000-0000-0000E1250000}"/>
    <cellStyle name="Input 116 2 3 2" xfId="9698" xr:uid="{00000000-0005-0000-0000-0000E2250000}"/>
    <cellStyle name="Input 116 2 4" xfId="9699" xr:uid="{00000000-0005-0000-0000-0000E3250000}"/>
    <cellStyle name="Input 116 3" xfId="9700" xr:uid="{00000000-0005-0000-0000-0000E4250000}"/>
    <cellStyle name="Input 116 3 2" xfId="9701" xr:uid="{00000000-0005-0000-0000-0000E5250000}"/>
    <cellStyle name="Input 116 3 2 2" xfId="9702" xr:uid="{00000000-0005-0000-0000-0000E6250000}"/>
    <cellStyle name="Input 116 3 3" xfId="9703" xr:uid="{00000000-0005-0000-0000-0000E7250000}"/>
    <cellStyle name="Input 116 4" xfId="9704" xr:uid="{00000000-0005-0000-0000-0000E8250000}"/>
    <cellStyle name="Input 116 4 2" xfId="9705" xr:uid="{00000000-0005-0000-0000-0000E9250000}"/>
    <cellStyle name="Input 116 5" xfId="9706" xr:uid="{00000000-0005-0000-0000-0000EA250000}"/>
    <cellStyle name="Input 117" xfId="9707" xr:uid="{00000000-0005-0000-0000-0000EB250000}"/>
    <cellStyle name="Input 117 2" xfId="9708" xr:uid="{00000000-0005-0000-0000-0000EC250000}"/>
    <cellStyle name="Input 117 2 2" xfId="9709" xr:uid="{00000000-0005-0000-0000-0000ED250000}"/>
    <cellStyle name="Input 117 2 2 2" xfId="9710" xr:uid="{00000000-0005-0000-0000-0000EE250000}"/>
    <cellStyle name="Input 117 2 2 2 2" xfId="9711" xr:uid="{00000000-0005-0000-0000-0000EF250000}"/>
    <cellStyle name="Input 117 2 2 3" xfId="9712" xr:uid="{00000000-0005-0000-0000-0000F0250000}"/>
    <cellStyle name="Input 117 2 3" xfId="9713" xr:uid="{00000000-0005-0000-0000-0000F1250000}"/>
    <cellStyle name="Input 117 2 3 2" xfId="9714" xr:uid="{00000000-0005-0000-0000-0000F2250000}"/>
    <cellStyle name="Input 117 2 4" xfId="9715" xr:uid="{00000000-0005-0000-0000-0000F3250000}"/>
    <cellStyle name="Input 117 3" xfId="9716" xr:uid="{00000000-0005-0000-0000-0000F4250000}"/>
    <cellStyle name="Input 117 3 2" xfId="9717" xr:uid="{00000000-0005-0000-0000-0000F5250000}"/>
    <cellStyle name="Input 117 3 2 2" xfId="9718" xr:uid="{00000000-0005-0000-0000-0000F6250000}"/>
    <cellStyle name="Input 117 3 3" xfId="9719" xr:uid="{00000000-0005-0000-0000-0000F7250000}"/>
    <cellStyle name="Input 117 4" xfId="9720" xr:uid="{00000000-0005-0000-0000-0000F8250000}"/>
    <cellStyle name="Input 117 4 2" xfId="9721" xr:uid="{00000000-0005-0000-0000-0000F9250000}"/>
    <cellStyle name="Input 117 5" xfId="9722" xr:uid="{00000000-0005-0000-0000-0000FA250000}"/>
    <cellStyle name="Input 118" xfId="9723" xr:uid="{00000000-0005-0000-0000-0000FB250000}"/>
    <cellStyle name="Input 118 2" xfId="9724" xr:uid="{00000000-0005-0000-0000-0000FC250000}"/>
    <cellStyle name="Input 118 2 2" xfId="9725" xr:uid="{00000000-0005-0000-0000-0000FD250000}"/>
    <cellStyle name="Input 118 3" xfId="9726" xr:uid="{00000000-0005-0000-0000-0000FE250000}"/>
    <cellStyle name="Input 119" xfId="9727" xr:uid="{00000000-0005-0000-0000-0000FF250000}"/>
    <cellStyle name="Input 119 2" xfId="9728" xr:uid="{00000000-0005-0000-0000-000000260000}"/>
    <cellStyle name="Input 119 3" xfId="9729" xr:uid="{00000000-0005-0000-0000-000001260000}"/>
    <cellStyle name="Input 12" xfId="9730" xr:uid="{00000000-0005-0000-0000-000002260000}"/>
    <cellStyle name="Input 12 2" xfId="9731" xr:uid="{00000000-0005-0000-0000-000003260000}"/>
    <cellStyle name="Input 12 2 2" xfId="9732" xr:uid="{00000000-0005-0000-0000-000004260000}"/>
    <cellStyle name="Input 12 2 2 2" xfId="9733" xr:uid="{00000000-0005-0000-0000-000005260000}"/>
    <cellStyle name="Input 12 2 3" xfId="9734" xr:uid="{00000000-0005-0000-0000-000006260000}"/>
    <cellStyle name="Input 12 3" xfId="9735" xr:uid="{00000000-0005-0000-0000-000007260000}"/>
    <cellStyle name="Input 12 3 2" xfId="9736" xr:uid="{00000000-0005-0000-0000-000008260000}"/>
    <cellStyle name="Input 12 4" xfId="9737" xr:uid="{00000000-0005-0000-0000-000009260000}"/>
    <cellStyle name="Input 120" xfId="9738" xr:uid="{00000000-0005-0000-0000-00000A260000}"/>
    <cellStyle name="Input 120 2" xfId="9739" xr:uid="{00000000-0005-0000-0000-00000B260000}"/>
    <cellStyle name="Input 120 3" xfId="9740" xr:uid="{00000000-0005-0000-0000-00000C260000}"/>
    <cellStyle name="Input 121" xfId="9741" xr:uid="{00000000-0005-0000-0000-00000D260000}"/>
    <cellStyle name="Input 121 2" xfId="9742" xr:uid="{00000000-0005-0000-0000-00000E260000}"/>
    <cellStyle name="Input 122" xfId="9743" xr:uid="{00000000-0005-0000-0000-00000F260000}"/>
    <cellStyle name="Input 122 2" xfId="9744" xr:uid="{00000000-0005-0000-0000-000010260000}"/>
    <cellStyle name="Input 122 3" xfId="9745" xr:uid="{00000000-0005-0000-0000-000011260000}"/>
    <cellStyle name="Input 123" xfId="9746" xr:uid="{00000000-0005-0000-0000-000012260000}"/>
    <cellStyle name="Input 123 2" xfId="9747" xr:uid="{00000000-0005-0000-0000-000013260000}"/>
    <cellStyle name="Input 124" xfId="9748" xr:uid="{00000000-0005-0000-0000-000014260000}"/>
    <cellStyle name="Input 124 2" xfId="9749" xr:uid="{00000000-0005-0000-0000-000015260000}"/>
    <cellStyle name="Input 125" xfId="9750" xr:uid="{00000000-0005-0000-0000-000016260000}"/>
    <cellStyle name="Input 125 2" xfId="9751" xr:uid="{00000000-0005-0000-0000-000017260000}"/>
    <cellStyle name="Input 126" xfId="9752" xr:uid="{00000000-0005-0000-0000-000018260000}"/>
    <cellStyle name="Input 127" xfId="9753" xr:uid="{00000000-0005-0000-0000-000019260000}"/>
    <cellStyle name="Input 128" xfId="9754" xr:uid="{00000000-0005-0000-0000-00001A260000}"/>
    <cellStyle name="Input 129" xfId="9755" xr:uid="{00000000-0005-0000-0000-00001B260000}"/>
    <cellStyle name="Input 13" xfId="9756" xr:uid="{00000000-0005-0000-0000-00001C260000}"/>
    <cellStyle name="Input 13 2" xfId="9757" xr:uid="{00000000-0005-0000-0000-00001D260000}"/>
    <cellStyle name="Input 13 2 2" xfId="9758" xr:uid="{00000000-0005-0000-0000-00001E260000}"/>
    <cellStyle name="Input 13 2 2 2" xfId="9759" xr:uid="{00000000-0005-0000-0000-00001F260000}"/>
    <cellStyle name="Input 13 2 3" xfId="9760" xr:uid="{00000000-0005-0000-0000-000020260000}"/>
    <cellStyle name="Input 13 3" xfId="9761" xr:uid="{00000000-0005-0000-0000-000021260000}"/>
    <cellStyle name="Input 13 3 2" xfId="9762" xr:uid="{00000000-0005-0000-0000-000022260000}"/>
    <cellStyle name="Input 13 4" xfId="9763" xr:uid="{00000000-0005-0000-0000-000023260000}"/>
    <cellStyle name="Input 130" xfId="9764" xr:uid="{00000000-0005-0000-0000-000024260000}"/>
    <cellStyle name="Input 131" xfId="9765" xr:uid="{00000000-0005-0000-0000-000025260000}"/>
    <cellStyle name="Input 132" xfId="9766" xr:uid="{00000000-0005-0000-0000-000026260000}"/>
    <cellStyle name="Input 133" xfId="9767" xr:uid="{00000000-0005-0000-0000-000027260000}"/>
    <cellStyle name="Input 134" xfId="9768" xr:uid="{00000000-0005-0000-0000-000028260000}"/>
    <cellStyle name="Input 135" xfId="9769" xr:uid="{00000000-0005-0000-0000-000029260000}"/>
    <cellStyle name="Input 136" xfId="9770" xr:uid="{00000000-0005-0000-0000-00002A260000}"/>
    <cellStyle name="Input 137" xfId="9771" xr:uid="{00000000-0005-0000-0000-00002B260000}"/>
    <cellStyle name="Input 138" xfId="9772" xr:uid="{00000000-0005-0000-0000-00002C260000}"/>
    <cellStyle name="Input 139" xfId="9773" xr:uid="{00000000-0005-0000-0000-00002D260000}"/>
    <cellStyle name="Input 14" xfId="9774" xr:uid="{00000000-0005-0000-0000-00002E260000}"/>
    <cellStyle name="Input 14 2" xfId="9775" xr:uid="{00000000-0005-0000-0000-00002F260000}"/>
    <cellStyle name="Input 14 2 2" xfId="9776" xr:uid="{00000000-0005-0000-0000-000030260000}"/>
    <cellStyle name="Input 14 2 2 2" xfId="9777" xr:uid="{00000000-0005-0000-0000-000031260000}"/>
    <cellStyle name="Input 14 2 3" xfId="9778" xr:uid="{00000000-0005-0000-0000-000032260000}"/>
    <cellStyle name="Input 14 3" xfId="9779" xr:uid="{00000000-0005-0000-0000-000033260000}"/>
    <cellStyle name="Input 14 3 2" xfId="9780" xr:uid="{00000000-0005-0000-0000-000034260000}"/>
    <cellStyle name="Input 14 4" xfId="9781" xr:uid="{00000000-0005-0000-0000-000035260000}"/>
    <cellStyle name="Input 140" xfId="9782" xr:uid="{00000000-0005-0000-0000-000036260000}"/>
    <cellStyle name="Input 141" xfId="9783" xr:uid="{00000000-0005-0000-0000-000037260000}"/>
    <cellStyle name="Input 142" xfId="9784" xr:uid="{00000000-0005-0000-0000-000038260000}"/>
    <cellStyle name="Input 143" xfId="9785" xr:uid="{00000000-0005-0000-0000-000039260000}"/>
    <cellStyle name="Input 144" xfId="9786" xr:uid="{00000000-0005-0000-0000-00003A260000}"/>
    <cellStyle name="Input 145" xfId="9787" xr:uid="{00000000-0005-0000-0000-00003B260000}"/>
    <cellStyle name="Input 146" xfId="9788" xr:uid="{00000000-0005-0000-0000-00003C260000}"/>
    <cellStyle name="Input 147" xfId="9789" xr:uid="{00000000-0005-0000-0000-00003D260000}"/>
    <cellStyle name="Input 148" xfId="9790" xr:uid="{00000000-0005-0000-0000-00003E260000}"/>
    <cellStyle name="Input 149" xfId="9791" xr:uid="{00000000-0005-0000-0000-00003F260000}"/>
    <cellStyle name="Input 15" xfId="9792" xr:uid="{00000000-0005-0000-0000-000040260000}"/>
    <cellStyle name="Input 15 2" xfId="9793" xr:uid="{00000000-0005-0000-0000-000041260000}"/>
    <cellStyle name="Input 15 2 2" xfId="9794" xr:uid="{00000000-0005-0000-0000-000042260000}"/>
    <cellStyle name="Input 15 2 2 2" xfId="9795" xr:uid="{00000000-0005-0000-0000-000043260000}"/>
    <cellStyle name="Input 15 2 3" xfId="9796" xr:uid="{00000000-0005-0000-0000-000044260000}"/>
    <cellStyle name="Input 15 3" xfId="9797" xr:uid="{00000000-0005-0000-0000-000045260000}"/>
    <cellStyle name="Input 15 3 2" xfId="9798" xr:uid="{00000000-0005-0000-0000-000046260000}"/>
    <cellStyle name="Input 15 4" xfId="9799" xr:uid="{00000000-0005-0000-0000-000047260000}"/>
    <cellStyle name="Input 150" xfId="9800" xr:uid="{00000000-0005-0000-0000-000048260000}"/>
    <cellStyle name="Input 151" xfId="9801" xr:uid="{00000000-0005-0000-0000-000049260000}"/>
    <cellStyle name="Input 152" xfId="9802" xr:uid="{00000000-0005-0000-0000-00004A260000}"/>
    <cellStyle name="Input 153" xfId="9803" xr:uid="{00000000-0005-0000-0000-00004B260000}"/>
    <cellStyle name="Input 154" xfId="9804" xr:uid="{00000000-0005-0000-0000-00004C260000}"/>
    <cellStyle name="Input 155" xfId="9805" xr:uid="{00000000-0005-0000-0000-00004D260000}"/>
    <cellStyle name="Input 156" xfId="9806" xr:uid="{00000000-0005-0000-0000-00004E260000}"/>
    <cellStyle name="Input 157" xfId="9807" xr:uid="{00000000-0005-0000-0000-00004F260000}"/>
    <cellStyle name="Input 158" xfId="9808" xr:uid="{00000000-0005-0000-0000-000050260000}"/>
    <cellStyle name="Input 159" xfId="9809" xr:uid="{00000000-0005-0000-0000-000051260000}"/>
    <cellStyle name="Input 16" xfId="9810" xr:uid="{00000000-0005-0000-0000-000052260000}"/>
    <cellStyle name="Input 16 2" xfId="9811" xr:uid="{00000000-0005-0000-0000-000053260000}"/>
    <cellStyle name="Input 16 2 2" xfId="9812" xr:uid="{00000000-0005-0000-0000-000054260000}"/>
    <cellStyle name="Input 16 2 2 2" xfId="9813" xr:uid="{00000000-0005-0000-0000-000055260000}"/>
    <cellStyle name="Input 16 2 3" xfId="9814" xr:uid="{00000000-0005-0000-0000-000056260000}"/>
    <cellStyle name="Input 16 3" xfId="9815" xr:uid="{00000000-0005-0000-0000-000057260000}"/>
    <cellStyle name="Input 16 3 2" xfId="9816" xr:uid="{00000000-0005-0000-0000-000058260000}"/>
    <cellStyle name="Input 16 4" xfId="9817" xr:uid="{00000000-0005-0000-0000-000059260000}"/>
    <cellStyle name="Input 160" xfId="9818" xr:uid="{00000000-0005-0000-0000-00005A260000}"/>
    <cellStyle name="Input 161" xfId="9819" xr:uid="{00000000-0005-0000-0000-00005B260000}"/>
    <cellStyle name="Input 162" xfId="9820" xr:uid="{00000000-0005-0000-0000-00005C260000}"/>
    <cellStyle name="Input 163" xfId="9821" xr:uid="{00000000-0005-0000-0000-00005D260000}"/>
    <cellStyle name="Input 164" xfId="9822" xr:uid="{00000000-0005-0000-0000-00005E260000}"/>
    <cellStyle name="Input 165" xfId="9823" xr:uid="{00000000-0005-0000-0000-00005F260000}"/>
    <cellStyle name="Input 166" xfId="9824" xr:uid="{00000000-0005-0000-0000-000060260000}"/>
    <cellStyle name="Input 167" xfId="9825" xr:uid="{00000000-0005-0000-0000-000061260000}"/>
    <cellStyle name="Input 168" xfId="9826" xr:uid="{00000000-0005-0000-0000-000062260000}"/>
    <cellStyle name="Input 169" xfId="9827" xr:uid="{00000000-0005-0000-0000-000063260000}"/>
    <cellStyle name="Input 17" xfId="9828" xr:uid="{00000000-0005-0000-0000-000064260000}"/>
    <cellStyle name="Input 17 2" xfId="9829" xr:uid="{00000000-0005-0000-0000-000065260000}"/>
    <cellStyle name="Input 17 2 2" xfId="9830" xr:uid="{00000000-0005-0000-0000-000066260000}"/>
    <cellStyle name="Input 17 2 2 2" xfId="9831" xr:uid="{00000000-0005-0000-0000-000067260000}"/>
    <cellStyle name="Input 17 2 3" xfId="9832" xr:uid="{00000000-0005-0000-0000-000068260000}"/>
    <cellStyle name="Input 17 3" xfId="9833" xr:uid="{00000000-0005-0000-0000-000069260000}"/>
    <cellStyle name="Input 17 3 2" xfId="9834" xr:uid="{00000000-0005-0000-0000-00006A260000}"/>
    <cellStyle name="Input 17 4" xfId="9835" xr:uid="{00000000-0005-0000-0000-00006B260000}"/>
    <cellStyle name="Input 170" xfId="9836" xr:uid="{00000000-0005-0000-0000-00006C260000}"/>
    <cellStyle name="Input 171" xfId="9837" xr:uid="{00000000-0005-0000-0000-00006D260000}"/>
    <cellStyle name="Input 172" xfId="9838" xr:uid="{00000000-0005-0000-0000-00006E260000}"/>
    <cellStyle name="Input 173" xfId="9839" xr:uid="{00000000-0005-0000-0000-00006F260000}"/>
    <cellStyle name="Input 174" xfId="9840" xr:uid="{00000000-0005-0000-0000-000070260000}"/>
    <cellStyle name="Input 175" xfId="9841" xr:uid="{00000000-0005-0000-0000-000071260000}"/>
    <cellStyle name="Input 176" xfId="9842" xr:uid="{00000000-0005-0000-0000-000072260000}"/>
    <cellStyle name="Input 177" xfId="9843" xr:uid="{00000000-0005-0000-0000-000073260000}"/>
    <cellStyle name="Input 178" xfId="9844" xr:uid="{00000000-0005-0000-0000-000074260000}"/>
    <cellStyle name="Input 179" xfId="9845" xr:uid="{00000000-0005-0000-0000-000075260000}"/>
    <cellStyle name="Input 18" xfId="9846" xr:uid="{00000000-0005-0000-0000-000076260000}"/>
    <cellStyle name="Input 18 2" xfId="9847" xr:uid="{00000000-0005-0000-0000-000077260000}"/>
    <cellStyle name="Input 18 2 2" xfId="9848" xr:uid="{00000000-0005-0000-0000-000078260000}"/>
    <cellStyle name="Input 18 2 2 2" xfId="9849" xr:uid="{00000000-0005-0000-0000-000079260000}"/>
    <cellStyle name="Input 18 2 3" xfId="9850" xr:uid="{00000000-0005-0000-0000-00007A260000}"/>
    <cellStyle name="Input 18 3" xfId="9851" xr:uid="{00000000-0005-0000-0000-00007B260000}"/>
    <cellStyle name="Input 18 3 2" xfId="9852" xr:uid="{00000000-0005-0000-0000-00007C260000}"/>
    <cellStyle name="Input 18 4" xfId="9853" xr:uid="{00000000-0005-0000-0000-00007D260000}"/>
    <cellStyle name="Input 19" xfId="9854" xr:uid="{00000000-0005-0000-0000-00007E260000}"/>
    <cellStyle name="Input 19 2" xfId="9855" xr:uid="{00000000-0005-0000-0000-00007F260000}"/>
    <cellStyle name="Input 19 2 2" xfId="9856" xr:uid="{00000000-0005-0000-0000-000080260000}"/>
    <cellStyle name="Input 19 2 2 2" xfId="9857" xr:uid="{00000000-0005-0000-0000-000081260000}"/>
    <cellStyle name="Input 19 2 3" xfId="9858" xr:uid="{00000000-0005-0000-0000-000082260000}"/>
    <cellStyle name="Input 19 3" xfId="9859" xr:uid="{00000000-0005-0000-0000-000083260000}"/>
    <cellStyle name="Input 19 3 2" xfId="9860" xr:uid="{00000000-0005-0000-0000-000084260000}"/>
    <cellStyle name="Input 19 4" xfId="9861" xr:uid="{00000000-0005-0000-0000-000085260000}"/>
    <cellStyle name="Input 2" xfId="9862" xr:uid="{00000000-0005-0000-0000-000086260000}"/>
    <cellStyle name="Input 2 10" xfId="9863" xr:uid="{00000000-0005-0000-0000-000087260000}"/>
    <cellStyle name="Input 2 10 2" xfId="9864" xr:uid="{00000000-0005-0000-0000-000088260000}"/>
    <cellStyle name="Input 2 10 3" xfId="9865" xr:uid="{00000000-0005-0000-0000-000089260000}"/>
    <cellStyle name="Input 2 11" xfId="9866" xr:uid="{00000000-0005-0000-0000-00008A260000}"/>
    <cellStyle name="Input 2 11 2" xfId="9867" xr:uid="{00000000-0005-0000-0000-00008B260000}"/>
    <cellStyle name="Input 2 12" xfId="9868" xr:uid="{00000000-0005-0000-0000-00008C260000}"/>
    <cellStyle name="Input 2 13" xfId="9869" xr:uid="{00000000-0005-0000-0000-00008D260000}"/>
    <cellStyle name="Input 2 2" xfId="9870" xr:uid="{00000000-0005-0000-0000-00008E260000}"/>
    <cellStyle name="Input 2 2 2" xfId="9871" xr:uid="{00000000-0005-0000-0000-00008F260000}"/>
    <cellStyle name="Input 2 2 2 2" xfId="9872" xr:uid="{00000000-0005-0000-0000-000090260000}"/>
    <cellStyle name="Input 2 2 3" xfId="9873" xr:uid="{00000000-0005-0000-0000-000091260000}"/>
    <cellStyle name="Input 2 2 3 2" xfId="9874" xr:uid="{00000000-0005-0000-0000-000092260000}"/>
    <cellStyle name="Input 2 2 3 2 2" xfId="9875" xr:uid="{00000000-0005-0000-0000-000093260000}"/>
    <cellStyle name="Input 2 2 3 3" xfId="9876" xr:uid="{00000000-0005-0000-0000-000094260000}"/>
    <cellStyle name="Input 2 2 4" xfId="9877" xr:uid="{00000000-0005-0000-0000-000095260000}"/>
    <cellStyle name="Input 2 3" xfId="9878" xr:uid="{00000000-0005-0000-0000-000096260000}"/>
    <cellStyle name="Input 2 3 2" xfId="9879" xr:uid="{00000000-0005-0000-0000-000097260000}"/>
    <cellStyle name="Input 2 3 2 2" xfId="9880" xr:uid="{00000000-0005-0000-0000-000098260000}"/>
    <cellStyle name="Input 2 3 2 2 2" xfId="9881" xr:uid="{00000000-0005-0000-0000-000099260000}"/>
    <cellStyle name="Input 2 3 2 3" xfId="9882" xr:uid="{00000000-0005-0000-0000-00009A260000}"/>
    <cellStyle name="Input 2 3 3" xfId="9883" xr:uid="{00000000-0005-0000-0000-00009B260000}"/>
    <cellStyle name="Input 2 3 3 2" xfId="9884" xr:uid="{00000000-0005-0000-0000-00009C260000}"/>
    <cellStyle name="Input 2 3 3 2 2" xfId="9885" xr:uid="{00000000-0005-0000-0000-00009D260000}"/>
    <cellStyle name="Input 2 3 3 2 2 2" xfId="9886" xr:uid="{00000000-0005-0000-0000-00009E260000}"/>
    <cellStyle name="Input 2 3 3 2 3" xfId="9887" xr:uid="{00000000-0005-0000-0000-00009F260000}"/>
    <cellStyle name="Input 2 3 3 3" xfId="9888" xr:uid="{00000000-0005-0000-0000-0000A0260000}"/>
    <cellStyle name="Input 2 3 3 3 2" xfId="9889" xr:uid="{00000000-0005-0000-0000-0000A1260000}"/>
    <cellStyle name="Input 2 3 3 4" xfId="9890" xr:uid="{00000000-0005-0000-0000-0000A2260000}"/>
    <cellStyle name="Input 2 3 4" xfId="9891" xr:uid="{00000000-0005-0000-0000-0000A3260000}"/>
    <cellStyle name="Input 2 3 4 2" xfId="9892" xr:uid="{00000000-0005-0000-0000-0000A4260000}"/>
    <cellStyle name="Input 2 3 5" xfId="9893" xr:uid="{00000000-0005-0000-0000-0000A5260000}"/>
    <cellStyle name="Input 2 4" xfId="9894" xr:uid="{00000000-0005-0000-0000-0000A6260000}"/>
    <cellStyle name="Input 2 4 2" xfId="9895" xr:uid="{00000000-0005-0000-0000-0000A7260000}"/>
    <cellStyle name="Input 2 4 2 2" xfId="9896" xr:uid="{00000000-0005-0000-0000-0000A8260000}"/>
    <cellStyle name="Input 2 4 2 2 2" xfId="9897" xr:uid="{00000000-0005-0000-0000-0000A9260000}"/>
    <cellStyle name="Input 2 4 2 3" xfId="9898" xr:uid="{00000000-0005-0000-0000-0000AA260000}"/>
    <cellStyle name="Input 2 4 3" xfId="9899" xr:uid="{00000000-0005-0000-0000-0000AB260000}"/>
    <cellStyle name="Input 2 4 3 2" xfId="9900" xr:uid="{00000000-0005-0000-0000-0000AC260000}"/>
    <cellStyle name="Input 2 4 4" xfId="9901" xr:uid="{00000000-0005-0000-0000-0000AD260000}"/>
    <cellStyle name="Input 2 5" xfId="9902" xr:uid="{00000000-0005-0000-0000-0000AE260000}"/>
    <cellStyle name="Input 2 5 2" xfId="9903" xr:uid="{00000000-0005-0000-0000-0000AF260000}"/>
    <cellStyle name="Input 2 5 2 2" xfId="9904" xr:uid="{00000000-0005-0000-0000-0000B0260000}"/>
    <cellStyle name="Input 2 5 3" xfId="9905" xr:uid="{00000000-0005-0000-0000-0000B1260000}"/>
    <cellStyle name="Input 2 5 3 2" xfId="9906" xr:uid="{00000000-0005-0000-0000-0000B2260000}"/>
    <cellStyle name="Input 2 5 3 2 2" xfId="9907" xr:uid="{00000000-0005-0000-0000-0000B3260000}"/>
    <cellStyle name="Input 2 5 3 3" xfId="9908" xr:uid="{00000000-0005-0000-0000-0000B4260000}"/>
    <cellStyle name="Input 2 5 4" xfId="9909" xr:uid="{00000000-0005-0000-0000-0000B5260000}"/>
    <cellStyle name="Input 2 6" xfId="9910" xr:uid="{00000000-0005-0000-0000-0000B6260000}"/>
    <cellStyle name="Input 2 6 2" xfId="9911" xr:uid="{00000000-0005-0000-0000-0000B7260000}"/>
    <cellStyle name="Input 2 6 2 2" xfId="9912" xr:uid="{00000000-0005-0000-0000-0000B8260000}"/>
    <cellStyle name="Input 2 6 2 2 2" xfId="9913" xr:uid="{00000000-0005-0000-0000-0000B9260000}"/>
    <cellStyle name="Input 2 6 2 3" xfId="9914" xr:uid="{00000000-0005-0000-0000-0000BA260000}"/>
    <cellStyle name="Input 2 6 3" xfId="9915" xr:uid="{00000000-0005-0000-0000-0000BB260000}"/>
    <cellStyle name="Input 2 6 3 2" xfId="9916" xr:uid="{00000000-0005-0000-0000-0000BC260000}"/>
    <cellStyle name="Input 2 6 3 2 2" xfId="9917" xr:uid="{00000000-0005-0000-0000-0000BD260000}"/>
    <cellStyle name="Input 2 6 3 2 2 2" xfId="9918" xr:uid="{00000000-0005-0000-0000-0000BE260000}"/>
    <cellStyle name="Input 2 6 3 2 2 2 2" xfId="9919" xr:uid="{00000000-0005-0000-0000-0000BF260000}"/>
    <cellStyle name="Input 2 6 3 2 2 3" xfId="9920" xr:uid="{00000000-0005-0000-0000-0000C0260000}"/>
    <cellStyle name="Input 2 6 3 2 3" xfId="9921" xr:uid="{00000000-0005-0000-0000-0000C1260000}"/>
    <cellStyle name="Input 2 6 3 2 3 2" xfId="9922" xr:uid="{00000000-0005-0000-0000-0000C2260000}"/>
    <cellStyle name="Input 2 6 3 2 4" xfId="9923" xr:uid="{00000000-0005-0000-0000-0000C3260000}"/>
    <cellStyle name="Input 2 6 3 3" xfId="9924" xr:uid="{00000000-0005-0000-0000-0000C4260000}"/>
    <cellStyle name="Input 2 6 3 3 2" xfId="9925" xr:uid="{00000000-0005-0000-0000-0000C5260000}"/>
    <cellStyle name="Input 2 6 3 3 2 2" xfId="9926" xr:uid="{00000000-0005-0000-0000-0000C6260000}"/>
    <cellStyle name="Input 2 6 3 3 3" xfId="9927" xr:uid="{00000000-0005-0000-0000-0000C7260000}"/>
    <cellStyle name="Input 2 6 3 4" xfId="9928" xr:uid="{00000000-0005-0000-0000-0000C8260000}"/>
    <cellStyle name="Input 2 6 3 4 2" xfId="9929" xr:uid="{00000000-0005-0000-0000-0000C9260000}"/>
    <cellStyle name="Input 2 6 3 5" xfId="9930" xr:uid="{00000000-0005-0000-0000-0000CA260000}"/>
    <cellStyle name="Input 2 6 4" xfId="9931" xr:uid="{00000000-0005-0000-0000-0000CB260000}"/>
    <cellStyle name="Input 2 6 4 2" xfId="9932" xr:uid="{00000000-0005-0000-0000-0000CC260000}"/>
    <cellStyle name="Input 2 6 4 2 2" xfId="9933" xr:uid="{00000000-0005-0000-0000-0000CD260000}"/>
    <cellStyle name="Input 2 6 4 2 2 2" xfId="9934" xr:uid="{00000000-0005-0000-0000-0000CE260000}"/>
    <cellStyle name="Input 2 6 4 2 3" xfId="9935" xr:uid="{00000000-0005-0000-0000-0000CF260000}"/>
    <cellStyle name="Input 2 6 4 3" xfId="9936" xr:uid="{00000000-0005-0000-0000-0000D0260000}"/>
    <cellStyle name="Input 2 6 4 3 2" xfId="9937" xr:uid="{00000000-0005-0000-0000-0000D1260000}"/>
    <cellStyle name="Input 2 6 4 4" xfId="9938" xr:uid="{00000000-0005-0000-0000-0000D2260000}"/>
    <cellStyle name="Input 2 6 5" xfId="9939" xr:uid="{00000000-0005-0000-0000-0000D3260000}"/>
    <cellStyle name="Input 2 6 5 2" xfId="9940" xr:uid="{00000000-0005-0000-0000-0000D4260000}"/>
    <cellStyle name="Input 2 6 5 2 2" xfId="9941" xr:uid="{00000000-0005-0000-0000-0000D5260000}"/>
    <cellStyle name="Input 2 6 5 3" xfId="9942" xr:uid="{00000000-0005-0000-0000-0000D6260000}"/>
    <cellStyle name="Input 2 6 6" xfId="9943" xr:uid="{00000000-0005-0000-0000-0000D7260000}"/>
    <cellStyle name="Input 2 6 6 2" xfId="9944" xr:uid="{00000000-0005-0000-0000-0000D8260000}"/>
    <cellStyle name="Input 2 6 7" xfId="9945" xr:uid="{00000000-0005-0000-0000-0000D9260000}"/>
    <cellStyle name="Input 2 7" xfId="9946" xr:uid="{00000000-0005-0000-0000-0000DA260000}"/>
    <cellStyle name="Input 2 7 2" xfId="9947" xr:uid="{00000000-0005-0000-0000-0000DB260000}"/>
    <cellStyle name="Input 2 7 2 2" xfId="9948" xr:uid="{00000000-0005-0000-0000-0000DC260000}"/>
    <cellStyle name="Input 2 7 3" xfId="9949" xr:uid="{00000000-0005-0000-0000-0000DD260000}"/>
    <cellStyle name="Input 2 8" xfId="9950" xr:uid="{00000000-0005-0000-0000-0000DE260000}"/>
    <cellStyle name="Input 2 8 2" xfId="9951" xr:uid="{00000000-0005-0000-0000-0000DF260000}"/>
    <cellStyle name="Input 2 8 2 2" xfId="9952" xr:uid="{00000000-0005-0000-0000-0000E0260000}"/>
    <cellStyle name="Input 2 8 2 2 2" xfId="9953" xr:uid="{00000000-0005-0000-0000-0000E1260000}"/>
    <cellStyle name="Input 2 8 2 3" xfId="9954" xr:uid="{00000000-0005-0000-0000-0000E2260000}"/>
    <cellStyle name="Input 2 8 3" xfId="9955" xr:uid="{00000000-0005-0000-0000-0000E3260000}"/>
    <cellStyle name="Input 2 8 3 2" xfId="9956" xr:uid="{00000000-0005-0000-0000-0000E4260000}"/>
    <cellStyle name="Input 2 8 4" xfId="9957" xr:uid="{00000000-0005-0000-0000-0000E5260000}"/>
    <cellStyle name="Input 2 9" xfId="9958" xr:uid="{00000000-0005-0000-0000-0000E6260000}"/>
    <cellStyle name="Input 2 9 2" xfId="9959" xr:uid="{00000000-0005-0000-0000-0000E7260000}"/>
    <cellStyle name="Input 2 9 2 2" xfId="9960" xr:uid="{00000000-0005-0000-0000-0000E8260000}"/>
    <cellStyle name="Input 2 9 2 2 2" xfId="9961" xr:uid="{00000000-0005-0000-0000-0000E9260000}"/>
    <cellStyle name="Input 2 9 2 3" xfId="9962" xr:uid="{00000000-0005-0000-0000-0000EA260000}"/>
    <cellStyle name="Input 2 9 3" xfId="9963" xr:uid="{00000000-0005-0000-0000-0000EB260000}"/>
    <cellStyle name="Input 2 9 3 2" xfId="9964" xr:uid="{00000000-0005-0000-0000-0000EC260000}"/>
    <cellStyle name="Input 2 9 4" xfId="9965" xr:uid="{00000000-0005-0000-0000-0000ED260000}"/>
    <cellStyle name="Input 20" xfId="9966" xr:uid="{00000000-0005-0000-0000-0000EE260000}"/>
    <cellStyle name="Input 20 2" xfId="9967" xr:uid="{00000000-0005-0000-0000-0000EF260000}"/>
    <cellStyle name="Input 20 2 2" xfId="9968" xr:uid="{00000000-0005-0000-0000-0000F0260000}"/>
    <cellStyle name="Input 20 2 2 2" xfId="9969" xr:uid="{00000000-0005-0000-0000-0000F1260000}"/>
    <cellStyle name="Input 20 2 3" xfId="9970" xr:uid="{00000000-0005-0000-0000-0000F2260000}"/>
    <cellStyle name="Input 20 3" xfId="9971" xr:uid="{00000000-0005-0000-0000-0000F3260000}"/>
    <cellStyle name="Input 20 3 2" xfId="9972" xr:uid="{00000000-0005-0000-0000-0000F4260000}"/>
    <cellStyle name="Input 20 4" xfId="9973" xr:uid="{00000000-0005-0000-0000-0000F5260000}"/>
    <cellStyle name="Input 21" xfId="9974" xr:uid="{00000000-0005-0000-0000-0000F6260000}"/>
    <cellStyle name="Input 21 2" xfId="9975" xr:uid="{00000000-0005-0000-0000-0000F7260000}"/>
    <cellStyle name="Input 21 2 2" xfId="9976" xr:uid="{00000000-0005-0000-0000-0000F8260000}"/>
    <cellStyle name="Input 21 2 2 2" xfId="9977" xr:uid="{00000000-0005-0000-0000-0000F9260000}"/>
    <cellStyle name="Input 21 2 3" xfId="9978" xr:uid="{00000000-0005-0000-0000-0000FA260000}"/>
    <cellStyle name="Input 21 3" xfId="9979" xr:uid="{00000000-0005-0000-0000-0000FB260000}"/>
    <cellStyle name="Input 21 3 2" xfId="9980" xr:uid="{00000000-0005-0000-0000-0000FC260000}"/>
    <cellStyle name="Input 21 4" xfId="9981" xr:uid="{00000000-0005-0000-0000-0000FD260000}"/>
    <cellStyle name="Input 22" xfId="9982" xr:uid="{00000000-0005-0000-0000-0000FE260000}"/>
    <cellStyle name="Input 22 2" xfId="9983" xr:uid="{00000000-0005-0000-0000-0000FF260000}"/>
    <cellStyle name="Input 22 2 2" xfId="9984" xr:uid="{00000000-0005-0000-0000-000000270000}"/>
    <cellStyle name="Input 22 2 2 2" xfId="9985" xr:uid="{00000000-0005-0000-0000-000001270000}"/>
    <cellStyle name="Input 22 2 3" xfId="9986" xr:uid="{00000000-0005-0000-0000-000002270000}"/>
    <cellStyle name="Input 22 3" xfId="9987" xr:uid="{00000000-0005-0000-0000-000003270000}"/>
    <cellStyle name="Input 22 3 2" xfId="9988" xr:uid="{00000000-0005-0000-0000-000004270000}"/>
    <cellStyle name="Input 22 4" xfId="9989" xr:uid="{00000000-0005-0000-0000-000005270000}"/>
    <cellStyle name="Input 23" xfId="9990" xr:uid="{00000000-0005-0000-0000-000006270000}"/>
    <cellStyle name="Input 23 2" xfId="9991" xr:uid="{00000000-0005-0000-0000-000007270000}"/>
    <cellStyle name="Input 23 2 2" xfId="9992" xr:uid="{00000000-0005-0000-0000-000008270000}"/>
    <cellStyle name="Input 23 2 2 2" xfId="9993" xr:uid="{00000000-0005-0000-0000-000009270000}"/>
    <cellStyle name="Input 23 2 3" xfId="9994" xr:uid="{00000000-0005-0000-0000-00000A270000}"/>
    <cellStyle name="Input 23 3" xfId="9995" xr:uid="{00000000-0005-0000-0000-00000B270000}"/>
    <cellStyle name="Input 23 3 2" xfId="9996" xr:uid="{00000000-0005-0000-0000-00000C270000}"/>
    <cellStyle name="Input 23 4" xfId="9997" xr:uid="{00000000-0005-0000-0000-00000D270000}"/>
    <cellStyle name="Input 24" xfId="9998" xr:uid="{00000000-0005-0000-0000-00000E270000}"/>
    <cellStyle name="Input 24 2" xfId="9999" xr:uid="{00000000-0005-0000-0000-00000F270000}"/>
    <cellStyle name="Input 24 2 2" xfId="10000" xr:uid="{00000000-0005-0000-0000-000010270000}"/>
    <cellStyle name="Input 24 2 2 2" xfId="10001" xr:uid="{00000000-0005-0000-0000-000011270000}"/>
    <cellStyle name="Input 24 2 3" xfId="10002" xr:uid="{00000000-0005-0000-0000-000012270000}"/>
    <cellStyle name="Input 24 3" xfId="10003" xr:uid="{00000000-0005-0000-0000-000013270000}"/>
    <cellStyle name="Input 24 3 2" xfId="10004" xr:uid="{00000000-0005-0000-0000-000014270000}"/>
    <cellStyle name="Input 24 4" xfId="10005" xr:uid="{00000000-0005-0000-0000-000015270000}"/>
    <cellStyle name="Input 25" xfId="10006" xr:uid="{00000000-0005-0000-0000-000016270000}"/>
    <cellStyle name="Input 25 2" xfId="10007" xr:uid="{00000000-0005-0000-0000-000017270000}"/>
    <cellStyle name="Input 25 2 2" xfId="10008" xr:uid="{00000000-0005-0000-0000-000018270000}"/>
    <cellStyle name="Input 25 2 2 2" xfId="10009" xr:uid="{00000000-0005-0000-0000-000019270000}"/>
    <cellStyle name="Input 25 2 3" xfId="10010" xr:uid="{00000000-0005-0000-0000-00001A270000}"/>
    <cellStyle name="Input 25 3" xfId="10011" xr:uid="{00000000-0005-0000-0000-00001B270000}"/>
    <cellStyle name="Input 25 3 2" xfId="10012" xr:uid="{00000000-0005-0000-0000-00001C270000}"/>
    <cellStyle name="Input 25 4" xfId="10013" xr:uid="{00000000-0005-0000-0000-00001D270000}"/>
    <cellStyle name="Input 26" xfId="10014" xr:uid="{00000000-0005-0000-0000-00001E270000}"/>
    <cellStyle name="Input 26 2" xfId="10015" xr:uid="{00000000-0005-0000-0000-00001F270000}"/>
    <cellStyle name="Input 26 2 2" xfId="10016" xr:uid="{00000000-0005-0000-0000-000020270000}"/>
    <cellStyle name="Input 26 2 2 2" xfId="10017" xr:uid="{00000000-0005-0000-0000-000021270000}"/>
    <cellStyle name="Input 26 2 3" xfId="10018" xr:uid="{00000000-0005-0000-0000-000022270000}"/>
    <cellStyle name="Input 26 3" xfId="10019" xr:uid="{00000000-0005-0000-0000-000023270000}"/>
    <cellStyle name="Input 26 3 2" xfId="10020" xr:uid="{00000000-0005-0000-0000-000024270000}"/>
    <cellStyle name="Input 26 4" xfId="10021" xr:uid="{00000000-0005-0000-0000-000025270000}"/>
    <cellStyle name="Input 27" xfId="10022" xr:uid="{00000000-0005-0000-0000-000026270000}"/>
    <cellStyle name="Input 27 2" xfId="10023" xr:uid="{00000000-0005-0000-0000-000027270000}"/>
    <cellStyle name="Input 27 2 2" xfId="10024" xr:uid="{00000000-0005-0000-0000-000028270000}"/>
    <cellStyle name="Input 27 2 2 2" xfId="10025" xr:uid="{00000000-0005-0000-0000-000029270000}"/>
    <cellStyle name="Input 27 2 3" xfId="10026" xr:uid="{00000000-0005-0000-0000-00002A270000}"/>
    <cellStyle name="Input 27 3" xfId="10027" xr:uid="{00000000-0005-0000-0000-00002B270000}"/>
    <cellStyle name="Input 27 3 2" xfId="10028" xr:uid="{00000000-0005-0000-0000-00002C270000}"/>
    <cellStyle name="Input 27 4" xfId="10029" xr:uid="{00000000-0005-0000-0000-00002D270000}"/>
    <cellStyle name="Input 28" xfId="10030" xr:uid="{00000000-0005-0000-0000-00002E270000}"/>
    <cellStyle name="Input 28 2" xfId="10031" xr:uid="{00000000-0005-0000-0000-00002F270000}"/>
    <cellStyle name="Input 28 2 2" xfId="10032" xr:uid="{00000000-0005-0000-0000-000030270000}"/>
    <cellStyle name="Input 28 2 2 2" xfId="10033" xr:uid="{00000000-0005-0000-0000-000031270000}"/>
    <cellStyle name="Input 28 2 3" xfId="10034" xr:uid="{00000000-0005-0000-0000-000032270000}"/>
    <cellStyle name="Input 28 3" xfId="10035" xr:uid="{00000000-0005-0000-0000-000033270000}"/>
    <cellStyle name="Input 28 3 2" xfId="10036" xr:uid="{00000000-0005-0000-0000-000034270000}"/>
    <cellStyle name="Input 28 4" xfId="10037" xr:uid="{00000000-0005-0000-0000-000035270000}"/>
    <cellStyle name="Input 29" xfId="10038" xr:uid="{00000000-0005-0000-0000-000036270000}"/>
    <cellStyle name="Input 29 2" xfId="10039" xr:uid="{00000000-0005-0000-0000-000037270000}"/>
    <cellStyle name="Input 29 2 2" xfId="10040" xr:uid="{00000000-0005-0000-0000-000038270000}"/>
    <cellStyle name="Input 29 2 2 2" xfId="10041" xr:uid="{00000000-0005-0000-0000-000039270000}"/>
    <cellStyle name="Input 29 2 3" xfId="10042" xr:uid="{00000000-0005-0000-0000-00003A270000}"/>
    <cellStyle name="Input 29 3" xfId="10043" xr:uid="{00000000-0005-0000-0000-00003B270000}"/>
    <cellStyle name="Input 29 3 2" xfId="10044" xr:uid="{00000000-0005-0000-0000-00003C270000}"/>
    <cellStyle name="Input 29 4" xfId="10045" xr:uid="{00000000-0005-0000-0000-00003D270000}"/>
    <cellStyle name="Input 3" xfId="10046" xr:uid="{00000000-0005-0000-0000-00003E270000}"/>
    <cellStyle name="Input 3 10" xfId="10047" xr:uid="{00000000-0005-0000-0000-00003F270000}"/>
    <cellStyle name="Input 3 10 2" xfId="10048" xr:uid="{00000000-0005-0000-0000-000040270000}"/>
    <cellStyle name="Input 3 10 2 2" xfId="10049" xr:uid="{00000000-0005-0000-0000-000041270000}"/>
    <cellStyle name="Input 3 10 3" xfId="10050" xr:uid="{00000000-0005-0000-0000-000042270000}"/>
    <cellStyle name="Input 3 11" xfId="10051" xr:uid="{00000000-0005-0000-0000-000043270000}"/>
    <cellStyle name="Input 3 11 2" xfId="10052" xr:uid="{00000000-0005-0000-0000-000044270000}"/>
    <cellStyle name="Input 3 12" xfId="10053" xr:uid="{00000000-0005-0000-0000-000045270000}"/>
    <cellStyle name="Input 3 2" xfId="10054" xr:uid="{00000000-0005-0000-0000-000046270000}"/>
    <cellStyle name="Input 3 2 2" xfId="10055" xr:uid="{00000000-0005-0000-0000-000047270000}"/>
    <cellStyle name="Input 3 2 2 2" xfId="10056" xr:uid="{00000000-0005-0000-0000-000048270000}"/>
    <cellStyle name="Input 3 2 3" xfId="10057" xr:uid="{00000000-0005-0000-0000-000049270000}"/>
    <cellStyle name="Input 3 2 3 2" xfId="10058" xr:uid="{00000000-0005-0000-0000-00004A270000}"/>
    <cellStyle name="Input 3 2 3 2 2" xfId="10059" xr:uid="{00000000-0005-0000-0000-00004B270000}"/>
    <cellStyle name="Input 3 2 3 3" xfId="10060" xr:uid="{00000000-0005-0000-0000-00004C270000}"/>
    <cellStyle name="Input 3 2 4" xfId="10061" xr:uid="{00000000-0005-0000-0000-00004D270000}"/>
    <cellStyle name="Input 3 3" xfId="10062" xr:uid="{00000000-0005-0000-0000-00004E270000}"/>
    <cellStyle name="Input 3 3 2" xfId="10063" xr:uid="{00000000-0005-0000-0000-00004F270000}"/>
    <cellStyle name="Input 3 3 2 2" xfId="10064" xr:uid="{00000000-0005-0000-0000-000050270000}"/>
    <cellStyle name="Input 3 3 2 2 2" xfId="10065" xr:uid="{00000000-0005-0000-0000-000051270000}"/>
    <cellStyle name="Input 3 3 2 3" xfId="10066" xr:uid="{00000000-0005-0000-0000-000052270000}"/>
    <cellStyle name="Input 3 3 3" xfId="10067" xr:uid="{00000000-0005-0000-0000-000053270000}"/>
    <cellStyle name="Input 3 3 3 2" xfId="10068" xr:uid="{00000000-0005-0000-0000-000054270000}"/>
    <cellStyle name="Input 3 3 3 2 2" xfId="10069" xr:uid="{00000000-0005-0000-0000-000055270000}"/>
    <cellStyle name="Input 3 3 3 2 2 2" xfId="10070" xr:uid="{00000000-0005-0000-0000-000056270000}"/>
    <cellStyle name="Input 3 3 3 2 3" xfId="10071" xr:uid="{00000000-0005-0000-0000-000057270000}"/>
    <cellStyle name="Input 3 3 3 3" xfId="10072" xr:uid="{00000000-0005-0000-0000-000058270000}"/>
    <cellStyle name="Input 3 3 3 3 2" xfId="10073" xr:uid="{00000000-0005-0000-0000-000059270000}"/>
    <cellStyle name="Input 3 3 3 4" xfId="10074" xr:uid="{00000000-0005-0000-0000-00005A270000}"/>
    <cellStyle name="Input 3 3 4" xfId="10075" xr:uid="{00000000-0005-0000-0000-00005B270000}"/>
    <cellStyle name="Input 3 3 4 2" xfId="10076" xr:uid="{00000000-0005-0000-0000-00005C270000}"/>
    <cellStyle name="Input 3 3 5" xfId="10077" xr:uid="{00000000-0005-0000-0000-00005D270000}"/>
    <cellStyle name="Input 3 4" xfId="10078" xr:uid="{00000000-0005-0000-0000-00005E270000}"/>
    <cellStyle name="Input 3 4 2" xfId="10079" xr:uid="{00000000-0005-0000-0000-00005F270000}"/>
    <cellStyle name="Input 3 4 2 2" xfId="10080" xr:uid="{00000000-0005-0000-0000-000060270000}"/>
    <cellStyle name="Input 3 4 2 2 2" xfId="10081" xr:uid="{00000000-0005-0000-0000-000061270000}"/>
    <cellStyle name="Input 3 4 2 3" xfId="10082" xr:uid="{00000000-0005-0000-0000-000062270000}"/>
    <cellStyle name="Input 3 4 3" xfId="10083" xr:uid="{00000000-0005-0000-0000-000063270000}"/>
    <cellStyle name="Input 3 4 3 2" xfId="10084" xr:uid="{00000000-0005-0000-0000-000064270000}"/>
    <cellStyle name="Input 3 4 4" xfId="10085" xr:uid="{00000000-0005-0000-0000-000065270000}"/>
    <cellStyle name="Input 3 5" xfId="10086" xr:uid="{00000000-0005-0000-0000-000066270000}"/>
    <cellStyle name="Input 3 5 2" xfId="10087" xr:uid="{00000000-0005-0000-0000-000067270000}"/>
    <cellStyle name="Input 3 5 2 2" xfId="10088" xr:uid="{00000000-0005-0000-0000-000068270000}"/>
    <cellStyle name="Input 3 5 2 2 2" xfId="10089" xr:uid="{00000000-0005-0000-0000-000069270000}"/>
    <cellStyle name="Input 3 5 2 3" xfId="10090" xr:uid="{00000000-0005-0000-0000-00006A270000}"/>
    <cellStyle name="Input 3 5 3" xfId="10091" xr:uid="{00000000-0005-0000-0000-00006B270000}"/>
    <cellStyle name="Input 3 5 3 2" xfId="10092" xr:uid="{00000000-0005-0000-0000-00006C270000}"/>
    <cellStyle name="Input 3 5 3 2 2" xfId="10093" xr:uid="{00000000-0005-0000-0000-00006D270000}"/>
    <cellStyle name="Input 3 5 3 2 2 2" xfId="10094" xr:uid="{00000000-0005-0000-0000-00006E270000}"/>
    <cellStyle name="Input 3 5 3 2 3" xfId="10095" xr:uid="{00000000-0005-0000-0000-00006F270000}"/>
    <cellStyle name="Input 3 5 3 3" xfId="10096" xr:uid="{00000000-0005-0000-0000-000070270000}"/>
    <cellStyle name="Input 3 5 3 3 2" xfId="10097" xr:uid="{00000000-0005-0000-0000-000071270000}"/>
    <cellStyle name="Input 3 5 3 4" xfId="10098" xr:uid="{00000000-0005-0000-0000-000072270000}"/>
    <cellStyle name="Input 3 5 4" xfId="10099" xr:uid="{00000000-0005-0000-0000-000073270000}"/>
    <cellStyle name="Input 3 5 4 2" xfId="10100" xr:uid="{00000000-0005-0000-0000-000074270000}"/>
    <cellStyle name="Input 3 5 5" xfId="10101" xr:uid="{00000000-0005-0000-0000-000075270000}"/>
    <cellStyle name="Input 3 6" xfId="10102" xr:uid="{00000000-0005-0000-0000-000076270000}"/>
    <cellStyle name="Input 3 6 2" xfId="10103" xr:uid="{00000000-0005-0000-0000-000077270000}"/>
    <cellStyle name="Input 3 6 2 2" xfId="10104" xr:uid="{00000000-0005-0000-0000-000078270000}"/>
    <cellStyle name="Input 3 6 3" xfId="10105" xr:uid="{00000000-0005-0000-0000-000079270000}"/>
    <cellStyle name="Input 3 7" xfId="10106" xr:uid="{00000000-0005-0000-0000-00007A270000}"/>
    <cellStyle name="Input 3 7 2" xfId="10107" xr:uid="{00000000-0005-0000-0000-00007B270000}"/>
    <cellStyle name="Input 3 7 2 2" xfId="10108" xr:uid="{00000000-0005-0000-0000-00007C270000}"/>
    <cellStyle name="Input 3 7 3" xfId="10109" xr:uid="{00000000-0005-0000-0000-00007D270000}"/>
    <cellStyle name="Input 3 8" xfId="10110" xr:uid="{00000000-0005-0000-0000-00007E270000}"/>
    <cellStyle name="Input 3 8 2" xfId="10111" xr:uid="{00000000-0005-0000-0000-00007F270000}"/>
    <cellStyle name="Input 3 8 2 2" xfId="10112" xr:uid="{00000000-0005-0000-0000-000080270000}"/>
    <cellStyle name="Input 3 8 2 2 2" xfId="10113" xr:uid="{00000000-0005-0000-0000-000081270000}"/>
    <cellStyle name="Input 3 8 2 3" xfId="10114" xr:uid="{00000000-0005-0000-0000-000082270000}"/>
    <cellStyle name="Input 3 8 3" xfId="10115" xr:uid="{00000000-0005-0000-0000-000083270000}"/>
    <cellStyle name="Input 3 8 3 2" xfId="10116" xr:uid="{00000000-0005-0000-0000-000084270000}"/>
    <cellStyle name="Input 3 8 4" xfId="10117" xr:uid="{00000000-0005-0000-0000-000085270000}"/>
    <cellStyle name="Input 3 9" xfId="10118" xr:uid="{00000000-0005-0000-0000-000086270000}"/>
    <cellStyle name="Input 3 9 2" xfId="10119" xr:uid="{00000000-0005-0000-0000-000087270000}"/>
    <cellStyle name="Input 3 9 2 2" xfId="10120" xr:uid="{00000000-0005-0000-0000-000088270000}"/>
    <cellStyle name="Input 3 9 2 2 2" xfId="10121" xr:uid="{00000000-0005-0000-0000-000089270000}"/>
    <cellStyle name="Input 3 9 2 2 2 2" xfId="10122" xr:uid="{00000000-0005-0000-0000-00008A270000}"/>
    <cellStyle name="Input 3 9 2 2 2 2 2" xfId="10123" xr:uid="{00000000-0005-0000-0000-00008B270000}"/>
    <cellStyle name="Input 3 9 2 2 2 3" xfId="10124" xr:uid="{00000000-0005-0000-0000-00008C270000}"/>
    <cellStyle name="Input 3 9 2 2 3" xfId="10125" xr:uid="{00000000-0005-0000-0000-00008D270000}"/>
    <cellStyle name="Input 3 9 2 2 3 2" xfId="10126" xr:uid="{00000000-0005-0000-0000-00008E270000}"/>
    <cellStyle name="Input 3 9 2 2 4" xfId="10127" xr:uid="{00000000-0005-0000-0000-00008F270000}"/>
    <cellStyle name="Input 3 9 2 3" xfId="10128" xr:uid="{00000000-0005-0000-0000-000090270000}"/>
    <cellStyle name="Input 3 9 2 3 2" xfId="10129" xr:uid="{00000000-0005-0000-0000-000091270000}"/>
    <cellStyle name="Input 3 9 2 3 2 2" xfId="10130" xr:uid="{00000000-0005-0000-0000-000092270000}"/>
    <cellStyle name="Input 3 9 2 3 3" xfId="10131" xr:uid="{00000000-0005-0000-0000-000093270000}"/>
    <cellStyle name="Input 3 9 2 4" xfId="10132" xr:uid="{00000000-0005-0000-0000-000094270000}"/>
    <cellStyle name="Input 3 9 2 4 2" xfId="10133" xr:uid="{00000000-0005-0000-0000-000095270000}"/>
    <cellStyle name="Input 3 9 2 5" xfId="10134" xr:uid="{00000000-0005-0000-0000-000096270000}"/>
    <cellStyle name="Input 3 9 3" xfId="10135" xr:uid="{00000000-0005-0000-0000-000097270000}"/>
    <cellStyle name="Input 3 9 3 2" xfId="10136" xr:uid="{00000000-0005-0000-0000-000098270000}"/>
    <cellStyle name="Input 3 9 3 2 2" xfId="10137" xr:uid="{00000000-0005-0000-0000-000099270000}"/>
    <cellStyle name="Input 3 9 3 2 2 2" xfId="10138" xr:uid="{00000000-0005-0000-0000-00009A270000}"/>
    <cellStyle name="Input 3 9 3 2 3" xfId="10139" xr:uid="{00000000-0005-0000-0000-00009B270000}"/>
    <cellStyle name="Input 3 9 3 3" xfId="10140" xr:uid="{00000000-0005-0000-0000-00009C270000}"/>
    <cellStyle name="Input 3 9 3 3 2" xfId="10141" xr:uid="{00000000-0005-0000-0000-00009D270000}"/>
    <cellStyle name="Input 3 9 3 4" xfId="10142" xr:uid="{00000000-0005-0000-0000-00009E270000}"/>
    <cellStyle name="Input 3 9 4" xfId="10143" xr:uid="{00000000-0005-0000-0000-00009F270000}"/>
    <cellStyle name="Input 3 9 4 2" xfId="10144" xr:uid="{00000000-0005-0000-0000-0000A0270000}"/>
    <cellStyle name="Input 3 9 4 2 2" xfId="10145" xr:uid="{00000000-0005-0000-0000-0000A1270000}"/>
    <cellStyle name="Input 3 9 4 3" xfId="10146" xr:uid="{00000000-0005-0000-0000-0000A2270000}"/>
    <cellStyle name="Input 3 9 5" xfId="10147" xr:uid="{00000000-0005-0000-0000-0000A3270000}"/>
    <cellStyle name="Input 3 9 5 2" xfId="10148" xr:uid="{00000000-0005-0000-0000-0000A4270000}"/>
    <cellStyle name="Input 3 9 6" xfId="10149" xr:uid="{00000000-0005-0000-0000-0000A5270000}"/>
    <cellStyle name="Input 30" xfId="10150" xr:uid="{00000000-0005-0000-0000-0000A6270000}"/>
    <cellStyle name="Input 30 2" xfId="10151" xr:uid="{00000000-0005-0000-0000-0000A7270000}"/>
    <cellStyle name="Input 30 2 2" xfId="10152" xr:uid="{00000000-0005-0000-0000-0000A8270000}"/>
    <cellStyle name="Input 30 2 2 2" xfId="10153" xr:uid="{00000000-0005-0000-0000-0000A9270000}"/>
    <cellStyle name="Input 30 2 3" xfId="10154" xr:uid="{00000000-0005-0000-0000-0000AA270000}"/>
    <cellStyle name="Input 30 3" xfId="10155" xr:uid="{00000000-0005-0000-0000-0000AB270000}"/>
    <cellStyle name="Input 30 3 2" xfId="10156" xr:uid="{00000000-0005-0000-0000-0000AC270000}"/>
    <cellStyle name="Input 30 4" xfId="10157" xr:uid="{00000000-0005-0000-0000-0000AD270000}"/>
    <cellStyle name="Input 31" xfId="10158" xr:uid="{00000000-0005-0000-0000-0000AE270000}"/>
    <cellStyle name="Input 31 2" xfId="10159" xr:uid="{00000000-0005-0000-0000-0000AF270000}"/>
    <cellStyle name="Input 31 2 2" xfId="10160" xr:uid="{00000000-0005-0000-0000-0000B0270000}"/>
    <cellStyle name="Input 31 2 2 2" xfId="10161" xr:uid="{00000000-0005-0000-0000-0000B1270000}"/>
    <cellStyle name="Input 31 2 3" xfId="10162" xr:uid="{00000000-0005-0000-0000-0000B2270000}"/>
    <cellStyle name="Input 31 3" xfId="10163" xr:uid="{00000000-0005-0000-0000-0000B3270000}"/>
    <cellStyle name="Input 31 3 2" xfId="10164" xr:uid="{00000000-0005-0000-0000-0000B4270000}"/>
    <cellStyle name="Input 31 4" xfId="10165" xr:uid="{00000000-0005-0000-0000-0000B5270000}"/>
    <cellStyle name="Input 32" xfId="10166" xr:uid="{00000000-0005-0000-0000-0000B6270000}"/>
    <cellStyle name="Input 32 2" xfId="10167" xr:uid="{00000000-0005-0000-0000-0000B7270000}"/>
    <cellStyle name="Input 32 2 2" xfId="10168" xr:uid="{00000000-0005-0000-0000-0000B8270000}"/>
    <cellStyle name="Input 32 2 2 2" xfId="10169" xr:uid="{00000000-0005-0000-0000-0000B9270000}"/>
    <cellStyle name="Input 32 2 3" xfId="10170" xr:uid="{00000000-0005-0000-0000-0000BA270000}"/>
    <cellStyle name="Input 32 3" xfId="10171" xr:uid="{00000000-0005-0000-0000-0000BB270000}"/>
    <cellStyle name="Input 32 3 2" xfId="10172" xr:uid="{00000000-0005-0000-0000-0000BC270000}"/>
    <cellStyle name="Input 32 4" xfId="10173" xr:uid="{00000000-0005-0000-0000-0000BD270000}"/>
    <cellStyle name="Input 33" xfId="10174" xr:uid="{00000000-0005-0000-0000-0000BE270000}"/>
    <cellStyle name="Input 33 2" xfId="10175" xr:uid="{00000000-0005-0000-0000-0000BF270000}"/>
    <cellStyle name="Input 33 2 2" xfId="10176" xr:uid="{00000000-0005-0000-0000-0000C0270000}"/>
    <cellStyle name="Input 33 2 2 2" xfId="10177" xr:uid="{00000000-0005-0000-0000-0000C1270000}"/>
    <cellStyle name="Input 33 2 3" xfId="10178" xr:uid="{00000000-0005-0000-0000-0000C2270000}"/>
    <cellStyle name="Input 33 3" xfId="10179" xr:uid="{00000000-0005-0000-0000-0000C3270000}"/>
    <cellStyle name="Input 33 3 2" xfId="10180" xr:uid="{00000000-0005-0000-0000-0000C4270000}"/>
    <cellStyle name="Input 33 4" xfId="10181" xr:uid="{00000000-0005-0000-0000-0000C5270000}"/>
    <cellStyle name="Input 34" xfId="10182" xr:uid="{00000000-0005-0000-0000-0000C6270000}"/>
    <cellStyle name="Input 34 2" xfId="10183" xr:uid="{00000000-0005-0000-0000-0000C7270000}"/>
    <cellStyle name="Input 34 2 2" xfId="10184" xr:uid="{00000000-0005-0000-0000-0000C8270000}"/>
    <cellStyle name="Input 34 2 2 2" xfId="10185" xr:uid="{00000000-0005-0000-0000-0000C9270000}"/>
    <cellStyle name="Input 34 2 3" xfId="10186" xr:uid="{00000000-0005-0000-0000-0000CA270000}"/>
    <cellStyle name="Input 34 3" xfId="10187" xr:uid="{00000000-0005-0000-0000-0000CB270000}"/>
    <cellStyle name="Input 34 3 2" xfId="10188" xr:uid="{00000000-0005-0000-0000-0000CC270000}"/>
    <cellStyle name="Input 34 4" xfId="10189" xr:uid="{00000000-0005-0000-0000-0000CD270000}"/>
    <cellStyle name="Input 35" xfId="10190" xr:uid="{00000000-0005-0000-0000-0000CE270000}"/>
    <cellStyle name="Input 35 2" xfId="10191" xr:uid="{00000000-0005-0000-0000-0000CF270000}"/>
    <cellStyle name="Input 35 2 2" xfId="10192" xr:uid="{00000000-0005-0000-0000-0000D0270000}"/>
    <cellStyle name="Input 35 2 2 2" xfId="10193" xr:uid="{00000000-0005-0000-0000-0000D1270000}"/>
    <cellStyle name="Input 35 2 3" xfId="10194" xr:uid="{00000000-0005-0000-0000-0000D2270000}"/>
    <cellStyle name="Input 35 3" xfId="10195" xr:uid="{00000000-0005-0000-0000-0000D3270000}"/>
    <cellStyle name="Input 35 3 2" xfId="10196" xr:uid="{00000000-0005-0000-0000-0000D4270000}"/>
    <cellStyle name="Input 35 4" xfId="10197" xr:uid="{00000000-0005-0000-0000-0000D5270000}"/>
    <cellStyle name="Input 36" xfId="10198" xr:uid="{00000000-0005-0000-0000-0000D6270000}"/>
    <cellStyle name="Input 36 2" xfId="10199" xr:uid="{00000000-0005-0000-0000-0000D7270000}"/>
    <cellStyle name="Input 36 2 2" xfId="10200" xr:uid="{00000000-0005-0000-0000-0000D8270000}"/>
    <cellStyle name="Input 36 2 2 2" xfId="10201" xr:uid="{00000000-0005-0000-0000-0000D9270000}"/>
    <cellStyle name="Input 36 2 3" xfId="10202" xr:uid="{00000000-0005-0000-0000-0000DA270000}"/>
    <cellStyle name="Input 36 3" xfId="10203" xr:uid="{00000000-0005-0000-0000-0000DB270000}"/>
    <cellStyle name="Input 36 3 2" xfId="10204" xr:uid="{00000000-0005-0000-0000-0000DC270000}"/>
    <cellStyle name="Input 36 4" xfId="10205" xr:uid="{00000000-0005-0000-0000-0000DD270000}"/>
    <cellStyle name="Input 37" xfId="10206" xr:uid="{00000000-0005-0000-0000-0000DE270000}"/>
    <cellStyle name="Input 37 2" xfId="10207" xr:uid="{00000000-0005-0000-0000-0000DF270000}"/>
    <cellStyle name="Input 37 2 2" xfId="10208" xr:uid="{00000000-0005-0000-0000-0000E0270000}"/>
    <cellStyle name="Input 37 2 2 2" xfId="10209" xr:uid="{00000000-0005-0000-0000-0000E1270000}"/>
    <cellStyle name="Input 37 2 3" xfId="10210" xr:uid="{00000000-0005-0000-0000-0000E2270000}"/>
    <cellStyle name="Input 37 3" xfId="10211" xr:uid="{00000000-0005-0000-0000-0000E3270000}"/>
    <cellStyle name="Input 37 3 2" xfId="10212" xr:uid="{00000000-0005-0000-0000-0000E4270000}"/>
    <cellStyle name="Input 37 4" xfId="10213" xr:uid="{00000000-0005-0000-0000-0000E5270000}"/>
    <cellStyle name="Input 38" xfId="10214" xr:uid="{00000000-0005-0000-0000-0000E6270000}"/>
    <cellStyle name="Input 38 2" xfId="10215" xr:uid="{00000000-0005-0000-0000-0000E7270000}"/>
    <cellStyle name="Input 38 2 2" xfId="10216" xr:uid="{00000000-0005-0000-0000-0000E8270000}"/>
    <cellStyle name="Input 38 2 2 2" xfId="10217" xr:uid="{00000000-0005-0000-0000-0000E9270000}"/>
    <cellStyle name="Input 38 2 3" xfId="10218" xr:uid="{00000000-0005-0000-0000-0000EA270000}"/>
    <cellStyle name="Input 38 3" xfId="10219" xr:uid="{00000000-0005-0000-0000-0000EB270000}"/>
    <cellStyle name="Input 38 3 2" xfId="10220" xr:uid="{00000000-0005-0000-0000-0000EC270000}"/>
    <cellStyle name="Input 38 4" xfId="10221" xr:uid="{00000000-0005-0000-0000-0000ED270000}"/>
    <cellStyle name="Input 39" xfId="10222" xr:uid="{00000000-0005-0000-0000-0000EE270000}"/>
    <cellStyle name="Input 39 2" xfId="10223" xr:uid="{00000000-0005-0000-0000-0000EF270000}"/>
    <cellStyle name="Input 39 2 2" xfId="10224" xr:uid="{00000000-0005-0000-0000-0000F0270000}"/>
    <cellStyle name="Input 39 2 2 2" xfId="10225" xr:uid="{00000000-0005-0000-0000-0000F1270000}"/>
    <cellStyle name="Input 39 2 3" xfId="10226" xr:uid="{00000000-0005-0000-0000-0000F2270000}"/>
    <cellStyle name="Input 39 3" xfId="10227" xr:uid="{00000000-0005-0000-0000-0000F3270000}"/>
    <cellStyle name="Input 39 3 2" xfId="10228" xr:uid="{00000000-0005-0000-0000-0000F4270000}"/>
    <cellStyle name="Input 39 4" xfId="10229" xr:uid="{00000000-0005-0000-0000-0000F5270000}"/>
    <cellStyle name="Input 4" xfId="10230" xr:uid="{00000000-0005-0000-0000-0000F6270000}"/>
    <cellStyle name="Input 4 2" xfId="10231" xr:uid="{00000000-0005-0000-0000-0000F7270000}"/>
    <cellStyle name="Input 4 2 2" xfId="10232" xr:uid="{00000000-0005-0000-0000-0000F8270000}"/>
    <cellStyle name="Input 4 2 2 2" xfId="10233" xr:uid="{00000000-0005-0000-0000-0000F9270000}"/>
    <cellStyle name="Input 4 2 3" xfId="10234" xr:uid="{00000000-0005-0000-0000-0000FA270000}"/>
    <cellStyle name="Input 4 2 3 2" xfId="10235" xr:uid="{00000000-0005-0000-0000-0000FB270000}"/>
    <cellStyle name="Input 4 2 3 2 2" xfId="10236" xr:uid="{00000000-0005-0000-0000-0000FC270000}"/>
    <cellStyle name="Input 4 2 3 3" xfId="10237" xr:uid="{00000000-0005-0000-0000-0000FD270000}"/>
    <cellStyle name="Input 4 2 4" xfId="10238" xr:uid="{00000000-0005-0000-0000-0000FE270000}"/>
    <cellStyle name="Input 4 3" xfId="10239" xr:uid="{00000000-0005-0000-0000-0000FF270000}"/>
    <cellStyle name="Input 4 3 2" xfId="10240" xr:uid="{00000000-0005-0000-0000-000000280000}"/>
    <cellStyle name="Input 4 3 2 2" xfId="10241" xr:uid="{00000000-0005-0000-0000-000001280000}"/>
    <cellStyle name="Input 4 3 2 2 2" xfId="10242" xr:uid="{00000000-0005-0000-0000-000002280000}"/>
    <cellStyle name="Input 4 3 2 3" xfId="10243" xr:uid="{00000000-0005-0000-0000-000003280000}"/>
    <cellStyle name="Input 4 3 3" xfId="10244" xr:uid="{00000000-0005-0000-0000-000004280000}"/>
    <cellStyle name="Input 4 3 3 2" xfId="10245" xr:uid="{00000000-0005-0000-0000-000005280000}"/>
    <cellStyle name="Input 4 3 3 2 2" xfId="10246" xr:uid="{00000000-0005-0000-0000-000006280000}"/>
    <cellStyle name="Input 4 3 3 2 2 2" xfId="10247" xr:uid="{00000000-0005-0000-0000-000007280000}"/>
    <cellStyle name="Input 4 3 3 2 3" xfId="10248" xr:uid="{00000000-0005-0000-0000-000008280000}"/>
    <cellStyle name="Input 4 3 3 3" xfId="10249" xr:uid="{00000000-0005-0000-0000-000009280000}"/>
    <cellStyle name="Input 4 3 3 3 2" xfId="10250" xr:uid="{00000000-0005-0000-0000-00000A280000}"/>
    <cellStyle name="Input 4 3 3 4" xfId="10251" xr:uid="{00000000-0005-0000-0000-00000B280000}"/>
    <cellStyle name="Input 4 3 4" xfId="10252" xr:uid="{00000000-0005-0000-0000-00000C280000}"/>
    <cellStyle name="Input 4 3 4 2" xfId="10253" xr:uid="{00000000-0005-0000-0000-00000D280000}"/>
    <cellStyle name="Input 4 3 5" xfId="10254" xr:uid="{00000000-0005-0000-0000-00000E280000}"/>
    <cellStyle name="Input 4 4" xfId="10255" xr:uid="{00000000-0005-0000-0000-00000F280000}"/>
    <cellStyle name="Input 4 4 2" xfId="10256" xr:uid="{00000000-0005-0000-0000-000010280000}"/>
    <cellStyle name="Input 4 4 2 2" xfId="10257" xr:uid="{00000000-0005-0000-0000-000011280000}"/>
    <cellStyle name="Input 4 4 2 2 2" xfId="10258" xr:uid="{00000000-0005-0000-0000-000012280000}"/>
    <cellStyle name="Input 4 4 2 3" xfId="10259" xr:uid="{00000000-0005-0000-0000-000013280000}"/>
    <cellStyle name="Input 4 4 3" xfId="10260" xr:uid="{00000000-0005-0000-0000-000014280000}"/>
    <cellStyle name="Input 4 4 3 2" xfId="10261" xr:uid="{00000000-0005-0000-0000-000015280000}"/>
    <cellStyle name="Input 4 4 4" xfId="10262" xr:uid="{00000000-0005-0000-0000-000016280000}"/>
    <cellStyle name="Input 4 5" xfId="10263" xr:uid="{00000000-0005-0000-0000-000017280000}"/>
    <cellStyle name="Input 4 5 2" xfId="10264" xr:uid="{00000000-0005-0000-0000-000018280000}"/>
    <cellStyle name="Input 4 5 2 2" xfId="10265" xr:uid="{00000000-0005-0000-0000-000019280000}"/>
    <cellStyle name="Input 4 5 3" xfId="10266" xr:uid="{00000000-0005-0000-0000-00001A280000}"/>
    <cellStyle name="Input 4 6" xfId="10267" xr:uid="{00000000-0005-0000-0000-00001B280000}"/>
    <cellStyle name="Input 4 6 2" xfId="10268" xr:uid="{00000000-0005-0000-0000-00001C280000}"/>
    <cellStyle name="Input 4 6 2 2" xfId="10269" xr:uid="{00000000-0005-0000-0000-00001D280000}"/>
    <cellStyle name="Input 4 6 2 2 2" xfId="10270" xr:uid="{00000000-0005-0000-0000-00001E280000}"/>
    <cellStyle name="Input 4 6 2 2 2 2" xfId="10271" xr:uid="{00000000-0005-0000-0000-00001F280000}"/>
    <cellStyle name="Input 4 6 2 2 2 2 2" xfId="10272" xr:uid="{00000000-0005-0000-0000-000020280000}"/>
    <cellStyle name="Input 4 6 2 2 2 3" xfId="10273" xr:uid="{00000000-0005-0000-0000-000021280000}"/>
    <cellStyle name="Input 4 6 2 2 3" xfId="10274" xr:uid="{00000000-0005-0000-0000-000022280000}"/>
    <cellStyle name="Input 4 6 2 2 3 2" xfId="10275" xr:uid="{00000000-0005-0000-0000-000023280000}"/>
    <cellStyle name="Input 4 6 2 2 4" xfId="10276" xr:uid="{00000000-0005-0000-0000-000024280000}"/>
    <cellStyle name="Input 4 6 2 3" xfId="10277" xr:uid="{00000000-0005-0000-0000-000025280000}"/>
    <cellStyle name="Input 4 6 2 3 2" xfId="10278" xr:uid="{00000000-0005-0000-0000-000026280000}"/>
    <cellStyle name="Input 4 6 2 3 2 2" xfId="10279" xr:uid="{00000000-0005-0000-0000-000027280000}"/>
    <cellStyle name="Input 4 6 2 3 3" xfId="10280" xr:uid="{00000000-0005-0000-0000-000028280000}"/>
    <cellStyle name="Input 4 6 2 4" xfId="10281" xr:uid="{00000000-0005-0000-0000-000029280000}"/>
    <cellStyle name="Input 4 6 2 4 2" xfId="10282" xr:uid="{00000000-0005-0000-0000-00002A280000}"/>
    <cellStyle name="Input 4 6 2 5" xfId="10283" xr:uid="{00000000-0005-0000-0000-00002B280000}"/>
    <cellStyle name="Input 4 6 3" xfId="10284" xr:uid="{00000000-0005-0000-0000-00002C280000}"/>
    <cellStyle name="Input 4 6 3 2" xfId="10285" xr:uid="{00000000-0005-0000-0000-00002D280000}"/>
    <cellStyle name="Input 4 6 3 2 2" xfId="10286" xr:uid="{00000000-0005-0000-0000-00002E280000}"/>
    <cellStyle name="Input 4 6 3 2 2 2" xfId="10287" xr:uid="{00000000-0005-0000-0000-00002F280000}"/>
    <cellStyle name="Input 4 6 3 2 3" xfId="10288" xr:uid="{00000000-0005-0000-0000-000030280000}"/>
    <cellStyle name="Input 4 6 3 3" xfId="10289" xr:uid="{00000000-0005-0000-0000-000031280000}"/>
    <cellStyle name="Input 4 6 3 3 2" xfId="10290" xr:uid="{00000000-0005-0000-0000-000032280000}"/>
    <cellStyle name="Input 4 6 3 4" xfId="10291" xr:uid="{00000000-0005-0000-0000-000033280000}"/>
    <cellStyle name="Input 4 6 4" xfId="10292" xr:uid="{00000000-0005-0000-0000-000034280000}"/>
    <cellStyle name="Input 4 6 4 2" xfId="10293" xr:uid="{00000000-0005-0000-0000-000035280000}"/>
    <cellStyle name="Input 4 6 4 2 2" xfId="10294" xr:uid="{00000000-0005-0000-0000-000036280000}"/>
    <cellStyle name="Input 4 6 4 3" xfId="10295" xr:uid="{00000000-0005-0000-0000-000037280000}"/>
    <cellStyle name="Input 4 6 5" xfId="10296" xr:uid="{00000000-0005-0000-0000-000038280000}"/>
    <cellStyle name="Input 4 6 5 2" xfId="10297" xr:uid="{00000000-0005-0000-0000-000039280000}"/>
    <cellStyle name="Input 4 6 6" xfId="10298" xr:uid="{00000000-0005-0000-0000-00003A280000}"/>
    <cellStyle name="Input 4 7" xfId="10299" xr:uid="{00000000-0005-0000-0000-00003B280000}"/>
    <cellStyle name="Input 4 7 2" xfId="10300" xr:uid="{00000000-0005-0000-0000-00003C280000}"/>
    <cellStyle name="Input 4 7 2 2" xfId="10301" xr:uid="{00000000-0005-0000-0000-00003D280000}"/>
    <cellStyle name="Input 4 7 3" xfId="10302" xr:uid="{00000000-0005-0000-0000-00003E280000}"/>
    <cellStyle name="Input 4 8" xfId="10303" xr:uid="{00000000-0005-0000-0000-00003F280000}"/>
    <cellStyle name="Input 4 8 2" xfId="10304" xr:uid="{00000000-0005-0000-0000-000040280000}"/>
    <cellStyle name="Input 4 9" xfId="10305" xr:uid="{00000000-0005-0000-0000-000041280000}"/>
    <cellStyle name="Input 40" xfId="10306" xr:uid="{00000000-0005-0000-0000-000042280000}"/>
    <cellStyle name="Input 40 2" xfId="10307" xr:uid="{00000000-0005-0000-0000-000043280000}"/>
    <cellStyle name="Input 40 2 2" xfId="10308" xr:uid="{00000000-0005-0000-0000-000044280000}"/>
    <cellStyle name="Input 40 2 2 2" xfId="10309" xr:uid="{00000000-0005-0000-0000-000045280000}"/>
    <cellStyle name="Input 40 2 3" xfId="10310" xr:uid="{00000000-0005-0000-0000-000046280000}"/>
    <cellStyle name="Input 40 3" xfId="10311" xr:uid="{00000000-0005-0000-0000-000047280000}"/>
    <cellStyle name="Input 40 3 2" xfId="10312" xr:uid="{00000000-0005-0000-0000-000048280000}"/>
    <cellStyle name="Input 40 4" xfId="10313" xr:uid="{00000000-0005-0000-0000-000049280000}"/>
    <cellStyle name="Input 41" xfId="10314" xr:uid="{00000000-0005-0000-0000-00004A280000}"/>
    <cellStyle name="Input 41 2" xfId="10315" xr:uid="{00000000-0005-0000-0000-00004B280000}"/>
    <cellStyle name="Input 41 2 2" xfId="10316" xr:uid="{00000000-0005-0000-0000-00004C280000}"/>
    <cellStyle name="Input 41 2 2 2" xfId="10317" xr:uid="{00000000-0005-0000-0000-00004D280000}"/>
    <cellStyle name="Input 41 2 3" xfId="10318" xr:uid="{00000000-0005-0000-0000-00004E280000}"/>
    <cellStyle name="Input 41 3" xfId="10319" xr:uid="{00000000-0005-0000-0000-00004F280000}"/>
    <cellStyle name="Input 41 3 2" xfId="10320" xr:uid="{00000000-0005-0000-0000-000050280000}"/>
    <cellStyle name="Input 41 4" xfId="10321" xr:uid="{00000000-0005-0000-0000-000051280000}"/>
    <cellStyle name="Input 42" xfId="10322" xr:uid="{00000000-0005-0000-0000-000052280000}"/>
    <cellStyle name="Input 42 2" xfId="10323" xr:uid="{00000000-0005-0000-0000-000053280000}"/>
    <cellStyle name="Input 42 2 2" xfId="10324" xr:uid="{00000000-0005-0000-0000-000054280000}"/>
    <cellStyle name="Input 42 2 2 2" xfId="10325" xr:uid="{00000000-0005-0000-0000-000055280000}"/>
    <cellStyle name="Input 42 2 3" xfId="10326" xr:uid="{00000000-0005-0000-0000-000056280000}"/>
    <cellStyle name="Input 42 3" xfId="10327" xr:uid="{00000000-0005-0000-0000-000057280000}"/>
    <cellStyle name="Input 42 3 2" xfId="10328" xr:uid="{00000000-0005-0000-0000-000058280000}"/>
    <cellStyle name="Input 42 4" xfId="10329" xr:uid="{00000000-0005-0000-0000-000059280000}"/>
    <cellStyle name="Input 43" xfId="10330" xr:uid="{00000000-0005-0000-0000-00005A280000}"/>
    <cellStyle name="Input 43 2" xfId="10331" xr:uid="{00000000-0005-0000-0000-00005B280000}"/>
    <cellStyle name="Input 43 2 2" xfId="10332" xr:uid="{00000000-0005-0000-0000-00005C280000}"/>
    <cellStyle name="Input 43 2 2 2" xfId="10333" xr:uid="{00000000-0005-0000-0000-00005D280000}"/>
    <cellStyle name="Input 43 2 3" xfId="10334" xr:uid="{00000000-0005-0000-0000-00005E280000}"/>
    <cellStyle name="Input 43 3" xfId="10335" xr:uid="{00000000-0005-0000-0000-00005F280000}"/>
    <cellStyle name="Input 43 3 2" xfId="10336" xr:uid="{00000000-0005-0000-0000-000060280000}"/>
    <cellStyle name="Input 43 4" xfId="10337" xr:uid="{00000000-0005-0000-0000-000061280000}"/>
    <cellStyle name="Input 44" xfId="10338" xr:uid="{00000000-0005-0000-0000-000062280000}"/>
    <cellStyle name="Input 44 2" xfId="10339" xr:uid="{00000000-0005-0000-0000-000063280000}"/>
    <cellStyle name="Input 44 2 2" xfId="10340" xr:uid="{00000000-0005-0000-0000-000064280000}"/>
    <cellStyle name="Input 44 2 2 2" xfId="10341" xr:uid="{00000000-0005-0000-0000-000065280000}"/>
    <cellStyle name="Input 44 2 3" xfId="10342" xr:uid="{00000000-0005-0000-0000-000066280000}"/>
    <cellStyle name="Input 44 3" xfId="10343" xr:uid="{00000000-0005-0000-0000-000067280000}"/>
    <cellStyle name="Input 44 3 2" xfId="10344" xr:uid="{00000000-0005-0000-0000-000068280000}"/>
    <cellStyle name="Input 44 4" xfId="10345" xr:uid="{00000000-0005-0000-0000-000069280000}"/>
    <cellStyle name="Input 45" xfId="10346" xr:uid="{00000000-0005-0000-0000-00006A280000}"/>
    <cellStyle name="Input 45 2" xfId="10347" xr:uid="{00000000-0005-0000-0000-00006B280000}"/>
    <cellStyle name="Input 45 2 2" xfId="10348" xr:uid="{00000000-0005-0000-0000-00006C280000}"/>
    <cellStyle name="Input 45 2 2 2" xfId="10349" xr:uid="{00000000-0005-0000-0000-00006D280000}"/>
    <cellStyle name="Input 45 2 3" xfId="10350" xr:uid="{00000000-0005-0000-0000-00006E280000}"/>
    <cellStyle name="Input 45 3" xfId="10351" xr:uid="{00000000-0005-0000-0000-00006F280000}"/>
    <cellStyle name="Input 45 3 2" xfId="10352" xr:uid="{00000000-0005-0000-0000-000070280000}"/>
    <cellStyle name="Input 45 4" xfId="10353" xr:uid="{00000000-0005-0000-0000-000071280000}"/>
    <cellStyle name="Input 46" xfId="10354" xr:uid="{00000000-0005-0000-0000-000072280000}"/>
    <cellStyle name="Input 46 2" xfId="10355" xr:uid="{00000000-0005-0000-0000-000073280000}"/>
    <cellStyle name="Input 46 2 2" xfId="10356" xr:uid="{00000000-0005-0000-0000-000074280000}"/>
    <cellStyle name="Input 46 2 2 2" xfId="10357" xr:uid="{00000000-0005-0000-0000-000075280000}"/>
    <cellStyle name="Input 46 2 3" xfId="10358" xr:uid="{00000000-0005-0000-0000-000076280000}"/>
    <cellStyle name="Input 46 3" xfId="10359" xr:uid="{00000000-0005-0000-0000-000077280000}"/>
    <cellStyle name="Input 46 3 2" xfId="10360" xr:uid="{00000000-0005-0000-0000-000078280000}"/>
    <cellStyle name="Input 46 4" xfId="10361" xr:uid="{00000000-0005-0000-0000-000079280000}"/>
    <cellStyle name="Input 47" xfId="10362" xr:uid="{00000000-0005-0000-0000-00007A280000}"/>
    <cellStyle name="Input 47 2" xfId="10363" xr:uid="{00000000-0005-0000-0000-00007B280000}"/>
    <cellStyle name="Input 47 2 2" xfId="10364" xr:uid="{00000000-0005-0000-0000-00007C280000}"/>
    <cellStyle name="Input 47 2 2 2" xfId="10365" xr:uid="{00000000-0005-0000-0000-00007D280000}"/>
    <cellStyle name="Input 47 2 3" xfId="10366" xr:uid="{00000000-0005-0000-0000-00007E280000}"/>
    <cellStyle name="Input 47 3" xfId="10367" xr:uid="{00000000-0005-0000-0000-00007F280000}"/>
    <cellStyle name="Input 47 3 2" xfId="10368" xr:uid="{00000000-0005-0000-0000-000080280000}"/>
    <cellStyle name="Input 47 4" xfId="10369" xr:uid="{00000000-0005-0000-0000-000081280000}"/>
    <cellStyle name="Input 48" xfId="10370" xr:uid="{00000000-0005-0000-0000-000082280000}"/>
    <cellStyle name="Input 48 2" xfId="10371" xr:uid="{00000000-0005-0000-0000-000083280000}"/>
    <cellStyle name="Input 48 2 2" xfId="10372" xr:uid="{00000000-0005-0000-0000-000084280000}"/>
    <cellStyle name="Input 48 2 2 2" xfId="10373" xr:uid="{00000000-0005-0000-0000-000085280000}"/>
    <cellStyle name="Input 48 2 3" xfId="10374" xr:uid="{00000000-0005-0000-0000-000086280000}"/>
    <cellStyle name="Input 48 3" xfId="10375" xr:uid="{00000000-0005-0000-0000-000087280000}"/>
    <cellStyle name="Input 48 3 2" xfId="10376" xr:uid="{00000000-0005-0000-0000-000088280000}"/>
    <cellStyle name="Input 48 3 2 2" xfId="10377" xr:uid="{00000000-0005-0000-0000-000089280000}"/>
    <cellStyle name="Input 48 3 2 2 2" xfId="10378" xr:uid="{00000000-0005-0000-0000-00008A280000}"/>
    <cellStyle name="Input 48 3 2 3" xfId="10379" xr:uid="{00000000-0005-0000-0000-00008B280000}"/>
    <cellStyle name="Input 48 3 3" xfId="10380" xr:uid="{00000000-0005-0000-0000-00008C280000}"/>
    <cellStyle name="Input 48 3 3 2" xfId="10381" xr:uid="{00000000-0005-0000-0000-00008D280000}"/>
    <cellStyle name="Input 48 3 4" xfId="10382" xr:uid="{00000000-0005-0000-0000-00008E280000}"/>
    <cellStyle name="Input 48 4" xfId="10383" xr:uid="{00000000-0005-0000-0000-00008F280000}"/>
    <cellStyle name="Input 48 4 2" xfId="10384" xr:uid="{00000000-0005-0000-0000-000090280000}"/>
    <cellStyle name="Input 48 5" xfId="10385" xr:uid="{00000000-0005-0000-0000-000091280000}"/>
    <cellStyle name="Input 49" xfId="10386" xr:uid="{00000000-0005-0000-0000-000092280000}"/>
    <cellStyle name="Input 49 2" xfId="10387" xr:uid="{00000000-0005-0000-0000-000093280000}"/>
    <cellStyle name="Input 49 2 2" xfId="10388" xr:uid="{00000000-0005-0000-0000-000094280000}"/>
    <cellStyle name="Input 49 2 2 2" xfId="10389" xr:uid="{00000000-0005-0000-0000-000095280000}"/>
    <cellStyle name="Input 49 2 3" xfId="10390" xr:uid="{00000000-0005-0000-0000-000096280000}"/>
    <cellStyle name="Input 49 3" xfId="10391" xr:uid="{00000000-0005-0000-0000-000097280000}"/>
    <cellStyle name="Input 49 3 2" xfId="10392" xr:uid="{00000000-0005-0000-0000-000098280000}"/>
    <cellStyle name="Input 49 3 2 2" xfId="10393" xr:uid="{00000000-0005-0000-0000-000099280000}"/>
    <cellStyle name="Input 49 3 2 2 2" xfId="10394" xr:uid="{00000000-0005-0000-0000-00009A280000}"/>
    <cellStyle name="Input 49 3 2 3" xfId="10395" xr:uid="{00000000-0005-0000-0000-00009B280000}"/>
    <cellStyle name="Input 49 3 3" xfId="10396" xr:uid="{00000000-0005-0000-0000-00009C280000}"/>
    <cellStyle name="Input 49 3 3 2" xfId="10397" xr:uid="{00000000-0005-0000-0000-00009D280000}"/>
    <cellStyle name="Input 49 3 4" xfId="10398" xr:uid="{00000000-0005-0000-0000-00009E280000}"/>
    <cellStyle name="Input 49 4" xfId="10399" xr:uid="{00000000-0005-0000-0000-00009F280000}"/>
    <cellStyle name="Input 49 4 2" xfId="10400" xr:uid="{00000000-0005-0000-0000-0000A0280000}"/>
    <cellStyle name="Input 49 5" xfId="10401" xr:uid="{00000000-0005-0000-0000-0000A1280000}"/>
    <cellStyle name="Input 5" xfId="10402" xr:uid="{00000000-0005-0000-0000-0000A2280000}"/>
    <cellStyle name="Input 5 2" xfId="10403" xr:uid="{00000000-0005-0000-0000-0000A3280000}"/>
    <cellStyle name="Input 5 2 2" xfId="10404" xr:uid="{00000000-0005-0000-0000-0000A4280000}"/>
    <cellStyle name="Input 5 2 2 2" xfId="10405" xr:uid="{00000000-0005-0000-0000-0000A5280000}"/>
    <cellStyle name="Input 5 2 2 2 2" xfId="10406" xr:uid="{00000000-0005-0000-0000-0000A6280000}"/>
    <cellStyle name="Input 5 2 2 3" xfId="10407" xr:uid="{00000000-0005-0000-0000-0000A7280000}"/>
    <cellStyle name="Input 5 2 3" xfId="10408" xr:uid="{00000000-0005-0000-0000-0000A8280000}"/>
    <cellStyle name="Input 5 2 3 2" xfId="10409" xr:uid="{00000000-0005-0000-0000-0000A9280000}"/>
    <cellStyle name="Input 5 2 3 2 2" xfId="10410" xr:uid="{00000000-0005-0000-0000-0000AA280000}"/>
    <cellStyle name="Input 5 2 3 2 2 2" xfId="10411" xr:uid="{00000000-0005-0000-0000-0000AB280000}"/>
    <cellStyle name="Input 5 2 3 2 3" xfId="10412" xr:uid="{00000000-0005-0000-0000-0000AC280000}"/>
    <cellStyle name="Input 5 2 3 3" xfId="10413" xr:uid="{00000000-0005-0000-0000-0000AD280000}"/>
    <cellStyle name="Input 5 2 3 3 2" xfId="10414" xr:uid="{00000000-0005-0000-0000-0000AE280000}"/>
    <cellStyle name="Input 5 2 3 4" xfId="10415" xr:uid="{00000000-0005-0000-0000-0000AF280000}"/>
    <cellStyle name="Input 5 2 4" xfId="10416" xr:uid="{00000000-0005-0000-0000-0000B0280000}"/>
    <cellStyle name="Input 5 2 4 2" xfId="10417" xr:uid="{00000000-0005-0000-0000-0000B1280000}"/>
    <cellStyle name="Input 5 2 5" xfId="10418" xr:uid="{00000000-0005-0000-0000-0000B2280000}"/>
    <cellStyle name="Input 5 3" xfId="10419" xr:uid="{00000000-0005-0000-0000-0000B3280000}"/>
    <cellStyle name="Input 5 3 2" xfId="10420" xr:uid="{00000000-0005-0000-0000-0000B4280000}"/>
    <cellStyle name="Input 5 3 2 2" xfId="10421" xr:uid="{00000000-0005-0000-0000-0000B5280000}"/>
    <cellStyle name="Input 5 3 2 2 2" xfId="10422" xr:uid="{00000000-0005-0000-0000-0000B6280000}"/>
    <cellStyle name="Input 5 3 2 3" xfId="10423" xr:uid="{00000000-0005-0000-0000-0000B7280000}"/>
    <cellStyle name="Input 5 3 3" xfId="10424" xr:uid="{00000000-0005-0000-0000-0000B8280000}"/>
    <cellStyle name="Input 5 3 3 2" xfId="10425" xr:uid="{00000000-0005-0000-0000-0000B9280000}"/>
    <cellStyle name="Input 5 3 3 2 2" xfId="10426" xr:uid="{00000000-0005-0000-0000-0000BA280000}"/>
    <cellStyle name="Input 5 3 3 2 2 2" xfId="10427" xr:uid="{00000000-0005-0000-0000-0000BB280000}"/>
    <cellStyle name="Input 5 3 3 2 3" xfId="10428" xr:uid="{00000000-0005-0000-0000-0000BC280000}"/>
    <cellStyle name="Input 5 3 3 3" xfId="10429" xr:uid="{00000000-0005-0000-0000-0000BD280000}"/>
    <cellStyle name="Input 5 3 3 3 2" xfId="10430" xr:uid="{00000000-0005-0000-0000-0000BE280000}"/>
    <cellStyle name="Input 5 3 3 4" xfId="10431" xr:uid="{00000000-0005-0000-0000-0000BF280000}"/>
    <cellStyle name="Input 5 3 4" xfId="10432" xr:uid="{00000000-0005-0000-0000-0000C0280000}"/>
    <cellStyle name="Input 5 3 4 2" xfId="10433" xr:uid="{00000000-0005-0000-0000-0000C1280000}"/>
    <cellStyle name="Input 5 3 5" xfId="10434" xr:uid="{00000000-0005-0000-0000-0000C2280000}"/>
    <cellStyle name="Input 5 4" xfId="10435" xr:uid="{00000000-0005-0000-0000-0000C3280000}"/>
    <cellStyle name="Input 5 4 2" xfId="10436" xr:uid="{00000000-0005-0000-0000-0000C4280000}"/>
    <cellStyle name="Input 5 4 2 2" xfId="10437" xr:uid="{00000000-0005-0000-0000-0000C5280000}"/>
    <cellStyle name="Input 5 4 3" xfId="10438" xr:uid="{00000000-0005-0000-0000-0000C6280000}"/>
    <cellStyle name="Input 5 5" xfId="10439" xr:uid="{00000000-0005-0000-0000-0000C7280000}"/>
    <cellStyle name="Input 5 5 2" xfId="10440" xr:uid="{00000000-0005-0000-0000-0000C8280000}"/>
    <cellStyle name="Input 5 5 2 2" xfId="10441" xr:uid="{00000000-0005-0000-0000-0000C9280000}"/>
    <cellStyle name="Input 5 5 2 2 2" xfId="10442" xr:uid="{00000000-0005-0000-0000-0000CA280000}"/>
    <cellStyle name="Input 5 5 2 2 2 2" xfId="10443" xr:uid="{00000000-0005-0000-0000-0000CB280000}"/>
    <cellStyle name="Input 5 5 2 2 2 2 2" xfId="10444" xr:uid="{00000000-0005-0000-0000-0000CC280000}"/>
    <cellStyle name="Input 5 5 2 2 2 3" xfId="10445" xr:uid="{00000000-0005-0000-0000-0000CD280000}"/>
    <cellStyle name="Input 5 5 2 2 3" xfId="10446" xr:uid="{00000000-0005-0000-0000-0000CE280000}"/>
    <cellStyle name="Input 5 5 2 2 3 2" xfId="10447" xr:uid="{00000000-0005-0000-0000-0000CF280000}"/>
    <cellStyle name="Input 5 5 2 2 4" xfId="10448" xr:uid="{00000000-0005-0000-0000-0000D0280000}"/>
    <cellStyle name="Input 5 5 2 3" xfId="10449" xr:uid="{00000000-0005-0000-0000-0000D1280000}"/>
    <cellStyle name="Input 5 5 2 3 2" xfId="10450" xr:uid="{00000000-0005-0000-0000-0000D2280000}"/>
    <cellStyle name="Input 5 5 2 3 2 2" xfId="10451" xr:uid="{00000000-0005-0000-0000-0000D3280000}"/>
    <cellStyle name="Input 5 5 2 3 3" xfId="10452" xr:uid="{00000000-0005-0000-0000-0000D4280000}"/>
    <cellStyle name="Input 5 5 2 4" xfId="10453" xr:uid="{00000000-0005-0000-0000-0000D5280000}"/>
    <cellStyle name="Input 5 5 2 4 2" xfId="10454" xr:uid="{00000000-0005-0000-0000-0000D6280000}"/>
    <cellStyle name="Input 5 5 2 5" xfId="10455" xr:uid="{00000000-0005-0000-0000-0000D7280000}"/>
    <cellStyle name="Input 5 5 3" xfId="10456" xr:uid="{00000000-0005-0000-0000-0000D8280000}"/>
    <cellStyle name="Input 5 5 3 2" xfId="10457" xr:uid="{00000000-0005-0000-0000-0000D9280000}"/>
    <cellStyle name="Input 5 5 3 2 2" xfId="10458" xr:uid="{00000000-0005-0000-0000-0000DA280000}"/>
    <cellStyle name="Input 5 5 3 2 2 2" xfId="10459" xr:uid="{00000000-0005-0000-0000-0000DB280000}"/>
    <cellStyle name="Input 5 5 3 2 3" xfId="10460" xr:uid="{00000000-0005-0000-0000-0000DC280000}"/>
    <cellStyle name="Input 5 5 3 3" xfId="10461" xr:uid="{00000000-0005-0000-0000-0000DD280000}"/>
    <cellStyle name="Input 5 5 3 3 2" xfId="10462" xr:uid="{00000000-0005-0000-0000-0000DE280000}"/>
    <cellStyle name="Input 5 5 3 4" xfId="10463" xr:uid="{00000000-0005-0000-0000-0000DF280000}"/>
    <cellStyle name="Input 5 5 4" xfId="10464" xr:uid="{00000000-0005-0000-0000-0000E0280000}"/>
    <cellStyle name="Input 5 5 4 2" xfId="10465" xr:uid="{00000000-0005-0000-0000-0000E1280000}"/>
    <cellStyle name="Input 5 5 4 2 2" xfId="10466" xr:uid="{00000000-0005-0000-0000-0000E2280000}"/>
    <cellStyle name="Input 5 5 4 3" xfId="10467" xr:uid="{00000000-0005-0000-0000-0000E3280000}"/>
    <cellStyle name="Input 5 5 5" xfId="10468" xr:uid="{00000000-0005-0000-0000-0000E4280000}"/>
    <cellStyle name="Input 5 5 5 2" xfId="10469" xr:uid="{00000000-0005-0000-0000-0000E5280000}"/>
    <cellStyle name="Input 5 5 6" xfId="10470" xr:uid="{00000000-0005-0000-0000-0000E6280000}"/>
    <cellStyle name="Input 5 6" xfId="10471" xr:uid="{00000000-0005-0000-0000-0000E7280000}"/>
    <cellStyle name="Input 5 6 2" xfId="10472" xr:uid="{00000000-0005-0000-0000-0000E8280000}"/>
    <cellStyle name="Input 5 7" xfId="10473" xr:uid="{00000000-0005-0000-0000-0000E9280000}"/>
    <cellStyle name="Input 50" xfId="10474" xr:uid="{00000000-0005-0000-0000-0000EA280000}"/>
    <cellStyle name="Input 50 2" xfId="10475" xr:uid="{00000000-0005-0000-0000-0000EB280000}"/>
    <cellStyle name="Input 50 2 2" xfId="10476" xr:uid="{00000000-0005-0000-0000-0000EC280000}"/>
    <cellStyle name="Input 50 2 2 2" xfId="10477" xr:uid="{00000000-0005-0000-0000-0000ED280000}"/>
    <cellStyle name="Input 50 2 3" xfId="10478" xr:uid="{00000000-0005-0000-0000-0000EE280000}"/>
    <cellStyle name="Input 50 3" xfId="10479" xr:uid="{00000000-0005-0000-0000-0000EF280000}"/>
    <cellStyle name="Input 50 3 2" xfId="10480" xr:uid="{00000000-0005-0000-0000-0000F0280000}"/>
    <cellStyle name="Input 50 3 2 2" xfId="10481" xr:uid="{00000000-0005-0000-0000-0000F1280000}"/>
    <cellStyle name="Input 50 3 2 2 2" xfId="10482" xr:uid="{00000000-0005-0000-0000-0000F2280000}"/>
    <cellStyle name="Input 50 3 2 3" xfId="10483" xr:uid="{00000000-0005-0000-0000-0000F3280000}"/>
    <cellStyle name="Input 50 3 3" xfId="10484" xr:uid="{00000000-0005-0000-0000-0000F4280000}"/>
    <cellStyle name="Input 50 3 3 2" xfId="10485" xr:uid="{00000000-0005-0000-0000-0000F5280000}"/>
    <cellStyle name="Input 50 3 4" xfId="10486" xr:uid="{00000000-0005-0000-0000-0000F6280000}"/>
    <cellStyle name="Input 50 4" xfId="10487" xr:uid="{00000000-0005-0000-0000-0000F7280000}"/>
    <cellStyle name="Input 50 4 2" xfId="10488" xr:uid="{00000000-0005-0000-0000-0000F8280000}"/>
    <cellStyle name="Input 50 5" xfId="10489" xr:uid="{00000000-0005-0000-0000-0000F9280000}"/>
    <cellStyle name="Input 51" xfId="10490" xr:uid="{00000000-0005-0000-0000-0000FA280000}"/>
    <cellStyle name="Input 51 2" xfId="10491" xr:uid="{00000000-0005-0000-0000-0000FB280000}"/>
    <cellStyle name="Input 51 2 2" xfId="10492" xr:uid="{00000000-0005-0000-0000-0000FC280000}"/>
    <cellStyle name="Input 51 2 2 2" xfId="10493" xr:uid="{00000000-0005-0000-0000-0000FD280000}"/>
    <cellStyle name="Input 51 2 3" xfId="10494" xr:uid="{00000000-0005-0000-0000-0000FE280000}"/>
    <cellStyle name="Input 51 3" xfId="10495" xr:uid="{00000000-0005-0000-0000-0000FF280000}"/>
    <cellStyle name="Input 51 3 2" xfId="10496" xr:uid="{00000000-0005-0000-0000-000000290000}"/>
    <cellStyle name="Input 51 3 2 2" xfId="10497" xr:uid="{00000000-0005-0000-0000-000001290000}"/>
    <cellStyle name="Input 51 3 2 2 2" xfId="10498" xr:uid="{00000000-0005-0000-0000-000002290000}"/>
    <cellStyle name="Input 51 3 2 3" xfId="10499" xr:uid="{00000000-0005-0000-0000-000003290000}"/>
    <cellStyle name="Input 51 3 3" xfId="10500" xr:uid="{00000000-0005-0000-0000-000004290000}"/>
    <cellStyle name="Input 51 3 3 2" xfId="10501" xr:uid="{00000000-0005-0000-0000-000005290000}"/>
    <cellStyle name="Input 51 3 4" xfId="10502" xr:uid="{00000000-0005-0000-0000-000006290000}"/>
    <cellStyle name="Input 51 4" xfId="10503" xr:uid="{00000000-0005-0000-0000-000007290000}"/>
    <cellStyle name="Input 51 4 2" xfId="10504" xr:uid="{00000000-0005-0000-0000-000008290000}"/>
    <cellStyle name="Input 51 5" xfId="10505" xr:uid="{00000000-0005-0000-0000-000009290000}"/>
    <cellStyle name="Input 52" xfId="10506" xr:uid="{00000000-0005-0000-0000-00000A290000}"/>
    <cellStyle name="Input 52 2" xfId="10507" xr:uid="{00000000-0005-0000-0000-00000B290000}"/>
    <cellStyle name="Input 52 2 2" xfId="10508" xr:uid="{00000000-0005-0000-0000-00000C290000}"/>
    <cellStyle name="Input 52 2 2 2" xfId="10509" xr:uid="{00000000-0005-0000-0000-00000D290000}"/>
    <cellStyle name="Input 52 2 3" xfId="10510" xr:uid="{00000000-0005-0000-0000-00000E290000}"/>
    <cellStyle name="Input 52 3" xfId="10511" xr:uid="{00000000-0005-0000-0000-00000F290000}"/>
    <cellStyle name="Input 52 3 2" xfId="10512" xr:uid="{00000000-0005-0000-0000-000010290000}"/>
    <cellStyle name="Input 52 4" xfId="10513" xr:uid="{00000000-0005-0000-0000-000011290000}"/>
    <cellStyle name="Input 53" xfId="10514" xr:uid="{00000000-0005-0000-0000-000012290000}"/>
    <cellStyle name="Input 53 2" xfId="10515" xr:uid="{00000000-0005-0000-0000-000013290000}"/>
    <cellStyle name="Input 53 2 2" xfId="10516" xr:uid="{00000000-0005-0000-0000-000014290000}"/>
    <cellStyle name="Input 53 2 2 2" xfId="10517" xr:uid="{00000000-0005-0000-0000-000015290000}"/>
    <cellStyle name="Input 53 2 3" xfId="10518" xr:uid="{00000000-0005-0000-0000-000016290000}"/>
    <cellStyle name="Input 53 3" xfId="10519" xr:uid="{00000000-0005-0000-0000-000017290000}"/>
    <cellStyle name="Input 53 3 2" xfId="10520" xr:uid="{00000000-0005-0000-0000-000018290000}"/>
    <cellStyle name="Input 53 4" xfId="10521" xr:uid="{00000000-0005-0000-0000-000019290000}"/>
    <cellStyle name="Input 54" xfId="10522" xr:uid="{00000000-0005-0000-0000-00001A290000}"/>
    <cellStyle name="Input 54 2" xfId="10523" xr:uid="{00000000-0005-0000-0000-00001B290000}"/>
    <cellStyle name="Input 54 2 2" xfId="10524" xr:uid="{00000000-0005-0000-0000-00001C290000}"/>
    <cellStyle name="Input 54 2 2 2" xfId="10525" xr:uid="{00000000-0005-0000-0000-00001D290000}"/>
    <cellStyle name="Input 54 2 3" xfId="10526" xr:uid="{00000000-0005-0000-0000-00001E290000}"/>
    <cellStyle name="Input 54 3" xfId="10527" xr:uid="{00000000-0005-0000-0000-00001F290000}"/>
    <cellStyle name="Input 54 3 2" xfId="10528" xr:uid="{00000000-0005-0000-0000-000020290000}"/>
    <cellStyle name="Input 54 4" xfId="10529" xr:uid="{00000000-0005-0000-0000-000021290000}"/>
    <cellStyle name="Input 55" xfId="10530" xr:uid="{00000000-0005-0000-0000-000022290000}"/>
    <cellStyle name="Input 55 2" xfId="10531" xr:uid="{00000000-0005-0000-0000-000023290000}"/>
    <cellStyle name="Input 55 2 2" xfId="10532" xr:uid="{00000000-0005-0000-0000-000024290000}"/>
    <cellStyle name="Input 55 2 2 2" xfId="10533" xr:uid="{00000000-0005-0000-0000-000025290000}"/>
    <cellStyle name="Input 55 2 3" xfId="10534" xr:uid="{00000000-0005-0000-0000-000026290000}"/>
    <cellStyle name="Input 55 3" xfId="10535" xr:uid="{00000000-0005-0000-0000-000027290000}"/>
    <cellStyle name="Input 55 3 2" xfId="10536" xr:uid="{00000000-0005-0000-0000-000028290000}"/>
    <cellStyle name="Input 55 4" xfId="10537" xr:uid="{00000000-0005-0000-0000-000029290000}"/>
    <cellStyle name="Input 56" xfId="10538" xr:uid="{00000000-0005-0000-0000-00002A290000}"/>
    <cellStyle name="Input 56 2" xfId="10539" xr:uid="{00000000-0005-0000-0000-00002B290000}"/>
    <cellStyle name="Input 56 2 2" xfId="10540" xr:uid="{00000000-0005-0000-0000-00002C290000}"/>
    <cellStyle name="Input 56 2 2 2" xfId="10541" xr:uid="{00000000-0005-0000-0000-00002D290000}"/>
    <cellStyle name="Input 56 2 3" xfId="10542" xr:uid="{00000000-0005-0000-0000-00002E290000}"/>
    <cellStyle name="Input 56 3" xfId="10543" xr:uid="{00000000-0005-0000-0000-00002F290000}"/>
    <cellStyle name="Input 56 3 2" xfId="10544" xr:uid="{00000000-0005-0000-0000-000030290000}"/>
    <cellStyle name="Input 56 4" xfId="10545" xr:uid="{00000000-0005-0000-0000-000031290000}"/>
    <cellStyle name="Input 57" xfId="10546" xr:uid="{00000000-0005-0000-0000-000032290000}"/>
    <cellStyle name="Input 57 2" xfId="10547" xr:uid="{00000000-0005-0000-0000-000033290000}"/>
    <cellStyle name="Input 57 2 2" xfId="10548" xr:uid="{00000000-0005-0000-0000-000034290000}"/>
    <cellStyle name="Input 57 2 2 2" xfId="10549" xr:uid="{00000000-0005-0000-0000-000035290000}"/>
    <cellStyle name="Input 57 2 3" xfId="10550" xr:uid="{00000000-0005-0000-0000-000036290000}"/>
    <cellStyle name="Input 57 3" xfId="10551" xr:uid="{00000000-0005-0000-0000-000037290000}"/>
    <cellStyle name="Input 57 3 2" xfId="10552" xr:uid="{00000000-0005-0000-0000-000038290000}"/>
    <cellStyle name="Input 57 4" xfId="10553" xr:uid="{00000000-0005-0000-0000-000039290000}"/>
    <cellStyle name="Input 58" xfId="10554" xr:uid="{00000000-0005-0000-0000-00003A290000}"/>
    <cellStyle name="Input 58 2" xfId="10555" xr:uid="{00000000-0005-0000-0000-00003B290000}"/>
    <cellStyle name="Input 58 2 2" xfId="10556" xr:uid="{00000000-0005-0000-0000-00003C290000}"/>
    <cellStyle name="Input 58 2 2 2" xfId="10557" xr:uid="{00000000-0005-0000-0000-00003D290000}"/>
    <cellStyle name="Input 58 2 3" xfId="10558" xr:uid="{00000000-0005-0000-0000-00003E290000}"/>
    <cellStyle name="Input 58 3" xfId="10559" xr:uid="{00000000-0005-0000-0000-00003F290000}"/>
    <cellStyle name="Input 58 3 2" xfId="10560" xr:uid="{00000000-0005-0000-0000-000040290000}"/>
    <cellStyle name="Input 58 3 2 2" xfId="10561" xr:uid="{00000000-0005-0000-0000-000041290000}"/>
    <cellStyle name="Input 58 3 2 2 2" xfId="10562" xr:uid="{00000000-0005-0000-0000-000042290000}"/>
    <cellStyle name="Input 58 3 2 3" xfId="10563" xr:uid="{00000000-0005-0000-0000-000043290000}"/>
    <cellStyle name="Input 58 3 3" xfId="10564" xr:uid="{00000000-0005-0000-0000-000044290000}"/>
    <cellStyle name="Input 58 3 3 2" xfId="10565" xr:uid="{00000000-0005-0000-0000-000045290000}"/>
    <cellStyle name="Input 58 3 4" xfId="10566" xr:uid="{00000000-0005-0000-0000-000046290000}"/>
    <cellStyle name="Input 58 4" xfId="10567" xr:uid="{00000000-0005-0000-0000-000047290000}"/>
    <cellStyle name="Input 58 4 2" xfId="10568" xr:uid="{00000000-0005-0000-0000-000048290000}"/>
    <cellStyle name="Input 58 5" xfId="10569" xr:uid="{00000000-0005-0000-0000-000049290000}"/>
    <cellStyle name="Input 59" xfId="10570" xr:uid="{00000000-0005-0000-0000-00004A290000}"/>
    <cellStyle name="Input 59 2" xfId="10571" xr:uid="{00000000-0005-0000-0000-00004B290000}"/>
    <cellStyle name="Input 59 2 2" xfId="10572" xr:uid="{00000000-0005-0000-0000-00004C290000}"/>
    <cellStyle name="Input 59 2 2 2" xfId="10573" xr:uid="{00000000-0005-0000-0000-00004D290000}"/>
    <cellStyle name="Input 59 2 3" xfId="10574" xr:uid="{00000000-0005-0000-0000-00004E290000}"/>
    <cellStyle name="Input 59 3" xfId="10575" xr:uid="{00000000-0005-0000-0000-00004F290000}"/>
    <cellStyle name="Input 59 3 2" xfId="10576" xr:uid="{00000000-0005-0000-0000-000050290000}"/>
    <cellStyle name="Input 59 3 2 2" xfId="10577" xr:uid="{00000000-0005-0000-0000-000051290000}"/>
    <cellStyle name="Input 59 3 2 2 2" xfId="10578" xr:uid="{00000000-0005-0000-0000-000052290000}"/>
    <cellStyle name="Input 59 3 2 3" xfId="10579" xr:uid="{00000000-0005-0000-0000-000053290000}"/>
    <cellStyle name="Input 59 3 3" xfId="10580" xr:uid="{00000000-0005-0000-0000-000054290000}"/>
    <cellStyle name="Input 59 3 3 2" xfId="10581" xr:uid="{00000000-0005-0000-0000-000055290000}"/>
    <cellStyle name="Input 59 3 4" xfId="10582" xr:uid="{00000000-0005-0000-0000-000056290000}"/>
    <cellStyle name="Input 59 4" xfId="10583" xr:uid="{00000000-0005-0000-0000-000057290000}"/>
    <cellStyle name="Input 59 4 2" xfId="10584" xr:uid="{00000000-0005-0000-0000-000058290000}"/>
    <cellStyle name="Input 59 5" xfId="10585" xr:uid="{00000000-0005-0000-0000-000059290000}"/>
    <cellStyle name="Input 6" xfId="10586" xr:uid="{00000000-0005-0000-0000-00005A290000}"/>
    <cellStyle name="Input 6 2" xfId="10587" xr:uid="{00000000-0005-0000-0000-00005B290000}"/>
    <cellStyle name="Input 6 2 2" xfId="10588" xr:uid="{00000000-0005-0000-0000-00005C290000}"/>
    <cellStyle name="Input 6 2 2 2" xfId="10589" xr:uid="{00000000-0005-0000-0000-00005D290000}"/>
    <cellStyle name="Input 6 2 2 2 2" xfId="10590" xr:uid="{00000000-0005-0000-0000-00005E290000}"/>
    <cellStyle name="Input 6 2 2 3" xfId="10591" xr:uid="{00000000-0005-0000-0000-00005F290000}"/>
    <cellStyle name="Input 6 2 3" xfId="10592" xr:uid="{00000000-0005-0000-0000-000060290000}"/>
    <cellStyle name="Input 6 2 3 2" xfId="10593" xr:uid="{00000000-0005-0000-0000-000061290000}"/>
    <cellStyle name="Input 6 2 3 2 2" xfId="10594" xr:uid="{00000000-0005-0000-0000-000062290000}"/>
    <cellStyle name="Input 6 2 3 2 2 2" xfId="10595" xr:uid="{00000000-0005-0000-0000-000063290000}"/>
    <cellStyle name="Input 6 2 3 2 3" xfId="10596" xr:uid="{00000000-0005-0000-0000-000064290000}"/>
    <cellStyle name="Input 6 2 3 3" xfId="10597" xr:uid="{00000000-0005-0000-0000-000065290000}"/>
    <cellStyle name="Input 6 2 3 3 2" xfId="10598" xr:uid="{00000000-0005-0000-0000-000066290000}"/>
    <cellStyle name="Input 6 2 3 4" xfId="10599" xr:uid="{00000000-0005-0000-0000-000067290000}"/>
    <cellStyle name="Input 6 2 4" xfId="10600" xr:uid="{00000000-0005-0000-0000-000068290000}"/>
    <cellStyle name="Input 6 2 4 2" xfId="10601" xr:uid="{00000000-0005-0000-0000-000069290000}"/>
    <cellStyle name="Input 6 2 5" xfId="10602" xr:uid="{00000000-0005-0000-0000-00006A290000}"/>
    <cellStyle name="Input 6 3" xfId="10603" xr:uid="{00000000-0005-0000-0000-00006B290000}"/>
    <cellStyle name="Input 6 3 2" xfId="10604" xr:uid="{00000000-0005-0000-0000-00006C290000}"/>
    <cellStyle name="Input 6 3 2 2" xfId="10605" xr:uid="{00000000-0005-0000-0000-00006D290000}"/>
    <cellStyle name="Input 6 3 3" xfId="10606" xr:uid="{00000000-0005-0000-0000-00006E290000}"/>
    <cellStyle name="Input 6 4" xfId="10607" xr:uid="{00000000-0005-0000-0000-00006F290000}"/>
    <cellStyle name="Input 6 4 2" xfId="10608" xr:uid="{00000000-0005-0000-0000-000070290000}"/>
    <cellStyle name="Input 6 4 2 2" xfId="10609" xr:uid="{00000000-0005-0000-0000-000071290000}"/>
    <cellStyle name="Input 6 4 2 2 2" xfId="10610" xr:uid="{00000000-0005-0000-0000-000072290000}"/>
    <cellStyle name="Input 6 4 2 2 2 2" xfId="10611" xr:uid="{00000000-0005-0000-0000-000073290000}"/>
    <cellStyle name="Input 6 4 2 2 2 2 2" xfId="10612" xr:uid="{00000000-0005-0000-0000-000074290000}"/>
    <cellStyle name="Input 6 4 2 2 2 3" xfId="10613" xr:uid="{00000000-0005-0000-0000-000075290000}"/>
    <cellStyle name="Input 6 4 2 2 3" xfId="10614" xr:uid="{00000000-0005-0000-0000-000076290000}"/>
    <cellStyle name="Input 6 4 2 2 3 2" xfId="10615" xr:uid="{00000000-0005-0000-0000-000077290000}"/>
    <cellStyle name="Input 6 4 2 2 4" xfId="10616" xr:uid="{00000000-0005-0000-0000-000078290000}"/>
    <cellStyle name="Input 6 4 2 3" xfId="10617" xr:uid="{00000000-0005-0000-0000-000079290000}"/>
    <cellStyle name="Input 6 4 2 3 2" xfId="10618" xr:uid="{00000000-0005-0000-0000-00007A290000}"/>
    <cellStyle name="Input 6 4 2 3 2 2" xfId="10619" xr:uid="{00000000-0005-0000-0000-00007B290000}"/>
    <cellStyle name="Input 6 4 2 3 3" xfId="10620" xr:uid="{00000000-0005-0000-0000-00007C290000}"/>
    <cellStyle name="Input 6 4 2 4" xfId="10621" xr:uid="{00000000-0005-0000-0000-00007D290000}"/>
    <cellStyle name="Input 6 4 2 4 2" xfId="10622" xr:uid="{00000000-0005-0000-0000-00007E290000}"/>
    <cellStyle name="Input 6 4 2 5" xfId="10623" xr:uid="{00000000-0005-0000-0000-00007F290000}"/>
    <cellStyle name="Input 6 4 3" xfId="10624" xr:uid="{00000000-0005-0000-0000-000080290000}"/>
    <cellStyle name="Input 6 4 3 2" xfId="10625" xr:uid="{00000000-0005-0000-0000-000081290000}"/>
    <cellStyle name="Input 6 4 3 2 2" xfId="10626" xr:uid="{00000000-0005-0000-0000-000082290000}"/>
    <cellStyle name="Input 6 4 3 2 2 2" xfId="10627" xr:uid="{00000000-0005-0000-0000-000083290000}"/>
    <cellStyle name="Input 6 4 3 2 3" xfId="10628" xr:uid="{00000000-0005-0000-0000-000084290000}"/>
    <cellStyle name="Input 6 4 3 3" xfId="10629" xr:uid="{00000000-0005-0000-0000-000085290000}"/>
    <cellStyle name="Input 6 4 3 3 2" xfId="10630" xr:uid="{00000000-0005-0000-0000-000086290000}"/>
    <cellStyle name="Input 6 4 3 4" xfId="10631" xr:uid="{00000000-0005-0000-0000-000087290000}"/>
    <cellStyle name="Input 6 4 4" xfId="10632" xr:uid="{00000000-0005-0000-0000-000088290000}"/>
    <cellStyle name="Input 6 4 4 2" xfId="10633" xr:uid="{00000000-0005-0000-0000-000089290000}"/>
    <cellStyle name="Input 6 4 4 2 2" xfId="10634" xr:uid="{00000000-0005-0000-0000-00008A290000}"/>
    <cellStyle name="Input 6 4 4 3" xfId="10635" xr:uid="{00000000-0005-0000-0000-00008B290000}"/>
    <cellStyle name="Input 6 4 5" xfId="10636" xr:uid="{00000000-0005-0000-0000-00008C290000}"/>
    <cellStyle name="Input 6 4 5 2" xfId="10637" xr:uid="{00000000-0005-0000-0000-00008D290000}"/>
    <cellStyle name="Input 6 4 6" xfId="10638" xr:uid="{00000000-0005-0000-0000-00008E290000}"/>
    <cellStyle name="Input 6 5" xfId="10639" xr:uid="{00000000-0005-0000-0000-00008F290000}"/>
    <cellStyle name="Input 6 5 2" xfId="10640" xr:uid="{00000000-0005-0000-0000-000090290000}"/>
    <cellStyle name="Input 6 6" xfId="10641" xr:uid="{00000000-0005-0000-0000-000091290000}"/>
    <cellStyle name="Input 60" xfId="10642" xr:uid="{00000000-0005-0000-0000-000092290000}"/>
    <cellStyle name="Input 60 2" xfId="10643" xr:uid="{00000000-0005-0000-0000-000093290000}"/>
    <cellStyle name="Input 60 2 2" xfId="10644" xr:uid="{00000000-0005-0000-0000-000094290000}"/>
    <cellStyle name="Input 60 2 2 2" xfId="10645" xr:uid="{00000000-0005-0000-0000-000095290000}"/>
    <cellStyle name="Input 60 2 3" xfId="10646" xr:uid="{00000000-0005-0000-0000-000096290000}"/>
    <cellStyle name="Input 60 3" xfId="10647" xr:uid="{00000000-0005-0000-0000-000097290000}"/>
    <cellStyle name="Input 60 3 2" xfId="10648" xr:uid="{00000000-0005-0000-0000-000098290000}"/>
    <cellStyle name="Input 60 3 2 2" xfId="10649" xr:uid="{00000000-0005-0000-0000-000099290000}"/>
    <cellStyle name="Input 60 3 2 2 2" xfId="10650" xr:uid="{00000000-0005-0000-0000-00009A290000}"/>
    <cellStyle name="Input 60 3 2 3" xfId="10651" xr:uid="{00000000-0005-0000-0000-00009B290000}"/>
    <cellStyle name="Input 60 3 3" xfId="10652" xr:uid="{00000000-0005-0000-0000-00009C290000}"/>
    <cellStyle name="Input 60 3 3 2" xfId="10653" xr:uid="{00000000-0005-0000-0000-00009D290000}"/>
    <cellStyle name="Input 60 3 4" xfId="10654" xr:uid="{00000000-0005-0000-0000-00009E290000}"/>
    <cellStyle name="Input 60 4" xfId="10655" xr:uid="{00000000-0005-0000-0000-00009F290000}"/>
    <cellStyle name="Input 60 4 2" xfId="10656" xr:uid="{00000000-0005-0000-0000-0000A0290000}"/>
    <cellStyle name="Input 60 5" xfId="10657" xr:uid="{00000000-0005-0000-0000-0000A1290000}"/>
    <cellStyle name="Input 61" xfId="10658" xr:uid="{00000000-0005-0000-0000-0000A2290000}"/>
    <cellStyle name="Input 61 2" xfId="10659" xr:uid="{00000000-0005-0000-0000-0000A3290000}"/>
    <cellStyle name="Input 61 2 2" xfId="10660" xr:uid="{00000000-0005-0000-0000-0000A4290000}"/>
    <cellStyle name="Input 61 2 2 2" xfId="10661" xr:uid="{00000000-0005-0000-0000-0000A5290000}"/>
    <cellStyle name="Input 61 2 3" xfId="10662" xr:uid="{00000000-0005-0000-0000-0000A6290000}"/>
    <cellStyle name="Input 61 3" xfId="10663" xr:uid="{00000000-0005-0000-0000-0000A7290000}"/>
    <cellStyle name="Input 61 3 2" xfId="10664" xr:uid="{00000000-0005-0000-0000-0000A8290000}"/>
    <cellStyle name="Input 61 3 2 2" xfId="10665" xr:uid="{00000000-0005-0000-0000-0000A9290000}"/>
    <cellStyle name="Input 61 3 2 2 2" xfId="10666" xr:uid="{00000000-0005-0000-0000-0000AA290000}"/>
    <cellStyle name="Input 61 3 2 3" xfId="10667" xr:uid="{00000000-0005-0000-0000-0000AB290000}"/>
    <cellStyle name="Input 61 3 3" xfId="10668" xr:uid="{00000000-0005-0000-0000-0000AC290000}"/>
    <cellStyle name="Input 61 3 3 2" xfId="10669" xr:uid="{00000000-0005-0000-0000-0000AD290000}"/>
    <cellStyle name="Input 61 3 4" xfId="10670" xr:uid="{00000000-0005-0000-0000-0000AE290000}"/>
    <cellStyle name="Input 61 4" xfId="10671" xr:uid="{00000000-0005-0000-0000-0000AF290000}"/>
    <cellStyle name="Input 61 4 2" xfId="10672" xr:uid="{00000000-0005-0000-0000-0000B0290000}"/>
    <cellStyle name="Input 61 5" xfId="10673" xr:uid="{00000000-0005-0000-0000-0000B1290000}"/>
    <cellStyle name="Input 62" xfId="10674" xr:uid="{00000000-0005-0000-0000-0000B2290000}"/>
    <cellStyle name="Input 62 2" xfId="10675" xr:uid="{00000000-0005-0000-0000-0000B3290000}"/>
    <cellStyle name="Input 62 2 2" xfId="10676" xr:uid="{00000000-0005-0000-0000-0000B4290000}"/>
    <cellStyle name="Input 62 2 2 2" xfId="10677" xr:uid="{00000000-0005-0000-0000-0000B5290000}"/>
    <cellStyle name="Input 62 2 3" xfId="10678" xr:uid="{00000000-0005-0000-0000-0000B6290000}"/>
    <cellStyle name="Input 62 3" xfId="10679" xr:uid="{00000000-0005-0000-0000-0000B7290000}"/>
    <cellStyle name="Input 62 3 2" xfId="10680" xr:uid="{00000000-0005-0000-0000-0000B8290000}"/>
    <cellStyle name="Input 62 3 2 2" xfId="10681" xr:uid="{00000000-0005-0000-0000-0000B9290000}"/>
    <cellStyle name="Input 62 3 2 2 2" xfId="10682" xr:uid="{00000000-0005-0000-0000-0000BA290000}"/>
    <cellStyle name="Input 62 3 2 3" xfId="10683" xr:uid="{00000000-0005-0000-0000-0000BB290000}"/>
    <cellStyle name="Input 62 3 3" xfId="10684" xr:uid="{00000000-0005-0000-0000-0000BC290000}"/>
    <cellStyle name="Input 62 3 3 2" xfId="10685" xr:uid="{00000000-0005-0000-0000-0000BD290000}"/>
    <cellStyle name="Input 62 3 4" xfId="10686" xr:uid="{00000000-0005-0000-0000-0000BE290000}"/>
    <cellStyle name="Input 62 4" xfId="10687" xr:uid="{00000000-0005-0000-0000-0000BF290000}"/>
    <cellStyle name="Input 62 4 2" xfId="10688" xr:uid="{00000000-0005-0000-0000-0000C0290000}"/>
    <cellStyle name="Input 62 5" xfId="10689" xr:uid="{00000000-0005-0000-0000-0000C1290000}"/>
    <cellStyle name="Input 63" xfId="10690" xr:uid="{00000000-0005-0000-0000-0000C2290000}"/>
    <cellStyle name="Input 63 2" xfId="10691" xr:uid="{00000000-0005-0000-0000-0000C3290000}"/>
    <cellStyle name="Input 63 2 2" xfId="10692" xr:uid="{00000000-0005-0000-0000-0000C4290000}"/>
    <cellStyle name="Input 63 2 2 2" xfId="10693" xr:uid="{00000000-0005-0000-0000-0000C5290000}"/>
    <cellStyle name="Input 63 2 3" xfId="10694" xr:uid="{00000000-0005-0000-0000-0000C6290000}"/>
    <cellStyle name="Input 63 3" xfId="10695" xr:uid="{00000000-0005-0000-0000-0000C7290000}"/>
    <cellStyle name="Input 63 3 2" xfId="10696" xr:uid="{00000000-0005-0000-0000-0000C8290000}"/>
    <cellStyle name="Input 63 3 2 2" xfId="10697" xr:uid="{00000000-0005-0000-0000-0000C9290000}"/>
    <cellStyle name="Input 63 3 2 2 2" xfId="10698" xr:uid="{00000000-0005-0000-0000-0000CA290000}"/>
    <cellStyle name="Input 63 3 2 3" xfId="10699" xr:uid="{00000000-0005-0000-0000-0000CB290000}"/>
    <cellStyle name="Input 63 3 3" xfId="10700" xr:uid="{00000000-0005-0000-0000-0000CC290000}"/>
    <cellStyle name="Input 63 3 3 2" xfId="10701" xr:uid="{00000000-0005-0000-0000-0000CD290000}"/>
    <cellStyle name="Input 63 3 4" xfId="10702" xr:uid="{00000000-0005-0000-0000-0000CE290000}"/>
    <cellStyle name="Input 63 4" xfId="10703" xr:uid="{00000000-0005-0000-0000-0000CF290000}"/>
    <cellStyle name="Input 63 4 2" xfId="10704" xr:uid="{00000000-0005-0000-0000-0000D0290000}"/>
    <cellStyle name="Input 63 5" xfId="10705" xr:uid="{00000000-0005-0000-0000-0000D1290000}"/>
    <cellStyle name="Input 64" xfId="10706" xr:uid="{00000000-0005-0000-0000-0000D2290000}"/>
    <cellStyle name="Input 64 2" xfId="10707" xr:uid="{00000000-0005-0000-0000-0000D3290000}"/>
    <cellStyle name="Input 64 2 2" xfId="10708" xr:uid="{00000000-0005-0000-0000-0000D4290000}"/>
    <cellStyle name="Input 64 2 2 2" xfId="10709" xr:uid="{00000000-0005-0000-0000-0000D5290000}"/>
    <cellStyle name="Input 64 2 3" xfId="10710" xr:uid="{00000000-0005-0000-0000-0000D6290000}"/>
    <cellStyle name="Input 64 3" xfId="10711" xr:uid="{00000000-0005-0000-0000-0000D7290000}"/>
    <cellStyle name="Input 64 3 2" xfId="10712" xr:uid="{00000000-0005-0000-0000-0000D8290000}"/>
    <cellStyle name="Input 64 3 2 2" xfId="10713" xr:uid="{00000000-0005-0000-0000-0000D9290000}"/>
    <cellStyle name="Input 64 3 2 2 2" xfId="10714" xr:uid="{00000000-0005-0000-0000-0000DA290000}"/>
    <cellStyle name="Input 64 3 2 3" xfId="10715" xr:uid="{00000000-0005-0000-0000-0000DB290000}"/>
    <cellStyle name="Input 64 3 3" xfId="10716" xr:uid="{00000000-0005-0000-0000-0000DC290000}"/>
    <cellStyle name="Input 64 3 3 2" xfId="10717" xr:uid="{00000000-0005-0000-0000-0000DD290000}"/>
    <cellStyle name="Input 64 3 4" xfId="10718" xr:uid="{00000000-0005-0000-0000-0000DE290000}"/>
    <cellStyle name="Input 64 4" xfId="10719" xr:uid="{00000000-0005-0000-0000-0000DF290000}"/>
    <cellStyle name="Input 64 4 2" xfId="10720" xr:uid="{00000000-0005-0000-0000-0000E0290000}"/>
    <cellStyle name="Input 64 5" xfId="10721" xr:uid="{00000000-0005-0000-0000-0000E1290000}"/>
    <cellStyle name="Input 65" xfId="10722" xr:uid="{00000000-0005-0000-0000-0000E2290000}"/>
    <cellStyle name="Input 65 2" xfId="10723" xr:uid="{00000000-0005-0000-0000-0000E3290000}"/>
    <cellStyle name="Input 65 2 2" xfId="10724" xr:uid="{00000000-0005-0000-0000-0000E4290000}"/>
    <cellStyle name="Input 65 2 2 2" xfId="10725" xr:uid="{00000000-0005-0000-0000-0000E5290000}"/>
    <cellStyle name="Input 65 2 3" xfId="10726" xr:uid="{00000000-0005-0000-0000-0000E6290000}"/>
    <cellStyle name="Input 65 3" xfId="10727" xr:uid="{00000000-0005-0000-0000-0000E7290000}"/>
    <cellStyle name="Input 65 3 2" xfId="10728" xr:uid="{00000000-0005-0000-0000-0000E8290000}"/>
    <cellStyle name="Input 65 3 2 2" xfId="10729" xr:uid="{00000000-0005-0000-0000-0000E9290000}"/>
    <cellStyle name="Input 65 3 2 2 2" xfId="10730" xr:uid="{00000000-0005-0000-0000-0000EA290000}"/>
    <cellStyle name="Input 65 3 2 3" xfId="10731" xr:uid="{00000000-0005-0000-0000-0000EB290000}"/>
    <cellStyle name="Input 65 3 3" xfId="10732" xr:uid="{00000000-0005-0000-0000-0000EC290000}"/>
    <cellStyle name="Input 65 3 3 2" xfId="10733" xr:uid="{00000000-0005-0000-0000-0000ED290000}"/>
    <cellStyle name="Input 65 3 4" xfId="10734" xr:uid="{00000000-0005-0000-0000-0000EE290000}"/>
    <cellStyle name="Input 65 4" xfId="10735" xr:uid="{00000000-0005-0000-0000-0000EF290000}"/>
    <cellStyle name="Input 65 4 2" xfId="10736" xr:uid="{00000000-0005-0000-0000-0000F0290000}"/>
    <cellStyle name="Input 65 5" xfId="10737" xr:uid="{00000000-0005-0000-0000-0000F1290000}"/>
    <cellStyle name="Input 66" xfId="10738" xr:uid="{00000000-0005-0000-0000-0000F2290000}"/>
    <cellStyle name="Input 66 2" xfId="10739" xr:uid="{00000000-0005-0000-0000-0000F3290000}"/>
    <cellStyle name="Input 66 2 2" xfId="10740" xr:uid="{00000000-0005-0000-0000-0000F4290000}"/>
    <cellStyle name="Input 66 2 2 2" xfId="10741" xr:uid="{00000000-0005-0000-0000-0000F5290000}"/>
    <cellStyle name="Input 66 2 3" xfId="10742" xr:uid="{00000000-0005-0000-0000-0000F6290000}"/>
    <cellStyle name="Input 66 3" xfId="10743" xr:uid="{00000000-0005-0000-0000-0000F7290000}"/>
    <cellStyle name="Input 66 3 2" xfId="10744" xr:uid="{00000000-0005-0000-0000-0000F8290000}"/>
    <cellStyle name="Input 66 3 2 2" xfId="10745" xr:uid="{00000000-0005-0000-0000-0000F9290000}"/>
    <cellStyle name="Input 66 3 2 2 2" xfId="10746" xr:uid="{00000000-0005-0000-0000-0000FA290000}"/>
    <cellStyle name="Input 66 3 2 3" xfId="10747" xr:uid="{00000000-0005-0000-0000-0000FB290000}"/>
    <cellStyle name="Input 66 3 3" xfId="10748" xr:uid="{00000000-0005-0000-0000-0000FC290000}"/>
    <cellStyle name="Input 66 3 3 2" xfId="10749" xr:uid="{00000000-0005-0000-0000-0000FD290000}"/>
    <cellStyle name="Input 66 3 4" xfId="10750" xr:uid="{00000000-0005-0000-0000-0000FE290000}"/>
    <cellStyle name="Input 66 4" xfId="10751" xr:uid="{00000000-0005-0000-0000-0000FF290000}"/>
    <cellStyle name="Input 66 4 2" xfId="10752" xr:uid="{00000000-0005-0000-0000-0000002A0000}"/>
    <cellStyle name="Input 66 5" xfId="10753" xr:uid="{00000000-0005-0000-0000-0000012A0000}"/>
    <cellStyle name="Input 67" xfId="10754" xr:uid="{00000000-0005-0000-0000-0000022A0000}"/>
    <cellStyle name="Input 67 2" xfId="10755" xr:uid="{00000000-0005-0000-0000-0000032A0000}"/>
    <cellStyle name="Input 67 2 2" xfId="10756" xr:uid="{00000000-0005-0000-0000-0000042A0000}"/>
    <cellStyle name="Input 67 2 2 2" xfId="10757" xr:uid="{00000000-0005-0000-0000-0000052A0000}"/>
    <cellStyle name="Input 67 2 3" xfId="10758" xr:uid="{00000000-0005-0000-0000-0000062A0000}"/>
    <cellStyle name="Input 67 3" xfId="10759" xr:uid="{00000000-0005-0000-0000-0000072A0000}"/>
    <cellStyle name="Input 67 3 2" xfId="10760" xr:uid="{00000000-0005-0000-0000-0000082A0000}"/>
    <cellStyle name="Input 67 3 2 2" xfId="10761" xr:uid="{00000000-0005-0000-0000-0000092A0000}"/>
    <cellStyle name="Input 67 3 2 2 2" xfId="10762" xr:uid="{00000000-0005-0000-0000-00000A2A0000}"/>
    <cellStyle name="Input 67 3 2 3" xfId="10763" xr:uid="{00000000-0005-0000-0000-00000B2A0000}"/>
    <cellStyle name="Input 67 3 3" xfId="10764" xr:uid="{00000000-0005-0000-0000-00000C2A0000}"/>
    <cellStyle name="Input 67 3 3 2" xfId="10765" xr:uid="{00000000-0005-0000-0000-00000D2A0000}"/>
    <cellStyle name="Input 67 3 4" xfId="10766" xr:uid="{00000000-0005-0000-0000-00000E2A0000}"/>
    <cellStyle name="Input 67 4" xfId="10767" xr:uid="{00000000-0005-0000-0000-00000F2A0000}"/>
    <cellStyle name="Input 67 4 2" xfId="10768" xr:uid="{00000000-0005-0000-0000-0000102A0000}"/>
    <cellStyle name="Input 67 5" xfId="10769" xr:uid="{00000000-0005-0000-0000-0000112A0000}"/>
    <cellStyle name="Input 68" xfId="10770" xr:uid="{00000000-0005-0000-0000-0000122A0000}"/>
    <cellStyle name="Input 68 2" xfId="10771" xr:uid="{00000000-0005-0000-0000-0000132A0000}"/>
    <cellStyle name="Input 68 2 2" xfId="10772" xr:uid="{00000000-0005-0000-0000-0000142A0000}"/>
    <cellStyle name="Input 68 2 2 2" xfId="10773" xr:uid="{00000000-0005-0000-0000-0000152A0000}"/>
    <cellStyle name="Input 68 2 3" xfId="10774" xr:uid="{00000000-0005-0000-0000-0000162A0000}"/>
    <cellStyle name="Input 68 3" xfId="10775" xr:uid="{00000000-0005-0000-0000-0000172A0000}"/>
    <cellStyle name="Input 68 3 2" xfId="10776" xr:uid="{00000000-0005-0000-0000-0000182A0000}"/>
    <cellStyle name="Input 68 3 2 2" xfId="10777" xr:uid="{00000000-0005-0000-0000-0000192A0000}"/>
    <cellStyle name="Input 68 3 2 2 2" xfId="10778" xr:uid="{00000000-0005-0000-0000-00001A2A0000}"/>
    <cellStyle name="Input 68 3 2 3" xfId="10779" xr:uid="{00000000-0005-0000-0000-00001B2A0000}"/>
    <cellStyle name="Input 68 3 3" xfId="10780" xr:uid="{00000000-0005-0000-0000-00001C2A0000}"/>
    <cellStyle name="Input 68 3 3 2" xfId="10781" xr:uid="{00000000-0005-0000-0000-00001D2A0000}"/>
    <cellStyle name="Input 68 3 4" xfId="10782" xr:uid="{00000000-0005-0000-0000-00001E2A0000}"/>
    <cellStyle name="Input 68 4" xfId="10783" xr:uid="{00000000-0005-0000-0000-00001F2A0000}"/>
    <cellStyle name="Input 68 4 2" xfId="10784" xr:uid="{00000000-0005-0000-0000-0000202A0000}"/>
    <cellStyle name="Input 68 5" xfId="10785" xr:uid="{00000000-0005-0000-0000-0000212A0000}"/>
    <cellStyle name="Input 69" xfId="10786" xr:uid="{00000000-0005-0000-0000-0000222A0000}"/>
    <cellStyle name="Input 69 2" xfId="10787" xr:uid="{00000000-0005-0000-0000-0000232A0000}"/>
    <cellStyle name="Input 69 2 2" xfId="10788" xr:uid="{00000000-0005-0000-0000-0000242A0000}"/>
    <cellStyle name="Input 69 2 2 2" xfId="10789" xr:uid="{00000000-0005-0000-0000-0000252A0000}"/>
    <cellStyle name="Input 69 2 3" xfId="10790" xr:uid="{00000000-0005-0000-0000-0000262A0000}"/>
    <cellStyle name="Input 69 3" xfId="10791" xr:uid="{00000000-0005-0000-0000-0000272A0000}"/>
    <cellStyle name="Input 69 3 2" xfId="10792" xr:uid="{00000000-0005-0000-0000-0000282A0000}"/>
    <cellStyle name="Input 69 3 2 2" xfId="10793" xr:uid="{00000000-0005-0000-0000-0000292A0000}"/>
    <cellStyle name="Input 69 3 2 2 2" xfId="10794" xr:uid="{00000000-0005-0000-0000-00002A2A0000}"/>
    <cellStyle name="Input 69 3 2 3" xfId="10795" xr:uid="{00000000-0005-0000-0000-00002B2A0000}"/>
    <cellStyle name="Input 69 3 3" xfId="10796" xr:uid="{00000000-0005-0000-0000-00002C2A0000}"/>
    <cellStyle name="Input 69 3 3 2" xfId="10797" xr:uid="{00000000-0005-0000-0000-00002D2A0000}"/>
    <cellStyle name="Input 69 3 4" xfId="10798" xr:uid="{00000000-0005-0000-0000-00002E2A0000}"/>
    <cellStyle name="Input 69 4" xfId="10799" xr:uid="{00000000-0005-0000-0000-00002F2A0000}"/>
    <cellStyle name="Input 69 4 2" xfId="10800" xr:uid="{00000000-0005-0000-0000-0000302A0000}"/>
    <cellStyle name="Input 69 5" xfId="10801" xr:uid="{00000000-0005-0000-0000-0000312A0000}"/>
    <cellStyle name="Input 7" xfId="10802" xr:uid="{00000000-0005-0000-0000-0000322A0000}"/>
    <cellStyle name="Input 7 2" xfId="10803" xr:uid="{00000000-0005-0000-0000-0000332A0000}"/>
    <cellStyle name="Input 7 2 2" xfId="10804" xr:uid="{00000000-0005-0000-0000-0000342A0000}"/>
    <cellStyle name="Input 7 2 2 2" xfId="10805" xr:uid="{00000000-0005-0000-0000-0000352A0000}"/>
    <cellStyle name="Input 7 2 2 2 2" xfId="10806" xr:uid="{00000000-0005-0000-0000-0000362A0000}"/>
    <cellStyle name="Input 7 2 2 3" xfId="10807" xr:uid="{00000000-0005-0000-0000-0000372A0000}"/>
    <cellStyle name="Input 7 2 3" xfId="10808" xr:uid="{00000000-0005-0000-0000-0000382A0000}"/>
    <cellStyle name="Input 7 2 3 2" xfId="10809" xr:uid="{00000000-0005-0000-0000-0000392A0000}"/>
    <cellStyle name="Input 7 2 3 2 2" xfId="10810" xr:uid="{00000000-0005-0000-0000-00003A2A0000}"/>
    <cellStyle name="Input 7 2 3 2 2 2" xfId="10811" xr:uid="{00000000-0005-0000-0000-00003B2A0000}"/>
    <cellStyle name="Input 7 2 3 2 3" xfId="10812" xr:uid="{00000000-0005-0000-0000-00003C2A0000}"/>
    <cellStyle name="Input 7 2 3 3" xfId="10813" xr:uid="{00000000-0005-0000-0000-00003D2A0000}"/>
    <cellStyle name="Input 7 2 3 3 2" xfId="10814" xr:uid="{00000000-0005-0000-0000-00003E2A0000}"/>
    <cellStyle name="Input 7 2 3 4" xfId="10815" xr:uid="{00000000-0005-0000-0000-00003F2A0000}"/>
    <cellStyle name="Input 7 2 4" xfId="10816" xr:uid="{00000000-0005-0000-0000-0000402A0000}"/>
    <cellStyle name="Input 7 2 4 2" xfId="10817" xr:uid="{00000000-0005-0000-0000-0000412A0000}"/>
    <cellStyle name="Input 7 2 5" xfId="10818" xr:uid="{00000000-0005-0000-0000-0000422A0000}"/>
    <cellStyle name="Input 7 3" xfId="10819" xr:uid="{00000000-0005-0000-0000-0000432A0000}"/>
    <cellStyle name="Input 7 3 2" xfId="10820" xr:uid="{00000000-0005-0000-0000-0000442A0000}"/>
    <cellStyle name="Input 7 3 2 2" xfId="10821" xr:uid="{00000000-0005-0000-0000-0000452A0000}"/>
    <cellStyle name="Input 7 3 3" xfId="10822" xr:uid="{00000000-0005-0000-0000-0000462A0000}"/>
    <cellStyle name="Input 7 4" xfId="10823" xr:uid="{00000000-0005-0000-0000-0000472A0000}"/>
    <cellStyle name="Input 7 4 2" xfId="10824" xr:uid="{00000000-0005-0000-0000-0000482A0000}"/>
    <cellStyle name="Input 7 4 2 2" xfId="10825" xr:uid="{00000000-0005-0000-0000-0000492A0000}"/>
    <cellStyle name="Input 7 4 2 2 2" xfId="10826" xr:uid="{00000000-0005-0000-0000-00004A2A0000}"/>
    <cellStyle name="Input 7 4 2 2 2 2" xfId="10827" xr:uid="{00000000-0005-0000-0000-00004B2A0000}"/>
    <cellStyle name="Input 7 4 2 2 2 2 2" xfId="10828" xr:uid="{00000000-0005-0000-0000-00004C2A0000}"/>
    <cellStyle name="Input 7 4 2 2 2 3" xfId="10829" xr:uid="{00000000-0005-0000-0000-00004D2A0000}"/>
    <cellStyle name="Input 7 4 2 2 3" xfId="10830" xr:uid="{00000000-0005-0000-0000-00004E2A0000}"/>
    <cellStyle name="Input 7 4 2 2 3 2" xfId="10831" xr:uid="{00000000-0005-0000-0000-00004F2A0000}"/>
    <cellStyle name="Input 7 4 2 2 4" xfId="10832" xr:uid="{00000000-0005-0000-0000-0000502A0000}"/>
    <cellStyle name="Input 7 4 2 3" xfId="10833" xr:uid="{00000000-0005-0000-0000-0000512A0000}"/>
    <cellStyle name="Input 7 4 2 3 2" xfId="10834" xr:uid="{00000000-0005-0000-0000-0000522A0000}"/>
    <cellStyle name="Input 7 4 2 3 2 2" xfId="10835" xr:uid="{00000000-0005-0000-0000-0000532A0000}"/>
    <cellStyle name="Input 7 4 2 3 3" xfId="10836" xr:uid="{00000000-0005-0000-0000-0000542A0000}"/>
    <cellStyle name="Input 7 4 2 4" xfId="10837" xr:uid="{00000000-0005-0000-0000-0000552A0000}"/>
    <cellStyle name="Input 7 4 2 4 2" xfId="10838" xr:uid="{00000000-0005-0000-0000-0000562A0000}"/>
    <cellStyle name="Input 7 4 2 5" xfId="10839" xr:uid="{00000000-0005-0000-0000-0000572A0000}"/>
    <cellStyle name="Input 7 4 3" xfId="10840" xr:uid="{00000000-0005-0000-0000-0000582A0000}"/>
    <cellStyle name="Input 7 4 3 2" xfId="10841" xr:uid="{00000000-0005-0000-0000-0000592A0000}"/>
    <cellStyle name="Input 7 4 3 2 2" xfId="10842" xr:uid="{00000000-0005-0000-0000-00005A2A0000}"/>
    <cellStyle name="Input 7 4 3 2 2 2" xfId="10843" xr:uid="{00000000-0005-0000-0000-00005B2A0000}"/>
    <cellStyle name="Input 7 4 3 2 3" xfId="10844" xr:uid="{00000000-0005-0000-0000-00005C2A0000}"/>
    <cellStyle name="Input 7 4 3 3" xfId="10845" xr:uid="{00000000-0005-0000-0000-00005D2A0000}"/>
    <cellStyle name="Input 7 4 3 3 2" xfId="10846" xr:uid="{00000000-0005-0000-0000-00005E2A0000}"/>
    <cellStyle name="Input 7 4 3 4" xfId="10847" xr:uid="{00000000-0005-0000-0000-00005F2A0000}"/>
    <cellStyle name="Input 7 4 4" xfId="10848" xr:uid="{00000000-0005-0000-0000-0000602A0000}"/>
    <cellStyle name="Input 7 4 4 2" xfId="10849" xr:uid="{00000000-0005-0000-0000-0000612A0000}"/>
    <cellStyle name="Input 7 4 4 2 2" xfId="10850" xr:uid="{00000000-0005-0000-0000-0000622A0000}"/>
    <cellStyle name="Input 7 4 4 3" xfId="10851" xr:uid="{00000000-0005-0000-0000-0000632A0000}"/>
    <cellStyle name="Input 7 4 5" xfId="10852" xr:uid="{00000000-0005-0000-0000-0000642A0000}"/>
    <cellStyle name="Input 7 4 5 2" xfId="10853" xr:uid="{00000000-0005-0000-0000-0000652A0000}"/>
    <cellStyle name="Input 7 4 6" xfId="10854" xr:uid="{00000000-0005-0000-0000-0000662A0000}"/>
    <cellStyle name="Input 7 5" xfId="10855" xr:uid="{00000000-0005-0000-0000-0000672A0000}"/>
    <cellStyle name="Input 7 5 2" xfId="10856" xr:uid="{00000000-0005-0000-0000-0000682A0000}"/>
    <cellStyle name="Input 7 6" xfId="10857" xr:uid="{00000000-0005-0000-0000-0000692A0000}"/>
    <cellStyle name="Input 70" xfId="10858" xr:uid="{00000000-0005-0000-0000-00006A2A0000}"/>
    <cellStyle name="Input 70 2" xfId="10859" xr:uid="{00000000-0005-0000-0000-00006B2A0000}"/>
    <cellStyle name="Input 70 2 2" xfId="10860" xr:uid="{00000000-0005-0000-0000-00006C2A0000}"/>
    <cellStyle name="Input 70 2 2 2" xfId="10861" xr:uid="{00000000-0005-0000-0000-00006D2A0000}"/>
    <cellStyle name="Input 70 2 3" xfId="10862" xr:uid="{00000000-0005-0000-0000-00006E2A0000}"/>
    <cellStyle name="Input 70 3" xfId="10863" xr:uid="{00000000-0005-0000-0000-00006F2A0000}"/>
    <cellStyle name="Input 70 3 2" xfId="10864" xr:uid="{00000000-0005-0000-0000-0000702A0000}"/>
    <cellStyle name="Input 70 3 2 2" xfId="10865" xr:uid="{00000000-0005-0000-0000-0000712A0000}"/>
    <cellStyle name="Input 70 3 2 2 2" xfId="10866" xr:uid="{00000000-0005-0000-0000-0000722A0000}"/>
    <cellStyle name="Input 70 3 2 3" xfId="10867" xr:uid="{00000000-0005-0000-0000-0000732A0000}"/>
    <cellStyle name="Input 70 3 3" xfId="10868" xr:uid="{00000000-0005-0000-0000-0000742A0000}"/>
    <cellStyle name="Input 70 3 3 2" xfId="10869" xr:uid="{00000000-0005-0000-0000-0000752A0000}"/>
    <cellStyle name="Input 70 3 4" xfId="10870" xr:uid="{00000000-0005-0000-0000-0000762A0000}"/>
    <cellStyle name="Input 70 4" xfId="10871" xr:uid="{00000000-0005-0000-0000-0000772A0000}"/>
    <cellStyle name="Input 70 4 2" xfId="10872" xr:uid="{00000000-0005-0000-0000-0000782A0000}"/>
    <cellStyle name="Input 70 5" xfId="10873" xr:uid="{00000000-0005-0000-0000-0000792A0000}"/>
    <cellStyle name="Input 71" xfId="10874" xr:uid="{00000000-0005-0000-0000-00007A2A0000}"/>
    <cellStyle name="Input 71 2" xfId="10875" xr:uid="{00000000-0005-0000-0000-00007B2A0000}"/>
    <cellStyle name="Input 71 2 2" xfId="10876" xr:uid="{00000000-0005-0000-0000-00007C2A0000}"/>
    <cellStyle name="Input 71 2 2 2" xfId="10877" xr:uid="{00000000-0005-0000-0000-00007D2A0000}"/>
    <cellStyle name="Input 71 2 3" xfId="10878" xr:uid="{00000000-0005-0000-0000-00007E2A0000}"/>
    <cellStyle name="Input 71 3" xfId="10879" xr:uid="{00000000-0005-0000-0000-00007F2A0000}"/>
    <cellStyle name="Input 71 3 2" xfId="10880" xr:uid="{00000000-0005-0000-0000-0000802A0000}"/>
    <cellStyle name="Input 71 3 2 2" xfId="10881" xr:uid="{00000000-0005-0000-0000-0000812A0000}"/>
    <cellStyle name="Input 71 3 2 2 2" xfId="10882" xr:uid="{00000000-0005-0000-0000-0000822A0000}"/>
    <cellStyle name="Input 71 3 2 3" xfId="10883" xr:uid="{00000000-0005-0000-0000-0000832A0000}"/>
    <cellStyle name="Input 71 3 3" xfId="10884" xr:uid="{00000000-0005-0000-0000-0000842A0000}"/>
    <cellStyle name="Input 71 3 3 2" xfId="10885" xr:uid="{00000000-0005-0000-0000-0000852A0000}"/>
    <cellStyle name="Input 71 3 4" xfId="10886" xr:uid="{00000000-0005-0000-0000-0000862A0000}"/>
    <cellStyle name="Input 71 4" xfId="10887" xr:uid="{00000000-0005-0000-0000-0000872A0000}"/>
    <cellStyle name="Input 71 4 2" xfId="10888" xr:uid="{00000000-0005-0000-0000-0000882A0000}"/>
    <cellStyle name="Input 71 5" xfId="10889" xr:uid="{00000000-0005-0000-0000-0000892A0000}"/>
    <cellStyle name="Input 72" xfId="10890" xr:uid="{00000000-0005-0000-0000-00008A2A0000}"/>
    <cellStyle name="Input 72 2" xfId="10891" xr:uid="{00000000-0005-0000-0000-00008B2A0000}"/>
    <cellStyle name="Input 72 2 2" xfId="10892" xr:uid="{00000000-0005-0000-0000-00008C2A0000}"/>
    <cellStyle name="Input 72 2 2 2" xfId="10893" xr:uid="{00000000-0005-0000-0000-00008D2A0000}"/>
    <cellStyle name="Input 72 2 3" xfId="10894" xr:uid="{00000000-0005-0000-0000-00008E2A0000}"/>
    <cellStyle name="Input 72 3" xfId="10895" xr:uid="{00000000-0005-0000-0000-00008F2A0000}"/>
    <cellStyle name="Input 72 3 2" xfId="10896" xr:uid="{00000000-0005-0000-0000-0000902A0000}"/>
    <cellStyle name="Input 72 3 2 2" xfId="10897" xr:uid="{00000000-0005-0000-0000-0000912A0000}"/>
    <cellStyle name="Input 72 3 2 2 2" xfId="10898" xr:uid="{00000000-0005-0000-0000-0000922A0000}"/>
    <cellStyle name="Input 72 3 2 3" xfId="10899" xr:uid="{00000000-0005-0000-0000-0000932A0000}"/>
    <cellStyle name="Input 72 3 3" xfId="10900" xr:uid="{00000000-0005-0000-0000-0000942A0000}"/>
    <cellStyle name="Input 72 3 3 2" xfId="10901" xr:uid="{00000000-0005-0000-0000-0000952A0000}"/>
    <cellStyle name="Input 72 3 4" xfId="10902" xr:uid="{00000000-0005-0000-0000-0000962A0000}"/>
    <cellStyle name="Input 72 4" xfId="10903" xr:uid="{00000000-0005-0000-0000-0000972A0000}"/>
    <cellStyle name="Input 72 4 2" xfId="10904" xr:uid="{00000000-0005-0000-0000-0000982A0000}"/>
    <cellStyle name="Input 72 5" xfId="10905" xr:uid="{00000000-0005-0000-0000-0000992A0000}"/>
    <cellStyle name="Input 73" xfId="10906" xr:uid="{00000000-0005-0000-0000-00009A2A0000}"/>
    <cellStyle name="Input 73 2" xfId="10907" xr:uid="{00000000-0005-0000-0000-00009B2A0000}"/>
    <cellStyle name="Input 73 2 2" xfId="10908" xr:uid="{00000000-0005-0000-0000-00009C2A0000}"/>
    <cellStyle name="Input 73 2 2 2" xfId="10909" xr:uid="{00000000-0005-0000-0000-00009D2A0000}"/>
    <cellStyle name="Input 73 2 3" xfId="10910" xr:uid="{00000000-0005-0000-0000-00009E2A0000}"/>
    <cellStyle name="Input 73 3" xfId="10911" xr:uid="{00000000-0005-0000-0000-00009F2A0000}"/>
    <cellStyle name="Input 73 3 2" xfId="10912" xr:uid="{00000000-0005-0000-0000-0000A02A0000}"/>
    <cellStyle name="Input 73 3 2 2" xfId="10913" xr:uid="{00000000-0005-0000-0000-0000A12A0000}"/>
    <cellStyle name="Input 73 3 2 2 2" xfId="10914" xr:uid="{00000000-0005-0000-0000-0000A22A0000}"/>
    <cellStyle name="Input 73 3 2 3" xfId="10915" xr:uid="{00000000-0005-0000-0000-0000A32A0000}"/>
    <cellStyle name="Input 73 3 3" xfId="10916" xr:uid="{00000000-0005-0000-0000-0000A42A0000}"/>
    <cellStyle name="Input 73 3 3 2" xfId="10917" xr:uid="{00000000-0005-0000-0000-0000A52A0000}"/>
    <cellStyle name="Input 73 3 4" xfId="10918" xr:uid="{00000000-0005-0000-0000-0000A62A0000}"/>
    <cellStyle name="Input 73 4" xfId="10919" xr:uid="{00000000-0005-0000-0000-0000A72A0000}"/>
    <cellStyle name="Input 73 4 2" xfId="10920" xr:uid="{00000000-0005-0000-0000-0000A82A0000}"/>
    <cellStyle name="Input 73 5" xfId="10921" xr:uid="{00000000-0005-0000-0000-0000A92A0000}"/>
    <cellStyle name="Input 74" xfId="10922" xr:uid="{00000000-0005-0000-0000-0000AA2A0000}"/>
    <cellStyle name="Input 74 2" xfId="10923" xr:uid="{00000000-0005-0000-0000-0000AB2A0000}"/>
    <cellStyle name="Input 74 2 2" xfId="10924" xr:uid="{00000000-0005-0000-0000-0000AC2A0000}"/>
    <cellStyle name="Input 74 2 2 2" xfId="10925" xr:uid="{00000000-0005-0000-0000-0000AD2A0000}"/>
    <cellStyle name="Input 74 2 3" xfId="10926" xr:uid="{00000000-0005-0000-0000-0000AE2A0000}"/>
    <cellStyle name="Input 74 3" xfId="10927" xr:uid="{00000000-0005-0000-0000-0000AF2A0000}"/>
    <cellStyle name="Input 74 3 2" xfId="10928" xr:uid="{00000000-0005-0000-0000-0000B02A0000}"/>
    <cellStyle name="Input 74 3 2 2" xfId="10929" xr:uid="{00000000-0005-0000-0000-0000B12A0000}"/>
    <cellStyle name="Input 74 3 2 2 2" xfId="10930" xr:uid="{00000000-0005-0000-0000-0000B22A0000}"/>
    <cellStyle name="Input 74 3 2 3" xfId="10931" xr:uid="{00000000-0005-0000-0000-0000B32A0000}"/>
    <cellStyle name="Input 74 3 3" xfId="10932" xr:uid="{00000000-0005-0000-0000-0000B42A0000}"/>
    <cellStyle name="Input 74 3 3 2" xfId="10933" xr:uid="{00000000-0005-0000-0000-0000B52A0000}"/>
    <cellStyle name="Input 74 3 4" xfId="10934" xr:uid="{00000000-0005-0000-0000-0000B62A0000}"/>
    <cellStyle name="Input 74 4" xfId="10935" xr:uid="{00000000-0005-0000-0000-0000B72A0000}"/>
    <cellStyle name="Input 74 4 2" xfId="10936" xr:uid="{00000000-0005-0000-0000-0000B82A0000}"/>
    <cellStyle name="Input 74 5" xfId="10937" xr:uid="{00000000-0005-0000-0000-0000B92A0000}"/>
    <cellStyle name="Input 75" xfId="10938" xr:uid="{00000000-0005-0000-0000-0000BA2A0000}"/>
    <cellStyle name="Input 75 2" xfId="10939" xr:uid="{00000000-0005-0000-0000-0000BB2A0000}"/>
    <cellStyle name="Input 75 2 2" xfId="10940" xr:uid="{00000000-0005-0000-0000-0000BC2A0000}"/>
    <cellStyle name="Input 75 2 2 2" xfId="10941" xr:uid="{00000000-0005-0000-0000-0000BD2A0000}"/>
    <cellStyle name="Input 75 2 3" xfId="10942" xr:uid="{00000000-0005-0000-0000-0000BE2A0000}"/>
    <cellStyle name="Input 75 3" xfId="10943" xr:uid="{00000000-0005-0000-0000-0000BF2A0000}"/>
    <cellStyle name="Input 75 3 2" xfId="10944" xr:uid="{00000000-0005-0000-0000-0000C02A0000}"/>
    <cellStyle name="Input 75 3 2 2" xfId="10945" xr:uid="{00000000-0005-0000-0000-0000C12A0000}"/>
    <cellStyle name="Input 75 3 2 2 2" xfId="10946" xr:uid="{00000000-0005-0000-0000-0000C22A0000}"/>
    <cellStyle name="Input 75 3 2 3" xfId="10947" xr:uid="{00000000-0005-0000-0000-0000C32A0000}"/>
    <cellStyle name="Input 75 3 3" xfId="10948" xr:uid="{00000000-0005-0000-0000-0000C42A0000}"/>
    <cellStyle name="Input 75 3 3 2" xfId="10949" xr:uid="{00000000-0005-0000-0000-0000C52A0000}"/>
    <cellStyle name="Input 75 3 4" xfId="10950" xr:uid="{00000000-0005-0000-0000-0000C62A0000}"/>
    <cellStyle name="Input 75 4" xfId="10951" xr:uid="{00000000-0005-0000-0000-0000C72A0000}"/>
    <cellStyle name="Input 75 4 2" xfId="10952" xr:uid="{00000000-0005-0000-0000-0000C82A0000}"/>
    <cellStyle name="Input 75 5" xfId="10953" xr:uid="{00000000-0005-0000-0000-0000C92A0000}"/>
    <cellStyle name="Input 76" xfId="10954" xr:uid="{00000000-0005-0000-0000-0000CA2A0000}"/>
    <cellStyle name="Input 76 2" xfId="10955" xr:uid="{00000000-0005-0000-0000-0000CB2A0000}"/>
    <cellStyle name="Input 76 2 2" xfId="10956" xr:uid="{00000000-0005-0000-0000-0000CC2A0000}"/>
    <cellStyle name="Input 76 2 2 2" xfId="10957" xr:uid="{00000000-0005-0000-0000-0000CD2A0000}"/>
    <cellStyle name="Input 76 2 3" xfId="10958" xr:uid="{00000000-0005-0000-0000-0000CE2A0000}"/>
    <cellStyle name="Input 76 3" xfId="10959" xr:uid="{00000000-0005-0000-0000-0000CF2A0000}"/>
    <cellStyle name="Input 76 3 2" xfId="10960" xr:uid="{00000000-0005-0000-0000-0000D02A0000}"/>
    <cellStyle name="Input 76 3 2 2" xfId="10961" xr:uid="{00000000-0005-0000-0000-0000D12A0000}"/>
    <cellStyle name="Input 76 3 2 2 2" xfId="10962" xr:uid="{00000000-0005-0000-0000-0000D22A0000}"/>
    <cellStyle name="Input 76 3 2 3" xfId="10963" xr:uid="{00000000-0005-0000-0000-0000D32A0000}"/>
    <cellStyle name="Input 76 3 3" xfId="10964" xr:uid="{00000000-0005-0000-0000-0000D42A0000}"/>
    <cellStyle name="Input 76 3 3 2" xfId="10965" xr:uid="{00000000-0005-0000-0000-0000D52A0000}"/>
    <cellStyle name="Input 76 3 4" xfId="10966" xr:uid="{00000000-0005-0000-0000-0000D62A0000}"/>
    <cellStyle name="Input 76 4" xfId="10967" xr:uid="{00000000-0005-0000-0000-0000D72A0000}"/>
    <cellStyle name="Input 76 4 2" xfId="10968" xr:uid="{00000000-0005-0000-0000-0000D82A0000}"/>
    <cellStyle name="Input 76 5" xfId="10969" xr:uid="{00000000-0005-0000-0000-0000D92A0000}"/>
    <cellStyle name="Input 77" xfId="10970" xr:uid="{00000000-0005-0000-0000-0000DA2A0000}"/>
    <cellStyle name="Input 77 2" xfId="10971" xr:uid="{00000000-0005-0000-0000-0000DB2A0000}"/>
    <cellStyle name="Input 77 2 2" xfId="10972" xr:uid="{00000000-0005-0000-0000-0000DC2A0000}"/>
    <cellStyle name="Input 77 2 2 2" xfId="10973" xr:uid="{00000000-0005-0000-0000-0000DD2A0000}"/>
    <cellStyle name="Input 77 2 3" xfId="10974" xr:uid="{00000000-0005-0000-0000-0000DE2A0000}"/>
    <cellStyle name="Input 77 3" xfId="10975" xr:uid="{00000000-0005-0000-0000-0000DF2A0000}"/>
    <cellStyle name="Input 77 3 2" xfId="10976" xr:uid="{00000000-0005-0000-0000-0000E02A0000}"/>
    <cellStyle name="Input 77 3 2 2" xfId="10977" xr:uid="{00000000-0005-0000-0000-0000E12A0000}"/>
    <cellStyle name="Input 77 3 2 2 2" xfId="10978" xr:uid="{00000000-0005-0000-0000-0000E22A0000}"/>
    <cellStyle name="Input 77 3 2 3" xfId="10979" xr:uid="{00000000-0005-0000-0000-0000E32A0000}"/>
    <cellStyle name="Input 77 3 3" xfId="10980" xr:uid="{00000000-0005-0000-0000-0000E42A0000}"/>
    <cellStyle name="Input 77 3 3 2" xfId="10981" xr:uid="{00000000-0005-0000-0000-0000E52A0000}"/>
    <cellStyle name="Input 77 3 4" xfId="10982" xr:uid="{00000000-0005-0000-0000-0000E62A0000}"/>
    <cellStyle name="Input 77 4" xfId="10983" xr:uid="{00000000-0005-0000-0000-0000E72A0000}"/>
    <cellStyle name="Input 77 4 2" xfId="10984" xr:uid="{00000000-0005-0000-0000-0000E82A0000}"/>
    <cellStyle name="Input 77 5" xfId="10985" xr:uid="{00000000-0005-0000-0000-0000E92A0000}"/>
    <cellStyle name="Input 78" xfId="10986" xr:uid="{00000000-0005-0000-0000-0000EA2A0000}"/>
    <cellStyle name="Input 78 2" xfId="10987" xr:uid="{00000000-0005-0000-0000-0000EB2A0000}"/>
    <cellStyle name="Input 78 2 2" xfId="10988" xr:uid="{00000000-0005-0000-0000-0000EC2A0000}"/>
    <cellStyle name="Input 78 2 2 2" xfId="10989" xr:uid="{00000000-0005-0000-0000-0000ED2A0000}"/>
    <cellStyle name="Input 78 2 3" xfId="10990" xr:uid="{00000000-0005-0000-0000-0000EE2A0000}"/>
    <cellStyle name="Input 78 3" xfId="10991" xr:uid="{00000000-0005-0000-0000-0000EF2A0000}"/>
    <cellStyle name="Input 78 3 2" xfId="10992" xr:uid="{00000000-0005-0000-0000-0000F02A0000}"/>
    <cellStyle name="Input 78 3 2 2" xfId="10993" xr:uid="{00000000-0005-0000-0000-0000F12A0000}"/>
    <cellStyle name="Input 78 3 2 2 2" xfId="10994" xr:uid="{00000000-0005-0000-0000-0000F22A0000}"/>
    <cellStyle name="Input 78 3 2 3" xfId="10995" xr:uid="{00000000-0005-0000-0000-0000F32A0000}"/>
    <cellStyle name="Input 78 3 3" xfId="10996" xr:uid="{00000000-0005-0000-0000-0000F42A0000}"/>
    <cellStyle name="Input 78 3 3 2" xfId="10997" xr:uid="{00000000-0005-0000-0000-0000F52A0000}"/>
    <cellStyle name="Input 78 3 4" xfId="10998" xr:uid="{00000000-0005-0000-0000-0000F62A0000}"/>
    <cellStyle name="Input 78 4" xfId="10999" xr:uid="{00000000-0005-0000-0000-0000F72A0000}"/>
    <cellStyle name="Input 78 4 2" xfId="11000" xr:uid="{00000000-0005-0000-0000-0000F82A0000}"/>
    <cellStyle name="Input 78 5" xfId="11001" xr:uid="{00000000-0005-0000-0000-0000F92A0000}"/>
    <cellStyle name="Input 79" xfId="11002" xr:uid="{00000000-0005-0000-0000-0000FA2A0000}"/>
    <cellStyle name="Input 79 2" xfId="11003" xr:uid="{00000000-0005-0000-0000-0000FB2A0000}"/>
    <cellStyle name="Input 79 2 2" xfId="11004" xr:uid="{00000000-0005-0000-0000-0000FC2A0000}"/>
    <cellStyle name="Input 79 2 2 2" xfId="11005" xr:uid="{00000000-0005-0000-0000-0000FD2A0000}"/>
    <cellStyle name="Input 79 2 3" xfId="11006" xr:uid="{00000000-0005-0000-0000-0000FE2A0000}"/>
    <cellStyle name="Input 79 3" xfId="11007" xr:uid="{00000000-0005-0000-0000-0000FF2A0000}"/>
    <cellStyle name="Input 79 3 2" xfId="11008" xr:uid="{00000000-0005-0000-0000-0000002B0000}"/>
    <cellStyle name="Input 79 3 2 2" xfId="11009" xr:uid="{00000000-0005-0000-0000-0000012B0000}"/>
    <cellStyle name="Input 79 3 2 2 2" xfId="11010" xr:uid="{00000000-0005-0000-0000-0000022B0000}"/>
    <cellStyle name="Input 79 3 2 3" xfId="11011" xr:uid="{00000000-0005-0000-0000-0000032B0000}"/>
    <cellStyle name="Input 79 3 3" xfId="11012" xr:uid="{00000000-0005-0000-0000-0000042B0000}"/>
    <cellStyle name="Input 79 3 3 2" xfId="11013" xr:uid="{00000000-0005-0000-0000-0000052B0000}"/>
    <cellStyle name="Input 79 3 4" xfId="11014" xr:uid="{00000000-0005-0000-0000-0000062B0000}"/>
    <cellStyle name="Input 79 4" xfId="11015" xr:uid="{00000000-0005-0000-0000-0000072B0000}"/>
    <cellStyle name="Input 79 4 2" xfId="11016" xr:uid="{00000000-0005-0000-0000-0000082B0000}"/>
    <cellStyle name="Input 79 5" xfId="11017" xr:uid="{00000000-0005-0000-0000-0000092B0000}"/>
    <cellStyle name="Input 8" xfId="11018" xr:uid="{00000000-0005-0000-0000-00000A2B0000}"/>
    <cellStyle name="Input 8 2" xfId="11019" xr:uid="{00000000-0005-0000-0000-00000B2B0000}"/>
    <cellStyle name="Input 8 2 2" xfId="11020" xr:uid="{00000000-0005-0000-0000-00000C2B0000}"/>
    <cellStyle name="Input 8 2 2 2" xfId="11021" xr:uid="{00000000-0005-0000-0000-00000D2B0000}"/>
    <cellStyle name="Input 8 2 3" xfId="11022" xr:uid="{00000000-0005-0000-0000-00000E2B0000}"/>
    <cellStyle name="Input 8 3" xfId="11023" xr:uid="{00000000-0005-0000-0000-00000F2B0000}"/>
    <cellStyle name="Input 8 3 2" xfId="11024" xr:uid="{00000000-0005-0000-0000-0000102B0000}"/>
    <cellStyle name="Input 8 4" xfId="11025" xr:uid="{00000000-0005-0000-0000-0000112B0000}"/>
    <cellStyle name="Input 80" xfId="11026" xr:uid="{00000000-0005-0000-0000-0000122B0000}"/>
    <cellStyle name="Input 80 2" xfId="11027" xr:uid="{00000000-0005-0000-0000-0000132B0000}"/>
    <cellStyle name="Input 80 2 2" xfId="11028" xr:uid="{00000000-0005-0000-0000-0000142B0000}"/>
    <cellStyle name="Input 80 2 2 2" xfId="11029" xr:uid="{00000000-0005-0000-0000-0000152B0000}"/>
    <cellStyle name="Input 80 2 3" xfId="11030" xr:uid="{00000000-0005-0000-0000-0000162B0000}"/>
    <cellStyle name="Input 80 3" xfId="11031" xr:uid="{00000000-0005-0000-0000-0000172B0000}"/>
    <cellStyle name="Input 80 3 2" xfId="11032" xr:uid="{00000000-0005-0000-0000-0000182B0000}"/>
    <cellStyle name="Input 80 3 2 2" xfId="11033" xr:uid="{00000000-0005-0000-0000-0000192B0000}"/>
    <cellStyle name="Input 80 3 2 2 2" xfId="11034" xr:uid="{00000000-0005-0000-0000-00001A2B0000}"/>
    <cellStyle name="Input 80 3 2 3" xfId="11035" xr:uid="{00000000-0005-0000-0000-00001B2B0000}"/>
    <cellStyle name="Input 80 3 3" xfId="11036" xr:uid="{00000000-0005-0000-0000-00001C2B0000}"/>
    <cellStyle name="Input 80 3 3 2" xfId="11037" xr:uid="{00000000-0005-0000-0000-00001D2B0000}"/>
    <cellStyle name="Input 80 3 4" xfId="11038" xr:uid="{00000000-0005-0000-0000-00001E2B0000}"/>
    <cellStyle name="Input 80 4" xfId="11039" xr:uid="{00000000-0005-0000-0000-00001F2B0000}"/>
    <cellStyle name="Input 80 4 2" xfId="11040" xr:uid="{00000000-0005-0000-0000-0000202B0000}"/>
    <cellStyle name="Input 80 5" xfId="11041" xr:uid="{00000000-0005-0000-0000-0000212B0000}"/>
    <cellStyle name="Input 81" xfId="11042" xr:uid="{00000000-0005-0000-0000-0000222B0000}"/>
    <cellStyle name="Input 81 2" xfId="11043" xr:uid="{00000000-0005-0000-0000-0000232B0000}"/>
    <cellStyle name="Input 81 2 2" xfId="11044" xr:uid="{00000000-0005-0000-0000-0000242B0000}"/>
    <cellStyle name="Input 81 2 2 2" xfId="11045" xr:uid="{00000000-0005-0000-0000-0000252B0000}"/>
    <cellStyle name="Input 81 2 3" xfId="11046" xr:uid="{00000000-0005-0000-0000-0000262B0000}"/>
    <cellStyle name="Input 81 3" xfId="11047" xr:uid="{00000000-0005-0000-0000-0000272B0000}"/>
    <cellStyle name="Input 81 3 2" xfId="11048" xr:uid="{00000000-0005-0000-0000-0000282B0000}"/>
    <cellStyle name="Input 81 3 2 2" xfId="11049" xr:uid="{00000000-0005-0000-0000-0000292B0000}"/>
    <cellStyle name="Input 81 3 2 2 2" xfId="11050" xr:uid="{00000000-0005-0000-0000-00002A2B0000}"/>
    <cellStyle name="Input 81 3 2 3" xfId="11051" xr:uid="{00000000-0005-0000-0000-00002B2B0000}"/>
    <cellStyle name="Input 81 3 3" xfId="11052" xr:uid="{00000000-0005-0000-0000-00002C2B0000}"/>
    <cellStyle name="Input 81 3 3 2" xfId="11053" xr:uid="{00000000-0005-0000-0000-00002D2B0000}"/>
    <cellStyle name="Input 81 3 4" xfId="11054" xr:uid="{00000000-0005-0000-0000-00002E2B0000}"/>
    <cellStyle name="Input 81 4" xfId="11055" xr:uid="{00000000-0005-0000-0000-00002F2B0000}"/>
    <cellStyle name="Input 81 4 2" xfId="11056" xr:uid="{00000000-0005-0000-0000-0000302B0000}"/>
    <cellStyle name="Input 81 5" xfId="11057" xr:uid="{00000000-0005-0000-0000-0000312B0000}"/>
    <cellStyle name="Input 82" xfId="11058" xr:uid="{00000000-0005-0000-0000-0000322B0000}"/>
    <cellStyle name="Input 82 2" xfId="11059" xr:uid="{00000000-0005-0000-0000-0000332B0000}"/>
    <cellStyle name="Input 82 2 2" xfId="11060" xr:uid="{00000000-0005-0000-0000-0000342B0000}"/>
    <cellStyle name="Input 82 2 2 2" xfId="11061" xr:uid="{00000000-0005-0000-0000-0000352B0000}"/>
    <cellStyle name="Input 82 2 3" xfId="11062" xr:uid="{00000000-0005-0000-0000-0000362B0000}"/>
    <cellStyle name="Input 82 3" xfId="11063" xr:uid="{00000000-0005-0000-0000-0000372B0000}"/>
    <cellStyle name="Input 82 3 2" xfId="11064" xr:uid="{00000000-0005-0000-0000-0000382B0000}"/>
    <cellStyle name="Input 82 3 2 2" xfId="11065" xr:uid="{00000000-0005-0000-0000-0000392B0000}"/>
    <cellStyle name="Input 82 3 2 2 2" xfId="11066" xr:uid="{00000000-0005-0000-0000-00003A2B0000}"/>
    <cellStyle name="Input 82 3 2 3" xfId="11067" xr:uid="{00000000-0005-0000-0000-00003B2B0000}"/>
    <cellStyle name="Input 82 3 3" xfId="11068" xr:uid="{00000000-0005-0000-0000-00003C2B0000}"/>
    <cellStyle name="Input 82 3 3 2" xfId="11069" xr:uid="{00000000-0005-0000-0000-00003D2B0000}"/>
    <cellStyle name="Input 82 3 4" xfId="11070" xr:uid="{00000000-0005-0000-0000-00003E2B0000}"/>
    <cellStyle name="Input 82 4" xfId="11071" xr:uid="{00000000-0005-0000-0000-00003F2B0000}"/>
    <cellStyle name="Input 82 4 2" xfId="11072" xr:uid="{00000000-0005-0000-0000-0000402B0000}"/>
    <cellStyle name="Input 82 5" xfId="11073" xr:uid="{00000000-0005-0000-0000-0000412B0000}"/>
    <cellStyle name="Input 83" xfId="11074" xr:uid="{00000000-0005-0000-0000-0000422B0000}"/>
    <cellStyle name="Input 83 2" xfId="11075" xr:uid="{00000000-0005-0000-0000-0000432B0000}"/>
    <cellStyle name="Input 83 2 2" xfId="11076" xr:uid="{00000000-0005-0000-0000-0000442B0000}"/>
    <cellStyle name="Input 83 2 2 2" xfId="11077" xr:uid="{00000000-0005-0000-0000-0000452B0000}"/>
    <cellStyle name="Input 83 2 3" xfId="11078" xr:uid="{00000000-0005-0000-0000-0000462B0000}"/>
    <cellStyle name="Input 83 3" xfId="11079" xr:uid="{00000000-0005-0000-0000-0000472B0000}"/>
    <cellStyle name="Input 83 3 2" xfId="11080" xr:uid="{00000000-0005-0000-0000-0000482B0000}"/>
    <cellStyle name="Input 83 3 2 2" xfId="11081" xr:uid="{00000000-0005-0000-0000-0000492B0000}"/>
    <cellStyle name="Input 83 3 2 2 2" xfId="11082" xr:uid="{00000000-0005-0000-0000-00004A2B0000}"/>
    <cellStyle name="Input 83 3 2 3" xfId="11083" xr:uid="{00000000-0005-0000-0000-00004B2B0000}"/>
    <cellStyle name="Input 83 3 3" xfId="11084" xr:uid="{00000000-0005-0000-0000-00004C2B0000}"/>
    <cellStyle name="Input 83 3 3 2" xfId="11085" xr:uid="{00000000-0005-0000-0000-00004D2B0000}"/>
    <cellStyle name="Input 83 3 4" xfId="11086" xr:uid="{00000000-0005-0000-0000-00004E2B0000}"/>
    <cellStyle name="Input 83 4" xfId="11087" xr:uid="{00000000-0005-0000-0000-00004F2B0000}"/>
    <cellStyle name="Input 83 4 2" xfId="11088" xr:uid="{00000000-0005-0000-0000-0000502B0000}"/>
    <cellStyle name="Input 83 5" xfId="11089" xr:uid="{00000000-0005-0000-0000-0000512B0000}"/>
    <cellStyle name="Input 84" xfId="11090" xr:uid="{00000000-0005-0000-0000-0000522B0000}"/>
    <cellStyle name="Input 84 2" xfId="11091" xr:uid="{00000000-0005-0000-0000-0000532B0000}"/>
    <cellStyle name="Input 84 2 2" xfId="11092" xr:uid="{00000000-0005-0000-0000-0000542B0000}"/>
    <cellStyle name="Input 84 2 2 2" xfId="11093" xr:uid="{00000000-0005-0000-0000-0000552B0000}"/>
    <cellStyle name="Input 84 2 3" xfId="11094" xr:uid="{00000000-0005-0000-0000-0000562B0000}"/>
    <cellStyle name="Input 84 3" xfId="11095" xr:uid="{00000000-0005-0000-0000-0000572B0000}"/>
    <cellStyle name="Input 84 3 2" xfId="11096" xr:uid="{00000000-0005-0000-0000-0000582B0000}"/>
    <cellStyle name="Input 84 4" xfId="11097" xr:uid="{00000000-0005-0000-0000-0000592B0000}"/>
    <cellStyle name="Input 85" xfId="11098" xr:uid="{00000000-0005-0000-0000-00005A2B0000}"/>
    <cellStyle name="Input 85 2" xfId="11099" xr:uid="{00000000-0005-0000-0000-00005B2B0000}"/>
    <cellStyle name="Input 85 2 2" xfId="11100" xr:uid="{00000000-0005-0000-0000-00005C2B0000}"/>
    <cellStyle name="Input 85 2 2 2" xfId="11101" xr:uid="{00000000-0005-0000-0000-00005D2B0000}"/>
    <cellStyle name="Input 85 2 3" xfId="11102" xr:uid="{00000000-0005-0000-0000-00005E2B0000}"/>
    <cellStyle name="Input 85 3" xfId="11103" xr:uid="{00000000-0005-0000-0000-00005F2B0000}"/>
    <cellStyle name="Input 85 3 2" xfId="11104" xr:uid="{00000000-0005-0000-0000-0000602B0000}"/>
    <cellStyle name="Input 85 4" xfId="11105" xr:uid="{00000000-0005-0000-0000-0000612B0000}"/>
    <cellStyle name="Input 86" xfId="11106" xr:uid="{00000000-0005-0000-0000-0000622B0000}"/>
    <cellStyle name="Input 86 2" xfId="11107" xr:uid="{00000000-0005-0000-0000-0000632B0000}"/>
    <cellStyle name="Input 86 2 2" xfId="11108" xr:uid="{00000000-0005-0000-0000-0000642B0000}"/>
    <cellStyle name="Input 86 2 2 2" xfId="11109" xr:uid="{00000000-0005-0000-0000-0000652B0000}"/>
    <cellStyle name="Input 86 2 3" xfId="11110" xr:uid="{00000000-0005-0000-0000-0000662B0000}"/>
    <cellStyle name="Input 86 3" xfId="11111" xr:uid="{00000000-0005-0000-0000-0000672B0000}"/>
    <cellStyle name="Input 86 3 2" xfId="11112" xr:uid="{00000000-0005-0000-0000-0000682B0000}"/>
    <cellStyle name="Input 86 4" xfId="11113" xr:uid="{00000000-0005-0000-0000-0000692B0000}"/>
    <cellStyle name="Input 87" xfId="11114" xr:uid="{00000000-0005-0000-0000-00006A2B0000}"/>
    <cellStyle name="Input 87 2" xfId="11115" xr:uid="{00000000-0005-0000-0000-00006B2B0000}"/>
    <cellStyle name="Input 87 2 2" xfId="11116" xr:uid="{00000000-0005-0000-0000-00006C2B0000}"/>
    <cellStyle name="Input 87 2 2 2" xfId="11117" xr:uid="{00000000-0005-0000-0000-00006D2B0000}"/>
    <cellStyle name="Input 87 2 3" xfId="11118" xr:uid="{00000000-0005-0000-0000-00006E2B0000}"/>
    <cellStyle name="Input 87 3" xfId="11119" xr:uid="{00000000-0005-0000-0000-00006F2B0000}"/>
    <cellStyle name="Input 87 3 2" xfId="11120" xr:uid="{00000000-0005-0000-0000-0000702B0000}"/>
    <cellStyle name="Input 87 4" xfId="11121" xr:uid="{00000000-0005-0000-0000-0000712B0000}"/>
    <cellStyle name="Input 88" xfId="11122" xr:uid="{00000000-0005-0000-0000-0000722B0000}"/>
    <cellStyle name="Input 88 2" xfId="11123" xr:uid="{00000000-0005-0000-0000-0000732B0000}"/>
    <cellStyle name="Input 88 2 2" xfId="11124" xr:uid="{00000000-0005-0000-0000-0000742B0000}"/>
    <cellStyle name="Input 88 2 2 2" xfId="11125" xr:uid="{00000000-0005-0000-0000-0000752B0000}"/>
    <cellStyle name="Input 88 2 3" xfId="11126" xr:uid="{00000000-0005-0000-0000-0000762B0000}"/>
    <cellStyle name="Input 88 3" xfId="11127" xr:uid="{00000000-0005-0000-0000-0000772B0000}"/>
    <cellStyle name="Input 88 3 2" xfId="11128" xr:uid="{00000000-0005-0000-0000-0000782B0000}"/>
    <cellStyle name="Input 88 4" xfId="11129" xr:uid="{00000000-0005-0000-0000-0000792B0000}"/>
    <cellStyle name="Input 89" xfId="11130" xr:uid="{00000000-0005-0000-0000-00007A2B0000}"/>
    <cellStyle name="Input 89 2" xfId="11131" xr:uid="{00000000-0005-0000-0000-00007B2B0000}"/>
    <cellStyle name="Input 89 2 2" xfId="11132" xr:uid="{00000000-0005-0000-0000-00007C2B0000}"/>
    <cellStyle name="Input 89 2 2 2" xfId="11133" xr:uid="{00000000-0005-0000-0000-00007D2B0000}"/>
    <cellStyle name="Input 89 2 3" xfId="11134" xr:uid="{00000000-0005-0000-0000-00007E2B0000}"/>
    <cellStyle name="Input 89 3" xfId="11135" xr:uid="{00000000-0005-0000-0000-00007F2B0000}"/>
    <cellStyle name="Input 89 3 2" xfId="11136" xr:uid="{00000000-0005-0000-0000-0000802B0000}"/>
    <cellStyle name="Input 89 4" xfId="11137" xr:uid="{00000000-0005-0000-0000-0000812B0000}"/>
    <cellStyle name="Input 9" xfId="11138" xr:uid="{00000000-0005-0000-0000-0000822B0000}"/>
    <cellStyle name="Input 9 2" xfId="11139" xr:uid="{00000000-0005-0000-0000-0000832B0000}"/>
    <cellStyle name="Input 9 2 2" xfId="11140" xr:uid="{00000000-0005-0000-0000-0000842B0000}"/>
    <cellStyle name="Input 9 2 2 2" xfId="11141" xr:uid="{00000000-0005-0000-0000-0000852B0000}"/>
    <cellStyle name="Input 9 2 3" xfId="11142" xr:uid="{00000000-0005-0000-0000-0000862B0000}"/>
    <cellStyle name="Input 9 3" xfId="11143" xr:uid="{00000000-0005-0000-0000-0000872B0000}"/>
    <cellStyle name="Input 9 3 2" xfId="11144" xr:uid="{00000000-0005-0000-0000-0000882B0000}"/>
    <cellStyle name="Input 9 4" xfId="11145" xr:uid="{00000000-0005-0000-0000-0000892B0000}"/>
    <cellStyle name="Input 90" xfId="11146" xr:uid="{00000000-0005-0000-0000-00008A2B0000}"/>
    <cellStyle name="Input 90 2" xfId="11147" xr:uid="{00000000-0005-0000-0000-00008B2B0000}"/>
    <cellStyle name="Input 90 2 2" xfId="11148" xr:uid="{00000000-0005-0000-0000-00008C2B0000}"/>
    <cellStyle name="Input 90 2 2 2" xfId="11149" xr:uid="{00000000-0005-0000-0000-00008D2B0000}"/>
    <cellStyle name="Input 90 2 3" xfId="11150" xr:uid="{00000000-0005-0000-0000-00008E2B0000}"/>
    <cellStyle name="Input 90 3" xfId="11151" xr:uid="{00000000-0005-0000-0000-00008F2B0000}"/>
    <cellStyle name="Input 90 3 2" xfId="11152" xr:uid="{00000000-0005-0000-0000-0000902B0000}"/>
    <cellStyle name="Input 90 4" xfId="11153" xr:uid="{00000000-0005-0000-0000-0000912B0000}"/>
    <cellStyle name="Input 91" xfId="11154" xr:uid="{00000000-0005-0000-0000-0000922B0000}"/>
    <cellStyle name="Input 91 2" xfId="11155" xr:uid="{00000000-0005-0000-0000-0000932B0000}"/>
    <cellStyle name="Input 91 2 2" xfId="11156" xr:uid="{00000000-0005-0000-0000-0000942B0000}"/>
    <cellStyle name="Input 91 2 2 2" xfId="11157" xr:uid="{00000000-0005-0000-0000-0000952B0000}"/>
    <cellStyle name="Input 91 2 3" xfId="11158" xr:uid="{00000000-0005-0000-0000-0000962B0000}"/>
    <cellStyle name="Input 91 3" xfId="11159" xr:uid="{00000000-0005-0000-0000-0000972B0000}"/>
    <cellStyle name="Input 91 3 2" xfId="11160" xr:uid="{00000000-0005-0000-0000-0000982B0000}"/>
    <cellStyle name="Input 91 4" xfId="11161" xr:uid="{00000000-0005-0000-0000-0000992B0000}"/>
    <cellStyle name="Input 92" xfId="11162" xr:uid="{00000000-0005-0000-0000-00009A2B0000}"/>
    <cellStyle name="Input 92 2" xfId="11163" xr:uid="{00000000-0005-0000-0000-00009B2B0000}"/>
    <cellStyle name="Input 92 2 2" xfId="11164" xr:uid="{00000000-0005-0000-0000-00009C2B0000}"/>
    <cellStyle name="Input 92 2 2 2" xfId="11165" xr:uid="{00000000-0005-0000-0000-00009D2B0000}"/>
    <cellStyle name="Input 92 2 3" xfId="11166" xr:uid="{00000000-0005-0000-0000-00009E2B0000}"/>
    <cellStyle name="Input 92 3" xfId="11167" xr:uid="{00000000-0005-0000-0000-00009F2B0000}"/>
    <cellStyle name="Input 92 3 2" xfId="11168" xr:uid="{00000000-0005-0000-0000-0000A02B0000}"/>
    <cellStyle name="Input 92 4" xfId="11169" xr:uid="{00000000-0005-0000-0000-0000A12B0000}"/>
    <cellStyle name="Input 93" xfId="11170" xr:uid="{00000000-0005-0000-0000-0000A22B0000}"/>
    <cellStyle name="Input 93 2" xfId="11171" xr:uid="{00000000-0005-0000-0000-0000A32B0000}"/>
    <cellStyle name="Input 93 2 2" xfId="11172" xr:uid="{00000000-0005-0000-0000-0000A42B0000}"/>
    <cellStyle name="Input 93 2 2 2" xfId="11173" xr:uid="{00000000-0005-0000-0000-0000A52B0000}"/>
    <cellStyle name="Input 93 2 3" xfId="11174" xr:uid="{00000000-0005-0000-0000-0000A62B0000}"/>
    <cellStyle name="Input 93 3" xfId="11175" xr:uid="{00000000-0005-0000-0000-0000A72B0000}"/>
    <cellStyle name="Input 93 3 2" xfId="11176" xr:uid="{00000000-0005-0000-0000-0000A82B0000}"/>
    <cellStyle name="Input 93 4" xfId="11177" xr:uid="{00000000-0005-0000-0000-0000A92B0000}"/>
    <cellStyle name="Input 94" xfId="11178" xr:uid="{00000000-0005-0000-0000-0000AA2B0000}"/>
    <cellStyle name="Input 94 2" xfId="11179" xr:uid="{00000000-0005-0000-0000-0000AB2B0000}"/>
    <cellStyle name="Input 94 2 2" xfId="11180" xr:uid="{00000000-0005-0000-0000-0000AC2B0000}"/>
    <cellStyle name="Input 94 2 2 2" xfId="11181" xr:uid="{00000000-0005-0000-0000-0000AD2B0000}"/>
    <cellStyle name="Input 94 2 3" xfId="11182" xr:uid="{00000000-0005-0000-0000-0000AE2B0000}"/>
    <cellStyle name="Input 94 3" xfId="11183" xr:uid="{00000000-0005-0000-0000-0000AF2B0000}"/>
    <cellStyle name="Input 94 3 2" xfId="11184" xr:uid="{00000000-0005-0000-0000-0000B02B0000}"/>
    <cellStyle name="Input 94 4" xfId="11185" xr:uid="{00000000-0005-0000-0000-0000B12B0000}"/>
    <cellStyle name="Input 95" xfId="11186" xr:uid="{00000000-0005-0000-0000-0000B22B0000}"/>
    <cellStyle name="Input 95 2" xfId="11187" xr:uid="{00000000-0005-0000-0000-0000B32B0000}"/>
    <cellStyle name="Input 95 2 2" xfId="11188" xr:uid="{00000000-0005-0000-0000-0000B42B0000}"/>
    <cellStyle name="Input 95 2 2 2" xfId="11189" xr:uid="{00000000-0005-0000-0000-0000B52B0000}"/>
    <cellStyle name="Input 95 2 3" xfId="11190" xr:uid="{00000000-0005-0000-0000-0000B62B0000}"/>
    <cellStyle name="Input 95 3" xfId="11191" xr:uid="{00000000-0005-0000-0000-0000B72B0000}"/>
    <cellStyle name="Input 95 3 2" xfId="11192" xr:uid="{00000000-0005-0000-0000-0000B82B0000}"/>
    <cellStyle name="Input 95 4" xfId="11193" xr:uid="{00000000-0005-0000-0000-0000B92B0000}"/>
    <cellStyle name="Input 96" xfId="11194" xr:uid="{00000000-0005-0000-0000-0000BA2B0000}"/>
    <cellStyle name="Input 96 2" xfId="11195" xr:uid="{00000000-0005-0000-0000-0000BB2B0000}"/>
    <cellStyle name="Input 96 2 2" xfId="11196" xr:uid="{00000000-0005-0000-0000-0000BC2B0000}"/>
    <cellStyle name="Input 96 2 2 2" xfId="11197" xr:uid="{00000000-0005-0000-0000-0000BD2B0000}"/>
    <cellStyle name="Input 96 2 3" xfId="11198" xr:uid="{00000000-0005-0000-0000-0000BE2B0000}"/>
    <cellStyle name="Input 96 3" xfId="11199" xr:uid="{00000000-0005-0000-0000-0000BF2B0000}"/>
    <cellStyle name="Input 96 3 2" xfId="11200" xr:uid="{00000000-0005-0000-0000-0000C02B0000}"/>
    <cellStyle name="Input 96 4" xfId="11201" xr:uid="{00000000-0005-0000-0000-0000C12B0000}"/>
    <cellStyle name="Input 97" xfId="11202" xr:uid="{00000000-0005-0000-0000-0000C22B0000}"/>
    <cellStyle name="Input 97 2" xfId="11203" xr:uid="{00000000-0005-0000-0000-0000C32B0000}"/>
    <cellStyle name="Input 97 2 2" xfId="11204" xr:uid="{00000000-0005-0000-0000-0000C42B0000}"/>
    <cellStyle name="Input 97 2 2 2" xfId="11205" xr:uid="{00000000-0005-0000-0000-0000C52B0000}"/>
    <cellStyle name="Input 97 2 3" xfId="11206" xr:uid="{00000000-0005-0000-0000-0000C62B0000}"/>
    <cellStyle name="Input 97 3" xfId="11207" xr:uid="{00000000-0005-0000-0000-0000C72B0000}"/>
    <cellStyle name="Input 97 3 2" xfId="11208" xr:uid="{00000000-0005-0000-0000-0000C82B0000}"/>
    <cellStyle name="Input 97 4" xfId="11209" xr:uid="{00000000-0005-0000-0000-0000C92B0000}"/>
    <cellStyle name="Input 98" xfId="11210" xr:uid="{00000000-0005-0000-0000-0000CA2B0000}"/>
    <cellStyle name="Input 98 2" xfId="11211" xr:uid="{00000000-0005-0000-0000-0000CB2B0000}"/>
    <cellStyle name="Input 98 2 2" xfId="11212" xr:uid="{00000000-0005-0000-0000-0000CC2B0000}"/>
    <cellStyle name="Input 98 2 2 2" xfId="11213" xr:uid="{00000000-0005-0000-0000-0000CD2B0000}"/>
    <cellStyle name="Input 98 2 3" xfId="11214" xr:uid="{00000000-0005-0000-0000-0000CE2B0000}"/>
    <cellStyle name="Input 98 3" xfId="11215" xr:uid="{00000000-0005-0000-0000-0000CF2B0000}"/>
    <cellStyle name="Input 98 3 2" xfId="11216" xr:uid="{00000000-0005-0000-0000-0000D02B0000}"/>
    <cellStyle name="Input 98 4" xfId="11217" xr:uid="{00000000-0005-0000-0000-0000D12B0000}"/>
    <cellStyle name="Input 99" xfId="11218" xr:uid="{00000000-0005-0000-0000-0000D22B0000}"/>
    <cellStyle name="Input 99 2" xfId="11219" xr:uid="{00000000-0005-0000-0000-0000D32B0000}"/>
    <cellStyle name="Input 99 2 2" xfId="11220" xr:uid="{00000000-0005-0000-0000-0000D42B0000}"/>
    <cellStyle name="Input 99 2 2 2" xfId="11221" xr:uid="{00000000-0005-0000-0000-0000D52B0000}"/>
    <cellStyle name="Input 99 2 3" xfId="11222" xr:uid="{00000000-0005-0000-0000-0000D62B0000}"/>
    <cellStyle name="Input 99 3" xfId="11223" xr:uid="{00000000-0005-0000-0000-0000D72B0000}"/>
    <cellStyle name="Input 99 3 2" xfId="11224" xr:uid="{00000000-0005-0000-0000-0000D82B0000}"/>
    <cellStyle name="Input 99 4" xfId="11225" xr:uid="{00000000-0005-0000-0000-0000D92B0000}"/>
    <cellStyle name="IntegerNoZero" xfId="11226" xr:uid="{00000000-0005-0000-0000-0000DA2B0000}"/>
    <cellStyle name="Linked" xfId="11227" xr:uid="{00000000-0005-0000-0000-0000DB2B0000}"/>
    <cellStyle name="Linked 2" xfId="11228" xr:uid="{00000000-0005-0000-0000-0000DC2B0000}"/>
    <cellStyle name="Linked Cell 2" xfId="11229" xr:uid="{00000000-0005-0000-0000-0000DD2B0000}"/>
    <cellStyle name="Linked Cell 2 10" xfId="11230" xr:uid="{00000000-0005-0000-0000-0000DE2B0000}"/>
    <cellStyle name="Linked Cell 2 10 2" xfId="11231" xr:uid="{00000000-0005-0000-0000-0000DF2B0000}"/>
    <cellStyle name="Linked Cell 2 11" xfId="11232" xr:uid="{00000000-0005-0000-0000-0000E02B0000}"/>
    <cellStyle name="Linked Cell 2 12" xfId="11233" xr:uid="{00000000-0005-0000-0000-0000E12B0000}"/>
    <cellStyle name="Linked Cell 2 2" xfId="11234" xr:uid="{00000000-0005-0000-0000-0000E22B0000}"/>
    <cellStyle name="Linked Cell 2 2 2" xfId="11235" xr:uid="{00000000-0005-0000-0000-0000E32B0000}"/>
    <cellStyle name="Linked Cell 2 2 2 2" xfId="11236" xr:uid="{00000000-0005-0000-0000-0000E42B0000}"/>
    <cellStyle name="Linked Cell 2 2 3" xfId="11237" xr:uid="{00000000-0005-0000-0000-0000E52B0000}"/>
    <cellStyle name="Linked Cell 2 2 3 2" xfId="11238" xr:uid="{00000000-0005-0000-0000-0000E62B0000}"/>
    <cellStyle name="Linked Cell 2 2 3 2 2" xfId="11239" xr:uid="{00000000-0005-0000-0000-0000E72B0000}"/>
    <cellStyle name="Linked Cell 2 2 3 3" xfId="11240" xr:uid="{00000000-0005-0000-0000-0000E82B0000}"/>
    <cellStyle name="Linked Cell 2 2 4" xfId="11241" xr:uid="{00000000-0005-0000-0000-0000E92B0000}"/>
    <cellStyle name="Linked Cell 2 3" xfId="11242" xr:uid="{00000000-0005-0000-0000-0000EA2B0000}"/>
    <cellStyle name="Linked Cell 2 3 2" xfId="11243" xr:uid="{00000000-0005-0000-0000-0000EB2B0000}"/>
    <cellStyle name="Linked Cell 2 3 2 2" xfId="11244" xr:uid="{00000000-0005-0000-0000-0000EC2B0000}"/>
    <cellStyle name="Linked Cell 2 3 3" xfId="11245" xr:uid="{00000000-0005-0000-0000-0000ED2B0000}"/>
    <cellStyle name="Linked Cell 2 3 3 2" xfId="11246" xr:uid="{00000000-0005-0000-0000-0000EE2B0000}"/>
    <cellStyle name="Linked Cell 2 3 3 2 2" xfId="11247" xr:uid="{00000000-0005-0000-0000-0000EF2B0000}"/>
    <cellStyle name="Linked Cell 2 3 3 3" xfId="11248" xr:uid="{00000000-0005-0000-0000-0000F02B0000}"/>
    <cellStyle name="Linked Cell 2 3 4" xfId="11249" xr:uid="{00000000-0005-0000-0000-0000F12B0000}"/>
    <cellStyle name="Linked Cell 2 4" xfId="11250" xr:uid="{00000000-0005-0000-0000-0000F22B0000}"/>
    <cellStyle name="Linked Cell 2 4 2" xfId="11251" xr:uid="{00000000-0005-0000-0000-0000F32B0000}"/>
    <cellStyle name="Linked Cell 2 4 2 2" xfId="11252" xr:uid="{00000000-0005-0000-0000-0000F42B0000}"/>
    <cellStyle name="Linked Cell 2 4 3" xfId="11253" xr:uid="{00000000-0005-0000-0000-0000F52B0000}"/>
    <cellStyle name="Linked Cell 2 5" xfId="11254" xr:uid="{00000000-0005-0000-0000-0000F62B0000}"/>
    <cellStyle name="Linked Cell 2 5 2" xfId="11255" xr:uid="{00000000-0005-0000-0000-0000F72B0000}"/>
    <cellStyle name="Linked Cell 2 5 2 2" xfId="11256" xr:uid="{00000000-0005-0000-0000-0000F82B0000}"/>
    <cellStyle name="Linked Cell 2 5 3" xfId="11257" xr:uid="{00000000-0005-0000-0000-0000F92B0000}"/>
    <cellStyle name="Linked Cell 2 5 3 2" xfId="11258" xr:uid="{00000000-0005-0000-0000-0000FA2B0000}"/>
    <cellStyle name="Linked Cell 2 5 3 2 2" xfId="11259" xr:uid="{00000000-0005-0000-0000-0000FB2B0000}"/>
    <cellStyle name="Linked Cell 2 5 3 3" xfId="11260" xr:uid="{00000000-0005-0000-0000-0000FC2B0000}"/>
    <cellStyle name="Linked Cell 2 5 4" xfId="11261" xr:uid="{00000000-0005-0000-0000-0000FD2B0000}"/>
    <cellStyle name="Linked Cell 2 6" xfId="11262" xr:uid="{00000000-0005-0000-0000-0000FE2B0000}"/>
    <cellStyle name="Linked Cell 2 6 2" xfId="11263" xr:uid="{00000000-0005-0000-0000-0000FF2B0000}"/>
    <cellStyle name="Linked Cell 2 6 2 2" xfId="11264" xr:uid="{00000000-0005-0000-0000-0000002C0000}"/>
    <cellStyle name="Linked Cell 2 6 3" xfId="11265" xr:uid="{00000000-0005-0000-0000-0000012C0000}"/>
    <cellStyle name="Linked Cell 2 6 3 2" xfId="11266" xr:uid="{00000000-0005-0000-0000-0000022C0000}"/>
    <cellStyle name="Linked Cell 2 6 4" xfId="11267" xr:uid="{00000000-0005-0000-0000-0000032C0000}"/>
    <cellStyle name="Linked Cell 2 7" xfId="11268" xr:uid="{00000000-0005-0000-0000-0000042C0000}"/>
    <cellStyle name="Linked Cell 2 7 2" xfId="11269" xr:uid="{00000000-0005-0000-0000-0000052C0000}"/>
    <cellStyle name="Linked Cell 2 8" xfId="11270" xr:uid="{00000000-0005-0000-0000-0000062C0000}"/>
    <cellStyle name="Linked Cell 2 8 2" xfId="11271" xr:uid="{00000000-0005-0000-0000-0000072C0000}"/>
    <cellStyle name="Linked Cell 2 8 2 2" xfId="11272" xr:uid="{00000000-0005-0000-0000-0000082C0000}"/>
    <cellStyle name="Linked Cell 2 8 3" xfId="11273" xr:uid="{00000000-0005-0000-0000-0000092C0000}"/>
    <cellStyle name="Linked Cell 2 9" xfId="11274" xr:uid="{00000000-0005-0000-0000-00000A2C0000}"/>
    <cellStyle name="Linked Cell 2 9 2" xfId="11275" xr:uid="{00000000-0005-0000-0000-00000B2C0000}"/>
    <cellStyle name="Linked Cell 2 9 2 2" xfId="11276" xr:uid="{00000000-0005-0000-0000-00000C2C0000}"/>
    <cellStyle name="Linked Cell 2 9 3" xfId="11277" xr:uid="{00000000-0005-0000-0000-00000D2C0000}"/>
    <cellStyle name="Linked Cell 3" xfId="11278" xr:uid="{00000000-0005-0000-0000-00000E2C0000}"/>
    <cellStyle name="Linked Cell 3 2" xfId="11279" xr:uid="{00000000-0005-0000-0000-00000F2C0000}"/>
    <cellStyle name="Linked Cell 3 2 2" xfId="11280" xr:uid="{00000000-0005-0000-0000-0000102C0000}"/>
    <cellStyle name="Linked Cell 3 3" xfId="11281" xr:uid="{00000000-0005-0000-0000-0000112C0000}"/>
    <cellStyle name="Linked Cell 3 3 2" xfId="11282" xr:uid="{00000000-0005-0000-0000-0000122C0000}"/>
    <cellStyle name="Linked Cell 3 4" xfId="11283" xr:uid="{00000000-0005-0000-0000-0000132C0000}"/>
    <cellStyle name="Linked Cell 3 4 2" xfId="11284" xr:uid="{00000000-0005-0000-0000-0000142C0000}"/>
    <cellStyle name="Linked Cell 3 4 2 2" xfId="11285" xr:uid="{00000000-0005-0000-0000-0000152C0000}"/>
    <cellStyle name="Linked Cell 3 4 3" xfId="11286" xr:uid="{00000000-0005-0000-0000-0000162C0000}"/>
    <cellStyle name="Linked Cell 3 5" xfId="11287" xr:uid="{00000000-0005-0000-0000-0000172C0000}"/>
    <cellStyle name="Linked Cell 4" xfId="11288" xr:uid="{00000000-0005-0000-0000-0000182C0000}"/>
    <cellStyle name="Linked Cell 4 2" xfId="11289" xr:uid="{00000000-0005-0000-0000-0000192C0000}"/>
    <cellStyle name="Linked Cell 4 2 2" xfId="11290" xr:uid="{00000000-0005-0000-0000-00001A2C0000}"/>
    <cellStyle name="Linked Cell 4 3" xfId="11291" xr:uid="{00000000-0005-0000-0000-00001B2C0000}"/>
    <cellStyle name="Linked Cell 4 3 2" xfId="11292" xr:uid="{00000000-0005-0000-0000-00001C2C0000}"/>
    <cellStyle name="Linked Cell 4 3 2 2" xfId="11293" xr:uid="{00000000-0005-0000-0000-00001D2C0000}"/>
    <cellStyle name="Linked Cell 4 3 3" xfId="11294" xr:uid="{00000000-0005-0000-0000-00001E2C0000}"/>
    <cellStyle name="Linked Cell 4 4" xfId="11295" xr:uid="{00000000-0005-0000-0000-00001F2C0000}"/>
    <cellStyle name="Linked Cell 5" xfId="11296" xr:uid="{00000000-0005-0000-0000-0000202C0000}"/>
    <cellStyle name="Linked Cell 5 2" xfId="11297" xr:uid="{00000000-0005-0000-0000-0000212C0000}"/>
    <cellStyle name="Linked Cell 5 2 2" xfId="11298" xr:uid="{00000000-0005-0000-0000-0000222C0000}"/>
    <cellStyle name="Linked Cell 5 3" xfId="11299" xr:uid="{00000000-0005-0000-0000-0000232C0000}"/>
    <cellStyle name="Linked Cell 5 3 2" xfId="11300" xr:uid="{00000000-0005-0000-0000-0000242C0000}"/>
    <cellStyle name="Linked Cell 5 3 2 2" xfId="11301" xr:uid="{00000000-0005-0000-0000-0000252C0000}"/>
    <cellStyle name="Linked Cell 5 3 3" xfId="11302" xr:uid="{00000000-0005-0000-0000-0000262C0000}"/>
    <cellStyle name="Linked Cell 5 4" xfId="11303" xr:uid="{00000000-0005-0000-0000-0000272C0000}"/>
    <cellStyle name="Linked Cell 6" xfId="11304" xr:uid="{00000000-0005-0000-0000-0000282C0000}"/>
    <cellStyle name="Linked Cell 6 2" xfId="11305" xr:uid="{00000000-0005-0000-0000-0000292C0000}"/>
    <cellStyle name="Linked Cell 6 2 2" xfId="11306" xr:uid="{00000000-0005-0000-0000-00002A2C0000}"/>
    <cellStyle name="Linked Cell 6 3" xfId="11307" xr:uid="{00000000-0005-0000-0000-00002B2C0000}"/>
    <cellStyle name="Linked Cell 7" xfId="11308" xr:uid="{00000000-0005-0000-0000-00002C2C0000}"/>
    <cellStyle name="Linked Cell 7 2" xfId="11309" xr:uid="{00000000-0005-0000-0000-00002D2C0000}"/>
    <cellStyle name="Linked Cell 8" xfId="11310" xr:uid="{00000000-0005-0000-0000-00002E2C0000}"/>
    <cellStyle name="Linked Cell 9" xfId="11311" xr:uid="{00000000-0005-0000-0000-00002F2C0000}"/>
    <cellStyle name="Missing" xfId="11312" xr:uid="{00000000-0005-0000-0000-0000302C0000}"/>
    <cellStyle name="Missing 2" xfId="11313" xr:uid="{00000000-0005-0000-0000-0000312C0000}"/>
    <cellStyle name="mmmyy" xfId="11314" xr:uid="{00000000-0005-0000-0000-0000322C0000}"/>
    <cellStyle name="Neutral 2" xfId="11315" xr:uid="{00000000-0005-0000-0000-0000332C0000}"/>
    <cellStyle name="Neutral 2 10" xfId="11316" xr:uid="{00000000-0005-0000-0000-0000342C0000}"/>
    <cellStyle name="Neutral 2 10 2" xfId="11317" xr:uid="{00000000-0005-0000-0000-0000352C0000}"/>
    <cellStyle name="Neutral 2 11" xfId="11318" xr:uid="{00000000-0005-0000-0000-0000362C0000}"/>
    <cellStyle name="Neutral 2 12" xfId="11319" xr:uid="{00000000-0005-0000-0000-0000372C0000}"/>
    <cellStyle name="Neutral 2 2" xfId="11320" xr:uid="{00000000-0005-0000-0000-0000382C0000}"/>
    <cellStyle name="Neutral 2 2 2" xfId="11321" xr:uid="{00000000-0005-0000-0000-0000392C0000}"/>
    <cellStyle name="Neutral 2 2 2 2" xfId="11322" xr:uid="{00000000-0005-0000-0000-00003A2C0000}"/>
    <cellStyle name="Neutral 2 2 3" xfId="11323" xr:uid="{00000000-0005-0000-0000-00003B2C0000}"/>
    <cellStyle name="Neutral 2 2 3 2" xfId="11324" xr:uid="{00000000-0005-0000-0000-00003C2C0000}"/>
    <cellStyle name="Neutral 2 2 3 2 2" xfId="11325" xr:uid="{00000000-0005-0000-0000-00003D2C0000}"/>
    <cellStyle name="Neutral 2 2 3 3" xfId="11326" xr:uid="{00000000-0005-0000-0000-00003E2C0000}"/>
    <cellStyle name="Neutral 2 2 4" xfId="11327" xr:uid="{00000000-0005-0000-0000-00003F2C0000}"/>
    <cellStyle name="Neutral 2 2 4 2" xfId="11328" xr:uid="{00000000-0005-0000-0000-0000402C0000}"/>
    <cellStyle name="Neutral 2 2 5" xfId="11329" xr:uid="{00000000-0005-0000-0000-0000412C0000}"/>
    <cellStyle name="Neutral 2 3" xfId="11330" xr:uid="{00000000-0005-0000-0000-0000422C0000}"/>
    <cellStyle name="Neutral 2 3 2" xfId="11331" xr:uid="{00000000-0005-0000-0000-0000432C0000}"/>
    <cellStyle name="Neutral 2 3 2 2" xfId="11332" xr:uid="{00000000-0005-0000-0000-0000442C0000}"/>
    <cellStyle name="Neutral 2 3 3" xfId="11333" xr:uid="{00000000-0005-0000-0000-0000452C0000}"/>
    <cellStyle name="Neutral 2 3 3 2" xfId="11334" xr:uid="{00000000-0005-0000-0000-0000462C0000}"/>
    <cellStyle name="Neutral 2 3 3 2 2" xfId="11335" xr:uid="{00000000-0005-0000-0000-0000472C0000}"/>
    <cellStyle name="Neutral 2 3 3 3" xfId="11336" xr:uid="{00000000-0005-0000-0000-0000482C0000}"/>
    <cellStyle name="Neutral 2 3 4" xfId="11337" xr:uid="{00000000-0005-0000-0000-0000492C0000}"/>
    <cellStyle name="Neutral 2 4" xfId="11338" xr:uid="{00000000-0005-0000-0000-00004A2C0000}"/>
    <cellStyle name="Neutral 2 4 2" xfId="11339" xr:uid="{00000000-0005-0000-0000-00004B2C0000}"/>
    <cellStyle name="Neutral 2 4 2 2" xfId="11340" xr:uid="{00000000-0005-0000-0000-00004C2C0000}"/>
    <cellStyle name="Neutral 2 4 3" xfId="11341" xr:uid="{00000000-0005-0000-0000-00004D2C0000}"/>
    <cellStyle name="Neutral 2 5" xfId="11342" xr:uid="{00000000-0005-0000-0000-00004E2C0000}"/>
    <cellStyle name="Neutral 2 5 2" xfId="11343" xr:uid="{00000000-0005-0000-0000-00004F2C0000}"/>
    <cellStyle name="Neutral 2 5 2 2" xfId="11344" xr:uid="{00000000-0005-0000-0000-0000502C0000}"/>
    <cellStyle name="Neutral 2 5 3" xfId="11345" xr:uid="{00000000-0005-0000-0000-0000512C0000}"/>
    <cellStyle name="Neutral 2 5 3 2" xfId="11346" xr:uid="{00000000-0005-0000-0000-0000522C0000}"/>
    <cellStyle name="Neutral 2 5 3 2 2" xfId="11347" xr:uid="{00000000-0005-0000-0000-0000532C0000}"/>
    <cellStyle name="Neutral 2 5 3 3" xfId="11348" xr:uid="{00000000-0005-0000-0000-0000542C0000}"/>
    <cellStyle name="Neutral 2 5 4" xfId="11349" xr:uid="{00000000-0005-0000-0000-0000552C0000}"/>
    <cellStyle name="Neutral 2 6" xfId="11350" xr:uid="{00000000-0005-0000-0000-0000562C0000}"/>
    <cellStyle name="Neutral 2 6 2" xfId="11351" xr:uid="{00000000-0005-0000-0000-0000572C0000}"/>
    <cellStyle name="Neutral 2 6 2 2" xfId="11352" xr:uid="{00000000-0005-0000-0000-0000582C0000}"/>
    <cellStyle name="Neutral 2 6 3" xfId="11353" xr:uid="{00000000-0005-0000-0000-0000592C0000}"/>
    <cellStyle name="Neutral 2 6 3 2" xfId="11354" xr:uid="{00000000-0005-0000-0000-00005A2C0000}"/>
    <cellStyle name="Neutral 2 6 4" xfId="11355" xr:uid="{00000000-0005-0000-0000-00005B2C0000}"/>
    <cellStyle name="Neutral 2 7" xfId="11356" xr:uid="{00000000-0005-0000-0000-00005C2C0000}"/>
    <cellStyle name="Neutral 2 7 2" xfId="11357" xr:uid="{00000000-0005-0000-0000-00005D2C0000}"/>
    <cellStyle name="Neutral 2 8" xfId="11358" xr:uid="{00000000-0005-0000-0000-00005E2C0000}"/>
    <cellStyle name="Neutral 2 8 2" xfId="11359" xr:uid="{00000000-0005-0000-0000-00005F2C0000}"/>
    <cellStyle name="Neutral 2 8 2 2" xfId="11360" xr:uid="{00000000-0005-0000-0000-0000602C0000}"/>
    <cellStyle name="Neutral 2 8 3" xfId="11361" xr:uid="{00000000-0005-0000-0000-0000612C0000}"/>
    <cellStyle name="Neutral 2 9" xfId="11362" xr:uid="{00000000-0005-0000-0000-0000622C0000}"/>
    <cellStyle name="Neutral 2 9 2" xfId="11363" xr:uid="{00000000-0005-0000-0000-0000632C0000}"/>
    <cellStyle name="Neutral 2 9 2 2" xfId="11364" xr:uid="{00000000-0005-0000-0000-0000642C0000}"/>
    <cellStyle name="Neutral 2 9 3" xfId="11365" xr:uid="{00000000-0005-0000-0000-0000652C0000}"/>
    <cellStyle name="Neutral 3" xfId="11366" xr:uid="{00000000-0005-0000-0000-0000662C0000}"/>
    <cellStyle name="Neutral 3 2" xfId="11367" xr:uid="{00000000-0005-0000-0000-0000672C0000}"/>
    <cellStyle name="Neutral 3 2 2" xfId="11368" xr:uid="{00000000-0005-0000-0000-0000682C0000}"/>
    <cellStyle name="Neutral 3 3" xfId="11369" xr:uid="{00000000-0005-0000-0000-0000692C0000}"/>
    <cellStyle name="Neutral 3 3 2" xfId="11370" xr:uid="{00000000-0005-0000-0000-00006A2C0000}"/>
    <cellStyle name="Neutral 3 4" xfId="11371" xr:uid="{00000000-0005-0000-0000-00006B2C0000}"/>
    <cellStyle name="Neutral 3 4 2" xfId="11372" xr:uid="{00000000-0005-0000-0000-00006C2C0000}"/>
    <cellStyle name="Neutral 3 4 2 2" xfId="11373" xr:uid="{00000000-0005-0000-0000-00006D2C0000}"/>
    <cellStyle name="Neutral 3 4 3" xfId="11374" xr:uid="{00000000-0005-0000-0000-00006E2C0000}"/>
    <cellStyle name="Neutral 3 5" xfId="11375" xr:uid="{00000000-0005-0000-0000-00006F2C0000}"/>
    <cellStyle name="Neutral 4" xfId="11376" xr:uid="{00000000-0005-0000-0000-0000702C0000}"/>
    <cellStyle name="Neutral 4 2" xfId="11377" xr:uid="{00000000-0005-0000-0000-0000712C0000}"/>
    <cellStyle name="Neutral 4 2 2" xfId="11378" xr:uid="{00000000-0005-0000-0000-0000722C0000}"/>
    <cellStyle name="Neutral 4 3" xfId="11379" xr:uid="{00000000-0005-0000-0000-0000732C0000}"/>
    <cellStyle name="Neutral 4 3 2" xfId="11380" xr:uid="{00000000-0005-0000-0000-0000742C0000}"/>
    <cellStyle name="Neutral 4 3 2 2" xfId="11381" xr:uid="{00000000-0005-0000-0000-0000752C0000}"/>
    <cellStyle name="Neutral 4 3 3" xfId="11382" xr:uid="{00000000-0005-0000-0000-0000762C0000}"/>
    <cellStyle name="Neutral 4 4" xfId="11383" xr:uid="{00000000-0005-0000-0000-0000772C0000}"/>
    <cellStyle name="Neutral 5" xfId="11384" xr:uid="{00000000-0005-0000-0000-0000782C0000}"/>
    <cellStyle name="Neutral 5 2" xfId="11385" xr:uid="{00000000-0005-0000-0000-0000792C0000}"/>
    <cellStyle name="Neutral 5 2 2" xfId="11386" xr:uid="{00000000-0005-0000-0000-00007A2C0000}"/>
    <cellStyle name="Neutral 5 3" xfId="11387" xr:uid="{00000000-0005-0000-0000-00007B2C0000}"/>
    <cellStyle name="Neutral 5 3 2" xfId="11388" xr:uid="{00000000-0005-0000-0000-00007C2C0000}"/>
    <cellStyle name="Neutral 5 3 2 2" xfId="11389" xr:uid="{00000000-0005-0000-0000-00007D2C0000}"/>
    <cellStyle name="Neutral 5 3 3" xfId="11390" xr:uid="{00000000-0005-0000-0000-00007E2C0000}"/>
    <cellStyle name="Neutral 5 4" xfId="11391" xr:uid="{00000000-0005-0000-0000-00007F2C0000}"/>
    <cellStyle name="Neutral 6" xfId="11392" xr:uid="{00000000-0005-0000-0000-0000802C0000}"/>
    <cellStyle name="Neutral 6 2" xfId="11393" xr:uid="{00000000-0005-0000-0000-0000812C0000}"/>
    <cellStyle name="Neutral 6 2 2" xfId="11394" xr:uid="{00000000-0005-0000-0000-0000822C0000}"/>
    <cellStyle name="Neutral 6 3" xfId="11395" xr:uid="{00000000-0005-0000-0000-0000832C0000}"/>
    <cellStyle name="Neutral 7" xfId="11396" xr:uid="{00000000-0005-0000-0000-0000842C0000}"/>
    <cellStyle name="Neutral 7 2" xfId="11397" xr:uid="{00000000-0005-0000-0000-0000852C0000}"/>
    <cellStyle name="Neutral 8" xfId="11398" xr:uid="{00000000-0005-0000-0000-0000862C0000}"/>
    <cellStyle name="Neutral 9" xfId="11399" xr:uid="{00000000-0005-0000-0000-0000872C0000}"/>
    <cellStyle name="no dec" xfId="11400" xr:uid="{00000000-0005-0000-0000-0000882C0000}"/>
    <cellStyle name="Normal" xfId="0" builtinId="0"/>
    <cellStyle name="Normal - Style1" xfId="11401" xr:uid="{00000000-0005-0000-0000-0000892C0000}"/>
    <cellStyle name="Normal - Style1 2" xfId="11402" xr:uid="{00000000-0005-0000-0000-00008A2C0000}"/>
    <cellStyle name="Normal - Style1 2 2" xfId="11403" xr:uid="{00000000-0005-0000-0000-00008B2C0000}"/>
    <cellStyle name="Normal - Style1 3" xfId="11404" xr:uid="{00000000-0005-0000-0000-00008C2C0000}"/>
    <cellStyle name="Normal - Style1 3 2" xfId="11405" xr:uid="{00000000-0005-0000-0000-00008D2C0000}"/>
    <cellStyle name="Normal - Style1 4" xfId="11406" xr:uid="{00000000-0005-0000-0000-00008E2C0000}"/>
    <cellStyle name="Normal - Style1 5" xfId="11407" xr:uid="{00000000-0005-0000-0000-00008F2C0000}"/>
    <cellStyle name="Normal 10" xfId="47" xr:uid="{00000000-0005-0000-0000-00002F000000}"/>
    <cellStyle name="Normal 10 2" xfId="11408" xr:uid="{00000000-0005-0000-0000-0000902C0000}"/>
    <cellStyle name="Normal 10 2 2" xfId="11409" xr:uid="{00000000-0005-0000-0000-0000912C0000}"/>
    <cellStyle name="Normal 10 2 2 2" xfId="11410" xr:uid="{00000000-0005-0000-0000-0000922C0000}"/>
    <cellStyle name="Normal 10 2 3" xfId="11411" xr:uid="{00000000-0005-0000-0000-0000932C0000}"/>
    <cellStyle name="Normal 10 2 3 2" xfId="11412" xr:uid="{00000000-0005-0000-0000-0000942C0000}"/>
    <cellStyle name="Normal 10 2 3 2 2" xfId="11413" xr:uid="{00000000-0005-0000-0000-0000952C0000}"/>
    <cellStyle name="Normal 10 2 3 3" xfId="11414" xr:uid="{00000000-0005-0000-0000-0000962C0000}"/>
    <cellStyle name="Normal 10 2 4" xfId="11415" xr:uid="{00000000-0005-0000-0000-0000972C0000}"/>
    <cellStyle name="Normal 10 3" xfId="11416" xr:uid="{00000000-0005-0000-0000-0000982C0000}"/>
    <cellStyle name="Normal 10 3 2" xfId="11417" xr:uid="{00000000-0005-0000-0000-0000992C0000}"/>
    <cellStyle name="Normal 10 3 2 2" xfId="11418" xr:uid="{00000000-0005-0000-0000-00009A2C0000}"/>
    <cellStyle name="Normal 10 3 2 2 2" xfId="11419" xr:uid="{00000000-0005-0000-0000-00009B2C0000}"/>
    <cellStyle name="Normal 10 3 2 3" xfId="11420" xr:uid="{00000000-0005-0000-0000-00009C2C0000}"/>
    <cellStyle name="Normal 10 3 3" xfId="11421" xr:uid="{00000000-0005-0000-0000-00009D2C0000}"/>
    <cellStyle name="Normal 10 3 3 2" xfId="11422" xr:uid="{00000000-0005-0000-0000-00009E2C0000}"/>
    <cellStyle name="Normal 10 3 3 2 2" xfId="11423" xr:uid="{00000000-0005-0000-0000-00009F2C0000}"/>
    <cellStyle name="Normal 10 3 3 3" xfId="11424" xr:uid="{00000000-0005-0000-0000-0000A02C0000}"/>
    <cellStyle name="Normal 10 3 4" xfId="11425" xr:uid="{00000000-0005-0000-0000-0000A12C0000}"/>
    <cellStyle name="Normal 10 4" xfId="11426" xr:uid="{00000000-0005-0000-0000-0000A22C0000}"/>
    <cellStyle name="Normal 10 4 2" xfId="11427" xr:uid="{00000000-0005-0000-0000-0000A32C0000}"/>
    <cellStyle name="Normal 10 5" xfId="11428" xr:uid="{00000000-0005-0000-0000-0000A42C0000}"/>
    <cellStyle name="Normal 10 5 2" xfId="11429" xr:uid="{00000000-0005-0000-0000-0000A52C0000}"/>
    <cellStyle name="Normal 10 5 2 2" xfId="11430" xr:uid="{00000000-0005-0000-0000-0000A62C0000}"/>
    <cellStyle name="Normal 10 5 3" xfId="11431" xr:uid="{00000000-0005-0000-0000-0000A72C0000}"/>
    <cellStyle name="Normal 10 6" xfId="11432" xr:uid="{00000000-0005-0000-0000-0000A82C0000}"/>
    <cellStyle name="Normal 10 6 2" xfId="11433" xr:uid="{00000000-0005-0000-0000-0000A92C0000}"/>
    <cellStyle name="Normal 10 6 2 2" xfId="11434" xr:uid="{00000000-0005-0000-0000-0000AA2C0000}"/>
    <cellStyle name="Normal 10 6 3" xfId="11435" xr:uid="{00000000-0005-0000-0000-0000AB2C0000}"/>
    <cellStyle name="Normal 10 7" xfId="11436" xr:uid="{00000000-0005-0000-0000-0000AC2C0000}"/>
    <cellStyle name="Normal 10 7 2" xfId="11437" xr:uid="{00000000-0005-0000-0000-0000AD2C0000}"/>
    <cellStyle name="Normal 10 7 2 2" xfId="11438" xr:uid="{00000000-0005-0000-0000-0000AE2C0000}"/>
    <cellStyle name="Normal 10 7 3" xfId="11439" xr:uid="{00000000-0005-0000-0000-0000AF2C0000}"/>
    <cellStyle name="Normal 10 8" xfId="11440" xr:uid="{00000000-0005-0000-0000-0000B02C0000}"/>
    <cellStyle name="Normal 10 9" xfId="11441" xr:uid="{00000000-0005-0000-0000-0000B12C0000}"/>
    <cellStyle name="Normal 100" xfId="11442" xr:uid="{00000000-0005-0000-0000-0000B22C0000}"/>
    <cellStyle name="Normal 100 2" xfId="11443" xr:uid="{00000000-0005-0000-0000-0000B32C0000}"/>
    <cellStyle name="Normal 100 2 2" xfId="11444" xr:uid="{00000000-0005-0000-0000-0000B42C0000}"/>
    <cellStyle name="Normal 100 2 2 2" xfId="11445" xr:uid="{00000000-0005-0000-0000-0000B52C0000}"/>
    <cellStyle name="Normal 100 2 3" xfId="11446" xr:uid="{00000000-0005-0000-0000-0000B62C0000}"/>
    <cellStyle name="Normal 100 3" xfId="11447" xr:uid="{00000000-0005-0000-0000-0000B72C0000}"/>
    <cellStyle name="Normal 100 3 2" xfId="11448" xr:uid="{00000000-0005-0000-0000-0000B82C0000}"/>
    <cellStyle name="Normal 100 3 2 2" xfId="11449" xr:uid="{00000000-0005-0000-0000-0000B92C0000}"/>
    <cellStyle name="Normal 100 3 3" xfId="11450" xr:uid="{00000000-0005-0000-0000-0000BA2C0000}"/>
    <cellStyle name="Normal 100 3 3 2" xfId="11451" xr:uid="{00000000-0005-0000-0000-0000BB2C0000}"/>
    <cellStyle name="Normal 100 3 3 2 2" xfId="11452" xr:uid="{00000000-0005-0000-0000-0000BC2C0000}"/>
    <cellStyle name="Normal 100 3 3 3" xfId="11453" xr:uid="{00000000-0005-0000-0000-0000BD2C0000}"/>
    <cellStyle name="Normal 100 3 4" xfId="11454" xr:uid="{00000000-0005-0000-0000-0000BE2C0000}"/>
    <cellStyle name="Normal 100 4" xfId="11455" xr:uid="{00000000-0005-0000-0000-0000BF2C0000}"/>
    <cellStyle name="Normal 100 4 2" xfId="11456" xr:uid="{00000000-0005-0000-0000-0000C02C0000}"/>
    <cellStyle name="Normal 100 4 2 2" xfId="11457" xr:uid="{00000000-0005-0000-0000-0000C12C0000}"/>
    <cellStyle name="Normal 100 4 3" xfId="11458" xr:uid="{00000000-0005-0000-0000-0000C22C0000}"/>
    <cellStyle name="Normal 100 5" xfId="11459" xr:uid="{00000000-0005-0000-0000-0000C32C0000}"/>
    <cellStyle name="Normal 101" xfId="11460" xr:uid="{00000000-0005-0000-0000-0000C42C0000}"/>
    <cellStyle name="Normal 101 2" xfId="11461" xr:uid="{00000000-0005-0000-0000-0000C52C0000}"/>
    <cellStyle name="Normal 101 2 2" xfId="11462" xr:uid="{00000000-0005-0000-0000-0000C62C0000}"/>
    <cellStyle name="Normal 101 2 2 2" xfId="11463" xr:uid="{00000000-0005-0000-0000-0000C72C0000}"/>
    <cellStyle name="Normal 101 2 3" xfId="11464" xr:uid="{00000000-0005-0000-0000-0000C82C0000}"/>
    <cellStyle name="Normal 101 3" xfId="11465" xr:uid="{00000000-0005-0000-0000-0000C92C0000}"/>
    <cellStyle name="Normal 101 3 2" xfId="11466" xr:uid="{00000000-0005-0000-0000-0000CA2C0000}"/>
    <cellStyle name="Normal 101 3 2 2" xfId="11467" xr:uid="{00000000-0005-0000-0000-0000CB2C0000}"/>
    <cellStyle name="Normal 101 3 3" xfId="11468" xr:uid="{00000000-0005-0000-0000-0000CC2C0000}"/>
    <cellStyle name="Normal 101 3 3 2" xfId="11469" xr:uid="{00000000-0005-0000-0000-0000CD2C0000}"/>
    <cellStyle name="Normal 101 3 3 2 2" xfId="11470" xr:uid="{00000000-0005-0000-0000-0000CE2C0000}"/>
    <cellStyle name="Normal 101 3 3 3" xfId="11471" xr:uid="{00000000-0005-0000-0000-0000CF2C0000}"/>
    <cellStyle name="Normal 101 3 4" xfId="11472" xr:uid="{00000000-0005-0000-0000-0000D02C0000}"/>
    <cellStyle name="Normal 101 4" xfId="11473" xr:uid="{00000000-0005-0000-0000-0000D12C0000}"/>
    <cellStyle name="Normal 101 4 2" xfId="11474" xr:uid="{00000000-0005-0000-0000-0000D22C0000}"/>
    <cellStyle name="Normal 101 4 2 2" xfId="11475" xr:uid="{00000000-0005-0000-0000-0000D32C0000}"/>
    <cellStyle name="Normal 101 4 3" xfId="11476" xr:uid="{00000000-0005-0000-0000-0000D42C0000}"/>
    <cellStyle name="Normal 101 5" xfId="11477" xr:uid="{00000000-0005-0000-0000-0000D52C0000}"/>
    <cellStyle name="Normal 102" xfId="11478" xr:uid="{00000000-0005-0000-0000-0000D62C0000}"/>
    <cellStyle name="Normal 102 2" xfId="11479" xr:uid="{00000000-0005-0000-0000-0000D72C0000}"/>
    <cellStyle name="Normal 102 2 2" xfId="11480" xr:uid="{00000000-0005-0000-0000-0000D82C0000}"/>
    <cellStyle name="Normal 102 2 2 2" xfId="11481" xr:uid="{00000000-0005-0000-0000-0000D92C0000}"/>
    <cellStyle name="Normal 102 2 3" xfId="11482" xr:uid="{00000000-0005-0000-0000-0000DA2C0000}"/>
    <cellStyle name="Normal 102 3" xfId="11483" xr:uid="{00000000-0005-0000-0000-0000DB2C0000}"/>
    <cellStyle name="Normal 102 3 2" xfId="11484" xr:uid="{00000000-0005-0000-0000-0000DC2C0000}"/>
    <cellStyle name="Normal 102 3 2 2" xfId="11485" xr:uid="{00000000-0005-0000-0000-0000DD2C0000}"/>
    <cellStyle name="Normal 102 3 3" xfId="11486" xr:uid="{00000000-0005-0000-0000-0000DE2C0000}"/>
    <cellStyle name="Normal 102 3 3 2" xfId="11487" xr:uid="{00000000-0005-0000-0000-0000DF2C0000}"/>
    <cellStyle name="Normal 102 3 3 2 2" xfId="11488" xr:uid="{00000000-0005-0000-0000-0000E02C0000}"/>
    <cellStyle name="Normal 102 3 3 3" xfId="11489" xr:uid="{00000000-0005-0000-0000-0000E12C0000}"/>
    <cellStyle name="Normal 102 3 4" xfId="11490" xr:uid="{00000000-0005-0000-0000-0000E22C0000}"/>
    <cellStyle name="Normal 102 4" xfId="11491" xr:uid="{00000000-0005-0000-0000-0000E32C0000}"/>
    <cellStyle name="Normal 102 4 2" xfId="11492" xr:uid="{00000000-0005-0000-0000-0000E42C0000}"/>
    <cellStyle name="Normal 102 4 2 2" xfId="11493" xr:uid="{00000000-0005-0000-0000-0000E52C0000}"/>
    <cellStyle name="Normal 102 4 3" xfId="11494" xr:uid="{00000000-0005-0000-0000-0000E62C0000}"/>
    <cellStyle name="Normal 102 5" xfId="11495" xr:uid="{00000000-0005-0000-0000-0000E72C0000}"/>
    <cellStyle name="Normal 103" xfId="11496" xr:uid="{00000000-0005-0000-0000-0000E82C0000}"/>
    <cellStyle name="Normal 103 2" xfId="11497" xr:uid="{00000000-0005-0000-0000-0000E92C0000}"/>
    <cellStyle name="Normal 103 2 2" xfId="11498" xr:uid="{00000000-0005-0000-0000-0000EA2C0000}"/>
    <cellStyle name="Normal 103 2 2 2" xfId="11499" xr:uid="{00000000-0005-0000-0000-0000EB2C0000}"/>
    <cellStyle name="Normal 103 2 3" xfId="11500" xr:uid="{00000000-0005-0000-0000-0000EC2C0000}"/>
    <cellStyle name="Normal 103 3" xfId="11501" xr:uid="{00000000-0005-0000-0000-0000ED2C0000}"/>
    <cellStyle name="Normal 103 3 2" xfId="11502" xr:uid="{00000000-0005-0000-0000-0000EE2C0000}"/>
    <cellStyle name="Normal 103 3 2 2" xfId="11503" xr:uid="{00000000-0005-0000-0000-0000EF2C0000}"/>
    <cellStyle name="Normal 103 3 3" xfId="11504" xr:uid="{00000000-0005-0000-0000-0000F02C0000}"/>
    <cellStyle name="Normal 103 3 3 2" xfId="11505" xr:uid="{00000000-0005-0000-0000-0000F12C0000}"/>
    <cellStyle name="Normal 103 3 3 2 2" xfId="11506" xr:uid="{00000000-0005-0000-0000-0000F22C0000}"/>
    <cellStyle name="Normal 103 3 3 3" xfId="11507" xr:uid="{00000000-0005-0000-0000-0000F32C0000}"/>
    <cellStyle name="Normal 103 3 4" xfId="11508" xr:uid="{00000000-0005-0000-0000-0000F42C0000}"/>
    <cellStyle name="Normal 103 4" xfId="11509" xr:uid="{00000000-0005-0000-0000-0000F52C0000}"/>
    <cellStyle name="Normal 103 4 2" xfId="11510" xr:uid="{00000000-0005-0000-0000-0000F62C0000}"/>
    <cellStyle name="Normal 103 4 2 2" xfId="11511" xr:uid="{00000000-0005-0000-0000-0000F72C0000}"/>
    <cellStyle name="Normal 103 4 3" xfId="11512" xr:uid="{00000000-0005-0000-0000-0000F82C0000}"/>
    <cellStyle name="Normal 103 5" xfId="11513" xr:uid="{00000000-0005-0000-0000-0000F92C0000}"/>
    <cellStyle name="Normal 104" xfId="11514" xr:uid="{00000000-0005-0000-0000-0000FA2C0000}"/>
    <cellStyle name="Normal 104 2" xfId="11515" xr:uid="{00000000-0005-0000-0000-0000FB2C0000}"/>
    <cellStyle name="Normal 104 2 2" xfId="11516" xr:uid="{00000000-0005-0000-0000-0000FC2C0000}"/>
    <cellStyle name="Normal 104 2 2 2" xfId="11517" xr:uid="{00000000-0005-0000-0000-0000FD2C0000}"/>
    <cellStyle name="Normal 104 2 3" xfId="11518" xr:uid="{00000000-0005-0000-0000-0000FE2C0000}"/>
    <cellStyle name="Normal 104 3" xfId="11519" xr:uid="{00000000-0005-0000-0000-0000FF2C0000}"/>
    <cellStyle name="Normal 104 3 2" xfId="11520" xr:uid="{00000000-0005-0000-0000-0000002D0000}"/>
    <cellStyle name="Normal 104 3 2 2" xfId="11521" xr:uid="{00000000-0005-0000-0000-0000012D0000}"/>
    <cellStyle name="Normal 104 3 3" xfId="11522" xr:uid="{00000000-0005-0000-0000-0000022D0000}"/>
    <cellStyle name="Normal 104 3 3 2" xfId="11523" xr:uid="{00000000-0005-0000-0000-0000032D0000}"/>
    <cellStyle name="Normal 104 3 3 2 2" xfId="11524" xr:uid="{00000000-0005-0000-0000-0000042D0000}"/>
    <cellStyle name="Normal 104 3 3 3" xfId="11525" xr:uid="{00000000-0005-0000-0000-0000052D0000}"/>
    <cellStyle name="Normal 104 3 4" xfId="11526" xr:uid="{00000000-0005-0000-0000-0000062D0000}"/>
    <cellStyle name="Normal 104 4" xfId="11527" xr:uid="{00000000-0005-0000-0000-0000072D0000}"/>
    <cellStyle name="Normal 104 4 2" xfId="11528" xr:uid="{00000000-0005-0000-0000-0000082D0000}"/>
    <cellStyle name="Normal 104 4 2 2" xfId="11529" xr:uid="{00000000-0005-0000-0000-0000092D0000}"/>
    <cellStyle name="Normal 104 4 3" xfId="11530" xr:uid="{00000000-0005-0000-0000-00000A2D0000}"/>
    <cellStyle name="Normal 104 5" xfId="11531" xr:uid="{00000000-0005-0000-0000-00000B2D0000}"/>
    <cellStyle name="Normal 105" xfId="11532" xr:uid="{00000000-0005-0000-0000-00000C2D0000}"/>
    <cellStyle name="Normal 105 2" xfId="11533" xr:uid="{00000000-0005-0000-0000-00000D2D0000}"/>
    <cellStyle name="Normal 105 2 2" xfId="11534" xr:uid="{00000000-0005-0000-0000-00000E2D0000}"/>
    <cellStyle name="Normal 105 2 2 2" xfId="11535" xr:uid="{00000000-0005-0000-0000-00000F2D0000}"/>
    <cellStyle name="Normal 105 2 3" xfId="11536" xr:uid="{00000000-0005-0000-0000-0000102D0000}"/>
    <cellStyle name="Normal 105 3" xfId="11537" xr:uid="{00000000-0005-0000-0000-0000112D0000}"/>
    <cellStyle name="Normal 105 3 2" xfId="11538" xr:uid="{00000000-0005-0000-0000-0000122D0000}"/>
    <cellStyle name="Normal 105 3 2 2" xfId="11539" xr:uid="{00000000-0005-0000-0000-0000132D0000}"/>
    <cellStyle name="Normal 105 3 3" xfId="11540" xr:uid="{00000000-0005-0000-0000-0000142D0000}"/>
    <cellStyle name="Normal 105 3 3 2" xfId="11541" xr:uid="{00000000-0005-0000-0000-0000152D0000}"/>
    <cellStyle name="Normal 105 3 3 2 2" xfId="11542" xr:uid="{00000000-0005-0000-0000-0000162D0000}"/>
    <cellStyle name="Normal 105 3 3 3" xfId="11543" xr:uid="{00000000-0005-0000-0000-0000172D0000}"/>
    <cellStyle name="Normal 105 3 4" xfId="11544" xr:uid="{00000000-0005-0000-0000-0000182D0000}"/>
    <cellStyle name="Normal 105 4" xfId="11545" xr:uid="{00000000-0005-0000-0000-0000192D0000}"/>
    <cellStyle name="Normal 105 4 2" xfId="11546" xr:uid="{00000000-0005-0000-0000-00001A2D0000}"/>
    <cellStyle name="Normal 105 4 2 2" xfId="11547" xr:uid="{00000000-0005-0000-0000-00001B2D0000}"/>
    <cellStyle name="Normal 105 4 3" xfId="11548" xr:uid="{00000000-0005-0000-0000-00001C2D0000}"/>
    <cellStyle name="Normal 105 5" xfId="11549" xr:uid="{00000000-0005-0000-0000-00001D2D0000}"/>
    <cellStyle name="Normal 106" xfId="11550" xr:uid="{00000000-0005-0000-0000-00001E2D0000}"/>
    <cellStyle name="Normal 106 2" xfId="11551" xr:uid="{00000000-0005-0000-0000-00001F2D0000}"/>
    <cellStyle name="Normal 106 2 2" xfId="11552" xr:uid="{00000000-0005-0000-0000-0000202D0000}"/>
    <cellStyle name="Normal 106 2 2 2" xfId="11553" xr:uid="{00000000-0005-0000-0000-0000212D0000}"/>
    <cellStyle name="Normal 106 2 3" xfId="11554" xr:uid="{00000000-0005-0000-0000-0000222D0000}"/>
    <cellStyle name="Normal 106 3" xfId="11555" xr:uid="{00000000-0005-0000-0000-0000232D0000}"/>
    <cellStyle name="Normal 106 3 2" xfId="11556" xr:uid="{00000000-0005-0000-0000-0000242D0000}"/>
    <cellStyle name="Normal 106 3 2 2" xfId="11557" xr:uid="{00000000-0005-0000-0000-0000252D0000}"/>
    <cellStyle name="Normal 106 3 3" xfId="11558" xr:uid="{00000000-0005-0000-0000-0000262D0000}"/>
    <cellStyle name="Normal 106 3 3 2" xfId="11559" xr:uid="{00000000-0005-0000-0000-0000272D0000}"/>
    <cellStyle name="Normal 106 3 3 2 2" xfId="11560" xr:uid="{00000000-0005-0000-0000-0000282D0000}"/>
    <cellStyle name="Normal 106 3 3 3" xfId="11561" xr:uid="{00000000-0005-0000-0000-0000292D0000}"/>
    <cellStyle name="Normal 106 3 4" xfId="11562" xr:uid="{00000000-0005-0000-0000-00002A2D0000}"/>
    <cellStyle name="Normal 106 4" xfId="11563" xr:uid="{00000000-0005-0000-0000-00002B2D0000}"/>
    <cellStyle name="Normal 106 4 2" xfId="11564" xr:uid="{00000000-0005-0000-0000-00002C2D0000}"/>
    <cellStyle name="Normal 106 4 2 2" xfId="11565" xr:uid="{00000000-0005-0000-0000-00002D2D0000}"/>
    <cellStyle name="Normal 106 4 3" xfId="11566" xr:uid="{00000000-0005-0000-0000-00002E2D0000}"/>
    <cellStyle name="Normal 106 5" xfId="11567" xr:uid="{00000000-0005-0000-0000-00002F2D0000}"/>
    <cellStyle name="Normal 107" xfId="11568" xr:uid="{00000000-0005-0000-0000-0000302D0000}"/>
    <cellStyle name="Normal 107 2" xfId="11569" xr:uid="{00000000-0005-0000-0000-0000312D0000}"/>
    <cellStyle name="Normal 107 2 2" xfId="11570" xr:uid="{00000000-0005-0000-0000-0000322D0000}"/>
    <cellStyle name="Normal 107 2 2 2" xfId="11571" xr:uid="{00000000-0005-0000-0000-0000332D0000}"/>
    <cellStyle name="Normal 107 2 3" xfId="11572" xr:uid="{00000000-0005-0000-0000-0000342D0000}"/>
    <cellStyle name="Normal 107 3" xfId="11573" xr:uid="{00000000-0005-0000-0000-0000352D0000}"/>
    <cellStyle name="Normal 107 3 2" xfId="11574" xr:uid="{00000000-0005-0000-0000-0000362D0000}"/>
    <cellStyle name="Normal 107 3 2 2" xfId="11575" xr:uid="{00000000-0005-0000-0000-0000372D0000}"/>
    <cellStyle name="Normal 107 3 3" xfId="11576" xr:uid="{00000000-0005-0000-0000-0000382D0000}"/>
    <cellStyle name="Normal 107 3 3 2" xfId="11577" xr:uid="{00000000-0005-0000-0000-0000392D0000}"/>
    <cellStyle name="Normal 107 3 3 2 2" xfId="11578" xr:uid="{00000000-0005-0000-0000-00003A2D0000}"/>
    <cellStyle name="Normal 107 3 3 3" xfId="11579" xr:uid="{00000000-0005-0000-0000-00003B2D0000}"/>
    <cellStyle name="Normal 107 3 4" xfId="11580" xr:uid="{00000000-0005-0000-0000-00003C2D0000}"/>
    <cellStyle name="Normal 107 4" xfId="11581" xr:uid="{00000000-0005-0000-0000-00003D2D0000}"/>
    <cellStyle name="Normal 107 4 2" xfId="11582" xr:uid="{00000000-0005-0000-0000-00003E2D0000}"/>
    <cellStyle name="Normal 107 4 2 2" xfId="11583" xr:uid="{00000000-0005-0000-0000-00003F2D0000}"/>
    <cellStyle name="Normal 107 4 3" xfId="11584" xr:uid="{00000000-0005-0000-0000-0000402D0000}"/>
    <cellStyle name="Normal 107 5" xfId="11585" xr:uid="{00000000-0005-0000-0000-0000412D0000}"/>
    <cellStyle name="Normal 108" xfId="11586" xr:uid="{00000000-0005-0000-0000-0000422D0000}"/>
    <cellStyle name="Normal 108 2" xfId="11587" xr:uid="{00000000-0005-0000-0000-0000432D0000}"/>
    <cellStyle name="Normal 108 2 2" xfId="11588" xr:uid="{00000000-0005-0000-0000-0000442D0000}"/>
    <cellStyle name="Normal 108 2 2 2" xfId="11589" xr:uid="{00000000-0005-0000-0000-0000452D0000}"/>
    <cellStyle name="Normal 108 2 3" xfId="11590" xr:uid="{00000000-0005-0000-0000-0000462D0000}"/>
    <cellStyle name="Normal 108 3" xfId="11591" xr:uid="{00000000-0005-0000-0000-0000472D0000}"/>
    <cellStyle name="Normal 108 3 2" xfId="11592" xr:uid="{00000000-0005-0000-0000-0000482D0000}"/>
    <cellStyle name="Normal 108 3 2 2" xfId="11593" xr:uid="{00000000-0005-0000-0000-0000492D0000}"/>
    <cellStyle name="Normal 108 3 3" xfId="11594" xr:uid="{00000000-0005-0000-0000-00004A2D0000}"/>
    <cellStyle name="Normal 108 3 3 2" xfId="11595" xr:uid="{00000000-0005-0000-0000-00004B2D0000}"/>
    <cellStyle name="Normal 108 3 3 2 2" xfId="11596" xr:uid="{00000000-0005-0000-0000-00004C2D0000}"/>
    <cellStyle name="Normal 108 3 3 3" xfId="11597" xr:uid="{00000000-0005-0000-0000-00004D2D0000}"/>
    <cellStyle name="Normal 108 3 4" xfId="11598" xr:uid="{00000000-0005-0000-0000-00004E2D0000}"/>
    <cellStyle name="Normal 108 4" xfId="11599" xr:uid="{00000000-0005-0000-0000-00004F2D0000}"/>
    <cellStyle name="Normal 108 4 2" xfId="11600" xr:uid="{00000000-0005-0000-0000-0000502D0000}"/>
    <cellStyle name="Normal 108 4 2 2" xfId="11601" xr:uid="{00000000-0005-0000-0000-0000512D0000}"/>
    <cellStyle name="Normal 108 4 3" xfId="11602" xr:uid="{00000000-0005-0000-0000-0000522D0000}"/>
    <cellStyle name="Normal 108 5" xfId="11603" xr:uid="{00000000-0005-0000-0000-0000532D0000}"/>
    <cellStyle name="Normal 109" xfId="11604" xr:uid="{00000000-0005-0000-0000-0000542D0000}"/>
    <cellStyle name="Normal 109 2" xfId="11605" xr:uid="{00000000-0005-0000-0000-0000552D0000}"/>
    <cellStyle name="Normal 109 2 2" xfId="11606" xr:uid="{00000000-0005-0000-0000-0000562D0000}"/>
    <cellStyle name="Normal 109 2 2 2" xfId="11607" xr:uid="{00000000-0005-0000-0000-0000572D0000}"/>
    <cellStyle name="Normal 109 2 3" xfId="11608" xr:uid="{00000000-0005-0000-0000-0000582D0000}"/>
    <cellStyle name="Normal 109 3" xfId="11609" xr:uid="{00000000-0005-0000-0000-0000592D0000}"/>
    <cellStyle name="Normal 109 3 2" xfId="11610" xr:uid="{00000000-0005-0000-0000-00005A2D0000}"/>
    <cellStyle name="Normal 109 3 2 2" xfId="11611" xr:uid="{00000000-0005-0000-0000-00005B2D0000}"/>
    <cellStyle name="Normal 109 3 3" xfId="11612" xr:uid="{00000000-0005-0000-0000-00005C2D0000}"/>
    <cellStyle name="Normal 109 3 3 2" xfId="11613" xr:uid="{00000000-0005-0000-0000-00005D2D0000}"/>
    <cellStyle name="Normal 109 3 3 2 2" xfId="11614" xr:uid="{00000000-0005-0000-0000-00005E2D0000}"/>
    <cellStyle name="Normal 109 3 3 3" xfId="11615" xr:uid="{00000000-0005-0000-0000-00005F2D0000}"/>
    <cellStyle name="Normal 109 3 4" xfId="11616" xr:uid="{00000000-0005-0000-0000-0000602D0000}"/>
    <cellStyle name="Normal 109 4" xfId="11617" xr:uid="{00000000-0005-0000-0000-0000612D0000}"/>
    <cellStyle name="Normal 109 4 2" xfId="11618" xr:uid="{00000000-0005-0000-0000-0000622D0000}"/>
    <cellStyle name="Normal 109 4 2 2" xfId="11619" xr:uid="{00000000-0005-0000-0000-0000632D0000}"/>
    <cellStyle name="Normal 109 4 3" xfId="11620" xr:uid="{00000000-0005-0000-0000-0000642D0000}"/>
    <cellStyle name="Normal 109 5" xfId="11621" xr:uid="{00000000-0005-0000-0000-0000652D0000}"/>
    <cellStyle name="Normal 11" xfId="59" xr:uid="{00000000-0005-0000-0000-00003B000000}"/>
    <cellStyle name="Normal 11 2" xfId="11622" xr:uid="{00000000-0005-0000-0000-0000662D0000}"/>
    <cellStyle name="Normal 11 2 2" xfId="11623" xr:uid="{00000000-0005-0000-0000-0000672D0000}"/>
    <cellStyle name="Normal 11 2 2 2" xfId="11624" xr:uid="{00000000-0005-0000-0000-0000682D0000}"/>
    <cellStyle name="Normal 11 2 3" xfId="11625" xr:uid="{00000000-0005-0000-0000-0000692D0000}"/>
    <cellStyle name="Normal 11 2 3 2" xfId="11626" xr:uid="{00000000-0005-0000-0000-00006A2D0000}"/>
    <cellStyle name="Normal 11 2 3 2 2" xfId="11627" xr:uid="{00000000-0005-0000-0000-00006B2D0000}"/>
    <cellStyle name="Normal 11 2 3 3" xfId="11628" xr:uid="{00000000-0005-0000-0000-00006C2D0000}"/>
    <cellStyle name="Normal 11 2 4" xfId="11629" xr:uid="{00000000-0005-0000-0000-00006D2D0000}"/>
    <cellStyle name="Normal 11 2 5" xfId="11630" xr:uid="{00000000-0005-0000-0000-00006E2D0000}"/>
    <cellStyle name="Normal 11 3" xfId="11631" xr:uid="{00000000-0005-0000-0000-00006F2D0000}"/>
    <cellStyle name="Normal 11 3 2" xfId="11632" xr:uid="{00000000-0005-0000-0000-0000702D0000}"/>
    <cellStyle name="Normal 11 3 2 2" xfId="11633" xr:uid="{00000000-0005-0000-0000-0000712D0000}"/>
    <cellStyle name="Normal 11 3 2 2 2" xfId="11634" xr:uid="{00000000-0005-0000-0000-0000722D0000}"/>
    <cellStyle name="Normal 11 3 2 3" xfId="11635" xr:uid="{00000000-0005-0000-0000-0000732D0000}"/>
    <cellStyle name="Normal 11 3 3" xfId="11636" xr:uid="{00000000-0005-0000-0000-0000742D0000}"/>
    <cellStyle name="Normal 11 3 3 2" xfId="11637" xr:uid="{00000000-0005-0000-0000-0000752D0000}"/>
    <cellStyle name="Normal 11 3 3 2 2" xfId="11638" xr:uid="{00000000-0005-0000-0000-0000762D0000}"/>
    <cellStyle name="Normal 11 3 3 3" xfId="11639" xr:uid="{00000000-0005-0000-0000-0000772D0000}"/>
    <cellStyle name="Normal 11 3 4" xfId="11640" xr:uid="{00000000-0005-0000-0000-0000782D0000}"/>
    <cellStyle name="Normal 11 4" xfId="11641" xr:uid="{00000000-0005-0000-0000-0000792D0000}"/>
    <cellStyle name="Normal 11 4 2" xfId="11642" xr:uid="{00000000-0005-0000-0000-00007A2D0000}"/>
    <cellStyle name="Normal 11 5" xfId="11643" xr:uid="{00000000-0005-0000-0000-00007B2D0000}"/>
    <cellStyle name="Normal 11 5 2" xfId="11644" xr:uid="{00000000-0005-0000-0000-00007C2D0000}"/>
    <cellStyle name="Normal 11 5 2 2" xfId="11645" xr:uid="{00000000-0005-0000-0000-00007D2D0000}"/>
    <cellStyle name="Normal 11 5 3" xfId="11646" xr:uid="{00000000-0005-0000-0000-00007E2D0000}"/>
    <cellStyle name="Normal 11 6" xfId="11647" xr:uid="{00000000-0005-0000-0000-00007F2D0000}"/>
    <cellStyle name="Normal 11 6 2" xfId="11648" xr:uid="{00000000-0005-0000-0000-0000802D0000}"/>
    <cellStyle name="Normal 11 6 2 2" xfId="11649" xr:uid="{00000000-0005-0000-0000-0000812D0000}"/>
    <cellStyle name="Normal 11 6 3" xfId="11650" xr:uid="{00000000-0005-0000-0000-0000822D0000}"/>
    <cellStyle name="Normal 11 7" xfId="11651" xr:uid="{00000000-0005-0000-0000-0000832D0000}"/>
    <cellStyle name="Normal 11 7 2" xfId="11652" xr:uid="{00000000-0005-0000-0000-0000842D0000}"/>
    <cellStyle name="Normal 11 8" xfId="11653" xr:uid="{00000000-0005-0000-0000-0000852D0000}"/>
    <cellStyle name="Normal 11 9" xfId="11654" xr:uid="{00000000-0005-0000-0000-0000862D0000}"/>
    <cellStyle name="Normal 110" xfId="11655" xr:uid="{00000000-0005-0000-0000-0000872D0000}"/>
    <cellStyle name="Normal 110 2" xfId="11656" xr:uid="{00000000-0005-0000-0000-0000882D0000}"/>
    <cellStyle name="Normal 110 2 2" xfId="11657" xr:uid="{00000000-0005-0000-0000-0000892D0000}"/>
    <cellStyle name="Normal 110 2 2 2" xfId="11658" xr:uid="{00000000-0005-0000-0000-00008A2D0000}"/>
    <cellStyle name="Normal 110 2 3" xfId="11659" xr:uid="{00000000-0005-0000-0000-00008B2D0000}"/>
    <cellStyle name="Normal 110 3" xfId="11660" xr:uid="{00000000-0005-0000-0000-00008C2D0000}"/>
    <cellStyle name="Normal 110 3 2" xfId="11661" xr:uid="{00000000-0005-0000-0000-00008D2D0000}"/>
    <cellStyle name="Normal 110 3 2 2" xfId="11662" xr:uid="{00000000-0005-0000-0000-00008E2D0000}"/>
    <cellStyle name="Normal 110 3 3" xfId="11663" xr:uid="{00000000-0005-0000-0000-00008F2D0000}"/>
    <cellStyle name="Normal 110 3 3 2" xfId="11664" xr:uid="{00000000-0005-0000-0000-0000902D0000}"/>
    <cellStyle name="Normal 110 3 3 2 2" xfId="11665" xr:uid="{00000000-0005-0000-0000-0000912D0000}"/>
    <cellStyle name="Normal 110 3 3 3" xfId="11666" xr:uid="{00000000-0005-0000-0000-0000922D0000}"/>
    <cellStyle name="Normal 110 3 4" xfId="11667" xr:uid="{00000000-0005-0000-0000-0000932D0000}"/>
    <cellStyle name="Normal 110 4" xfId="11668" xr:uid="{00000000-0005-0000-0000-0000942D0000}"/>
    <cellStyle name="Normal 110 4 2" xfId="11669" xr:uid="{00000000-0005-0000-0000-0000952D0000}"/>
    <cellStyle name="Normal 110 4 2 2" xfId="11670" xr:uid="{00000000-0005-0000-0000-0000962D0000}"/>
    <cellStyle name="Normal 110 4 3" xfId="11671" xr:uid="{00000000-0005-0000-0000-0000972D0000}"/>
    <cellStyle name="Normal 110 5" xfId="11672" xr:uid="{00000000-0005-0000-0000-0000982D0000}"/>
    <cellStyle name="Normal 111" xfId="11673" xr:uid="{00000000-0005-0000-0000-0000992D0000}"/>
    <cellStyle name="Normal 111 2" xfId="11674" xr:uid="{00000000-0005-0000-0000-00009A2D0000}"/>
    <cellStyle name="Normal 111 2 2" xfId="11675" xr:uid="{00000000-0005-0000-0000-00009B2D0000}"/>
    <cellStyle name="Normal 111 2 2 2" xfId="11676" xr:uid="{00000000-0005-0000-0000-00009C2D0000}"/>
    <cellStyle name="Normal 111 2 3" xfId="11677" xr:uid="{00000000-0005-0000-0000-00009D2D0000}"/>
    <cellStyle name="Normal 111 3" xfId="11678" xr:uid="{00000000-0005-0000-0000-00009E2D0000}"/>
    <cellStyle name="Normal 111 3 2" xfId="11679" xr:uid="{00000000-0005-0000-0000-00009F2D0000}"/>
    <cellStyle name="Normal 111 3 2 2" xfId="11680" xr:uid="{00000000-0005-0000-0000-0000A02D0000}"/>
    <cellStyle name="Normal 111 3 3" xfId="11681" xr:uid="{00000000-0005-0000-0000-0000A12D0000}"/>
    <cellStyle name="Normal 111 3 3 2" xfId="11682" xr:uid="{00000000-0005-0000-0000-0000A22D0000}"/>
    <cellStyle name="Normal 111 3 3 2 2" xfId="11683" xr:uid="{00000000-0005-0000-0000-0000A32D0000}"/>
    <cellStyle name="Normal 111 3 3 3" xfId="11684" xr:uid="{00000000-0005-0000-0000-0000A42D0000}"/>
    <cellStyle name="Normal 111 3 4" xfId="11685" xr:uid="{00000000-0005-0000-0000-0000A52D0000}"/>
    <cellStyle name="Normal 111 4" xfId="11686" xr:uid="{00000000-0005-0000-0000-0000A62D0000}"/>
    <cellStyle name="Normal 111 4 2" xfId="11687" xr:uid="{00000000-0005-0000-0000-0000A72D0000}"/>
    <cellStyle name="Normal 111 4 2 2" xfId="11688" xr:uid="{00000000-0005-0000-0000-0000A82D0000}"/>
    <cellStyle name="Normal 111 4 3" xfId="11689" xr:uid="{00000000-0005-0000-0000-0000A92D0000}"/>
    <cellStyle name="Normal 111 5" xfId="11690" xr:uid="{00000000-0005-0000-0000-0000AA2D0000}"/>
    <cellStyle name="Normal 112" xfId="11691" xr:uid="{00000000-0005-0000-0000-0000AB2D0000}"/>
    <cellStyle name="Normal 112 2" xfId="11692" xr:uid="{00000000-0005-0000-0000-0000AC2D0000}"/>
    <cellStyle name="Normal 112 2 2" xfId="11693" xr:uid="{00000000-0005-0000-0000-0000AD2D0000}"/>
    <cellStyle name="Normal 112 2 2 2" xfId="11694" xr:uid="{00000000-0005-0000-0000-0000AE2D0000}"/>
    <cellStyle name="Normal 112 2 3" xfId="11695" xr:uid="{00000000-0005-0000-0000-0000AF2D0000}"/>
    <cellStyle name="Normal 112 3" xfId="11696" xr:uid="{00000000-0005-0000-0000-0000B02D0000}"/>
    <cellStyle name="Normal 112 3 2" xfId="11697" xr:uid="{00000000-0005-0000-0000-0000B12D0000}"/>
    <cellStyle name="Normal 112 3 2 2" xfId="11698" xr:uid="{00000000-0005-0000-0000-0000B22D0000}"/>
    <cellStyle name="Normal 112 3 3" xfId="11699" xr:uid="{00000000-0005-0000-0000-0000B32D0000}"/>
    <cellStyle name="Normal 112 3 3 2" xfId="11700" xr:uid="{00000000-0005-0000-0000-0000B42D0000}"/>
    <cellStyle name="Normal 112 3 3 2 2" xfId="11701" xr:uid="{00000000-0005-0000-0000-0000B52D0000}"/>
    <cellStyle name="Normal 112 3 3 3" xfId="11702" xr:uid="{00000000-0005-0000-0000-0000B62D0000}"/>
    <cellStyle name="Normal 112 3 4" xfId="11703" xr:uid="{00000000-0005-0000-0000-0000B72D0000}"/>
    <cellStyle name="Normal 112 4" xfId="11704" xr:uid="{00000000-0005-0000-0000-0000B82D0000}"/>
    <cellStyle name="Normal 112 4 2" xfId="11705" xr:uid="{00000000-0005-0000-0000-0000B92D0000}"/>
    <cellStyle name="Normal 112 4 2 2" xfId="11706" xr:uid="{00000000-0005-0000-0000-0000BA2D0000}"/>
    <cellStyle name="Normal 112 4 3" xfId="11707" xr:uid="{00000000-0005-0000-0000-0000BB2D0000}"/>
    <cellStyle name="Normal 112 5" xfId="11708" xr:uid="{00000000-0005-0000-0000-0000BC2D0000}"/>
    <cellStyle name="Normal 113" xfId="11709" xr:uid="{00000000-0005-0000-0000-0000BD2D0000}"/>
    <cellStyle name="Normal 113 2" xfId="11710" xr:uid="{00000000-0005-0000-0000-0000BE2D0000}"/>
    <cellStyle name="Normal 113 2 2" xfId="11711" xr:uid="{00000000-0005-0000-0000-0000BF2D0000}"/>
    <cellStyle name="Normal 113 2 2 2" xfId="11712" xr:uid="{00000000-0005-0000-0000-0000C02D0000}"/>
    <cellStyle name="Normal 113 2 3" xfId="11713" xr:uid="{00000000-0005-0000-0000-0000C12D0000}"/>
    <cellStyle name="Normal 113 3" xfId="11714" xr:uid="{00000000-0005-0000-0000-0000C22D0000}"/>
    <cellStyle name="Normal 113 3 2" xfId="11715" xr:uid="{00000000-0005-0000-0000-0000C32D0000}"/>
    <cellStyle name="Normal 113 3 2 2" xfId="11716" xr:uid="{00000000-0005-0000-0000-0000C42D0000}"/>
    <cellStyle name="Normal 113 3 3" xfId="11717" xr:uid="{00000000-0005-0000-0000-0000C52D0000}"/>
    <cellStyle name="Normal 113 3 3 2" xfId="11718" xr:uid="{00000000-0005-0000-0000-0000C62D0000}"/>
    <cellStyle name="Normal 113 3 3 2 2" xfId="11719" xr:uid="{00000000-0005-0000-0000-0000C72D0000}"/>
    <cellStyle name="Normal 113 3 3 3" xfId="11720" xr:uid="{00000000-0005-0000-0000-0000C82D0000}"/>
    <cellStyle name="Normal 113 3 4" xfId="11721" xr:uid="{00000000-0005-0000-0000-0000C92D0000}"/>
    <cellStyle name="Normal 113 4" xfId="11722" xr:uid="{00000000-0005-0000-0000-0000CA2D0000}"/>
    <cellStyle name="Normal 113 4 2" xfId="11723" xr:uid="{00000000-0005-0000-0000-0000CB2D0000}"/>
    <cellStyle name="Normal 113 4 2 2" xfId="11724" xr:uid="{00000000-0005-0000-0000-0000CC2D0000}"/>
    <cellStyle name="Normal 113 4 3" xfId="11725" xr:uid="{00000000-0005-0000-0000-0000CD2D0000}"/>
    <cellStyle name="Normal 113 5" xfId="11726" xr:uid="{00000000-0005-0000-0000-0000CE2D0000}"/>
    <cellStyle name="Normal 114" xfId="11727" xr:uid="{00000000-0005-0000-0000-0000CF2D0000}"/>
    <cellStyle name="Normal 114 2" xfId="11728" xr:uid="{00000000-0005-0000-0000-0000D02D0000}"/>
    <cellStyle name="Normal 114 2 2" xfId="11729" xr:uid="{00000000-0005-0000-0000-0000D12D0000}"/>
    <cellStyle name="Normal 114 2 2 2" xfId="11730" xr:uid="{00000000-0005-0000-0000-0000D22D0000}"/>
    <cellStyle name="Normal 114 2 3" xfId="11731" xr:uid="{00000000-0005-0000-0000-0000D32D0000}"/>
    <cellStyle name="Normal 114 3" xfId="11732" xr:uid="{00000000-0005-0000-0000-0000D42D0000}"/>
    <cellStyle name="Normal 114 3 2" xfId="11733" xr:uid="{00000000-0005-0000-0000-0000D52D0000}"/>
    <cellStyle name="Normal 114 3 2 2" xfId="11734" xr:uid="{00000000-0005-0000-0000-0000D62D0000}"/>
    <cellStyle name="Normal 114 3 3" xfId="11735" xr:uid="{00000000-0005-0000-0000-0000D72D0000}"/>
    <cellStyle name="Normal 114 3 3 2" xfId="11736" xr:uid="{00000000-0005-0000-0000-0000D82D0000}"/>
    <cellStyle name="Normal 114 3 3 2 2" xfId="11737" xr:uid="{00000000-0005-0000-0000-0000D92D0000}"/>
    <cellStyle name="Normal 114 3 3 3" xfId="11738" xr:uid="{00000000-0005-0000-0000-0000DA2D0000}"/>
    <cellStyle name="Normal 114 3 4" xfId="11739" xr:uid="{00000000-0005-0000-0000-0000DB2D0000}"/>
    <cellStyle name="Normal 114 4" xfId="11740" xr:uid="{00000000-0005-0000-0000-0000DC2D0000}"/>
    <cellStyle name="Normal 114 4 2" xfId="11741" xr:uid="{00000000-0005-0000-0000-0000DD2D0000}"/>
    <cellStyle name="Normal 114 4 2 2" xfId="11742" xr:uid="{00000000-0005-0000-0000-0000DE2D0000}"/>
    <cellStyle name="Normal 114 4 3" xfId="11743" xr:uid="{00000000-0005-0000-0000-0000DF2D0000}"/>
    <cellStyle name="Normal 114 5" xfId="11744" xr:uid="{00000000-0005-0000-0000-0000E02D0000}"/>
    <cellStyle name="Normal 115" xfId="11745" xr:uid="{00000000-0005-0000-0000-0000E12D0000}"/>
    <cellStyle name="Normal 115 2" xfId="11746" xr:uid="{00000000-0005-0000-0000-0000E22D0000}"/>
    <cellStyle name="Normal 115 2 2" xfId="11747" xr:uid="{00000000-0005-0000-0000-0000E32D0000}"/>
    <cellStyle name="Normal 115 2 2 2" xfId="11748" xr:uid="{00000000-0005-0000-0000-0000E42D0000}"/>
    <cellStyle name="Normal 115 2 3" xfId="11749" xr:uid="{00000000-0005-0000-0000-0000E52D0000}"/>
    <cellStyle name="Normal 115 3" xfId="11750" xr:uid="{00000000-0005-0000-0000-0000E62D0000}"/>
    <cellStyle name="Normal 115 3 2" xfId="11751" xr:uid="{00000000-0005-0000-0000-0000E72D0000}"/>
    <cellStyle name="Normal 115 3 2 2" xfId="11752" xr:uid="{00000000-0005-0000-0000-0000E82D0000}"/>
    <cellStyle name="Normal 115 3 3" xfId="11753" xr:uid="{00000000-0005-0000-0000-0000E92D0000}"/>
    <cellStyle name="Normal 115 3 3 2" xfId="11754" xr:uid="{00000000-0005-0000-0000-0000EA2D0000}"/>
    <cellStyle name="Normal 115 3 3 2 2" xfId="11755" xr:uid="{00000000-0005-0000-0000-0000EB2D0000}"/>
    <cellStyle name="Normal 115 3 3 3" xfId="11756" xr:uid="{00000000-0005-0000-0000-0000EC2D0000}"/>
    <cellStyle name="Normal 115 3 4" xfId="11757" xr:uid="{00000000-0005-0000-0000-0000ED2D0000}"/>
    <cellStyle name="Normal 115 4" xfId="11758" xr:uid="{00000000-0005-0000-0000-0000EE2D0000}"/>
    <cellStyle name="Normal 115 4 2" xfId="11759" xr:uid="{00000000-0005-0000-0000-0000EF2D0000}"/>
    <cellStyle name="Normal 115 4 2 2" xfId="11760" xr:uid="{00000000-0005-0000-0000-0000F02D0000}"/>
    <cellStyle name="Normal 115 4 3" xfId="11761" xr:uid="{00000000-0005-0000-0000-0000F12D0000}"/>
    <cellStyle name="Normal 115 5" xfId="11762" xr:uid="{00000000-0005-0000-0000-0000F22D0000}"/>
    <cellStyle name="Normal 116" xfId="11763" xr:uid="{00000000-0005-0000-0000-0000F32D0000}"/>
    <cellStyle name="Normal 116 2" xfId="11764" xr:uid="{00000000-0005-0000-0000-0000F42D0000}"/>
    <cellStyle name="Normal 116 2 2" xfId="11765" xr:uid="{00000000-0005-0000-0000-0000F52D0000}"/>
    <cellStyle name="Normal 116 2 2 2" xfId="11766" xr:uid="{00000000-0005-0000-0000-0000F62D0000}"/>
    <cellStyle name="Normal 116 2 3" xfId="11767" xr:uid="{00000000-0005-0000-0000-0000F72D0000}"/>
    <cellStyle name="Normal 116 3" xfId="11768" xr:uid="{00000000-0005-0000-0000-0000F82D0000}"/>
    <cellStyle name="Normal 116 3 2" xfId="11769" xr:uid="{00000000-0005-0000-0000-0000F92D0000}"/>
    <cellStyle name="Normal 116 3 2 2" xfId="11770" xr:uid="{00000000-0005-0000-0000-0000FA2D0000}"/>
    <cellStyle name="Normal 116 3 3" xfId="11771" xr:uid="{00000000-0005-0000-0000-0000FB2D0000}"/>
    <cellStyle name="Normal 116 3 3 2" xfId="11772" xr:uid="{00000000-0005-0000-0000-0000FC2D0000}"/>
    <cellStyle name="Normal 116 3 3 2 2" xfId="11773" xr:uid="{00000000-0005-0000-0000-0000FD2D0000}"/>
    <cellStyle name="Normal 116 3 3 3" xfId="11774" xr:uid="{00000000-0005-0000-0000-0000FE2D0000}"/>
    <cellStyle name="Normal 116 3 4" xfId="11775" xr:uid="{00000000-0005-0000-0000-0000FF2D0000}"/>
    <cellStyle name="Normal 116 4" xfId="11776" xr:uid="{00000000-0005-0000-0000-0000002E0000}"/>
    <cellStyle name="Normal 116 4 2" xfId="11777" xr:uid="{00000000-0005-0000-0000-0000012E0000}"/>
    <cellStyle name="Normal 116 4 2 2" xfId="11778" xr:uid="{00000000-0005-0000-0000-0000022E0000}"/>
    <cellStyle name="Normal 116 4 3" xfId="11779" xr:uid="{00000000-0005-0000-0000-0000032E0000}"/>
    <cellStyle name="Normal 116 5" xfId="11780" xr:uid="{00000000-0005-0000-0000-0000042E0000}"/>
    <cellStyle name="Normal 117" xfId="11781" xr:uid="{00000000-0005-0000-0000-0000052E0000}"/>
    <cellStyle name="Normal 117 2" xfId="11782" xr:uid="{00000000-0005-0000-0000-0000062E0000}"/>
    <cellStyle name="Normal 117 2 2" xfId="11783" xr:uid="{00000000-0005-0000-0000-0000072E0000}"/>
    <cellStyle name="Normal 117 2 2 2" xfId="11784" xr:uid="{00000000-0005-0000-0000-0000082E0000}"/>
    <cellStyle name="Normal 117 2 3" xfId="11785" xr:uid="{00000000-0005-0000-0000-0000092E0000}"/>
    <cellStyle name="Normal 117 3" xfId="11786" xr:uid="{00000000-0005-0000-0000-00000A2E0000}"/>
    <cellStyle name="Normal 117 3 2" xfId="11787" xr:uid="{00000000-0005-0000-0000-00000B2E0000}"/>
    <cellStyle name="Normal 117 3 2 2" xfId="11788" xr:uid="{00000000-0005-0000-0000-00000C2E0000}"/>
    <cellStyle name="Normal 117 3 3" xfId="11789" xr:uid="{00000000-0005-0000-0000-00000D2E0000}"/>
    <cellStyle name="Normal 117 3 3 2" xfId="11790" xr:uid="{00000000-0005-0000-0000-00000E2E0000}"/>
    <cellStyle name="Normal 117 3 3 2 2" xfId="11791" xr:uid="{00000000-0005-0000-0000-00000F2E0000}"/>
    <cellStyle name="Normal 117 3 3 3" xfId="11792" xr:uid="{00000000-0005-0000-0000-0000102E0000}"/>
    <cellStyle name="Normal 117 3 4" xfId="11793" xr:uid="{00000000-0005-0000-0000-0000112E0000}"/>
    <cellStyle name="Normal 117 4" xfId="11794" xr:uid="{00000000-0005-0000-0000-0000122E0000}"/>
    <cellStyle name="Normal 117 4 2" xfId="11795" xr:uid="{00000000-0005-0000-0000-0000132E0000}"/>
    <cellStyle name="Normal 117 4 2 2" xfId="11796" xr:uid="{00000000-0005-0000-0000-0000142E0000}"/>
    <cellStyle name="Normal 117 4 3" xfId="11797" xr:uid="{00000000-0005-0000-0000-0000152E0000}"/>
    <cellStyle name="Normal 117 5" xfId="11798" xr:uid="{00000000-0005-0000-0000-0000162E0000}"/>
    <cellStyle name="Normal 118" xfId="11799" xr:uid="{00000000-0005-0000-0000-0000172E0000}"/>
    <cellStyle name="Normal 118 2" xfId="11800" xr:uid="{00000000-0005-0000-0000-0000182E0000}"/>
    <cellStyle name="Normal 118 2 2" xfId="11801" xr:uid="{00000000-0005-0000-0000-0000192E0000}"/>
    <cellStyle name="Normal 118 2 2 2" xfId="11802" xr:uid="{00000000-0005-0000-0000-00001A2E0000}"/>
    <cellStyle name="Normal 118 2 3" xfId="11803" xr:uid="{00000000-0005-0000-0000-00001B2E0000}"/>
    <cellStyle name="Normal 118 3" xfId="11804" xr:uid="{00000000-0005-0000-0000-00001C2E0000}"/>
    <cellStyle name="Normal 118 3 2" xfId="11805" xr:uid="{00000000-0005-0000-0000-00001D2E0000}"/>
    <cellStyle name="Normal 118 3 2 2" xfId="11806" xr:uid="{00000000-0005-0000-0000-00001E2E0000}"/>
    <cellStyle name="Normal 118 3 3" xfId="11807" xr:uid="{00000000-0005-0000-0000-00001F2E0000}"/>
    <cellStyle name="Normal 118 3 3 2" xfId="11808" xr:uid="{00000000-0005-0000-0000-0000202E0000}"/>
    <cellStyle name="Normal 118 3 3 2 2" xfId="11809" xr:uid="{00000000-0005-0000-0000-0000212E0000}"/>
    <cellStyle name="Normal 118 3 3 3" xfId="11810" xr:uid="{00000000-0005-0000-0000-0000222E0000}"/>
    <cellStyle name="Normal 118 3 4" xfId="11811" xr:uid="{00000000-0005-0000-0000-0000232E0000}"/>
    <cellStyle name="Normal 118 4" xfId="11812" xr:uid="{00000000-0005-0000-0000-0000242E0000}"/>
    <cellStyle name="Normal 118 4 2" xfId="11813" xr:uid="{00000000-0005-0000-0000-0000252E0000}"/>
    <cellStyle name="Normal 118 4 2 2" xfId="11814" xr:uid="{00000000-0005-0000-0000-0000262E0000}"/>
    <cellStyle name="Normal 118 4 3" xfId="11815" xr:uid="{00000000-0005-0000-0000-0000272E0000}"/>
    <cellStyle name="Normal 118 5" xfId="11816" xr:uid="{00000000-0005-0000-0000-0000282E0000}"/>
    <cellStyle name="Normal 119" xfId="11817" xr:uid="{00000000-0005-0000-0000-0000292E0000}"/>
    <cellStyle name="Normal 119 2" xfId="11818" xr:uid="{00000000-0005-0000-0000-00002A2E0000}"/>
    <cellStyle name="Normal 119 2 2" xfId="11819" xr:uid="{00000000-0005-0000-0000-00002B2E0000}"/>
    <cellStyle name="Normal 119 2 2 2" xfId="11820" xr:uid="{00000000-0005-0000-0000-00002C2E0000}"/>
    <cellStyle name="Normal 119 2 2 2 2" xfId="11821" xr:uid="{00000000-0005-0000-0000-00002D2E0000}"/>
    <cellStyle name="Normal 119 2 2 3" xfId="11822" xr:uid="{00000000-0005-0000-0000-00002E2E0000}"/>
    <cellStyle name="Normal 119 2 3" xfId="11823" xr:uid="{00000000-0005-0000-0000-00002F2E0000}"/>
    <cellStyle name="Normal 119 2 3 2" xfId="11824" xr:uid="{00000000-0005-0000-0000-0000302E0000}"/>
    <cellStyle name="Normal 119 2 3 2 2" xfId="11825" xr:uid="{00000000-0005-0000-0000-0000312E0000}"/>
    <cellStyle name="Normal 119 2 3 3" xfId="11826" xr:uid="{00000000-0005-0000-0000-0000322E0000}"/>
    <cellStyle name="Normal 119 2 3 3 2" xfId="11827" xr:uid="{00000000-0005-0000-0000-0000332E0000}"/>
    <cellStyle name="Normal 119 2 3 3 2 2" xfId="11828" xr:uid="{00000000-0005-0000-0000-0000342E0000}"/>
    <cellStyle name="Normal 119 2 3 3 3" xfId="11829" xr:uid="{00000000-0005-0000-0000-0000352E0000}"/>
    <cellStyle name="Normal 119 2 3 4" xfId="11830" xr:uid="{00000000-0005-0000-0000-0000362E0000}"/>
    <cellStyle name="Normal 119 2 4" xfId="11831" xr:uid="{00000000-0005-0000-0000-0000372E0000}"/>
    <cellStyle name="Normal 119 2 4 2" xfId="11832" xr:uid="{00000000-0005-0000-0000-0000382E0000}"/>
    <cellStyle name="Normal 119 2 4 2 2" xfId="11833" xr:uid="{00000000-0005-0000-0000-0000392E0000}"/>
    <cellStyle name="Normal 119 2 4 3" xfId="11834" xr:uid="{00000000-0005-0000-0000-00003A2E0000}"/>
    <cellStyle name="Normal 119 2 5" xfId="11835" xr:uid="{00000000-0005-0000-0000-00003B2E0000}"/>
    <cellStyle name="Normal 119 3" xfId="11836" xr:uid="{00000000-0005-0000-0000-00003C2E0000}"/>
    <cellStyle name="Normal 119 3 2" xfId="11837" xr:uid="{00000000-0005-0000-0000-00003D2E0000}"/>
    <cellStyle name="Normal 119 3 2 2" xfId="11838" xr:uid="{00000000-0005-0000-0000-00003E2E0000}"/>
    <cellStyle name="Normal 119 3 3" xfId="11839" xr:uid="{00000000-0005-0000-0000-00003F2E0000}"/>
    <cellStyle name="Normal 119 4" xfId="11840" xr:uid="{00000000-0005-0000-0000-0000402E0000}"/>
    <cellStyle name="Normal 119 4 2" xfId="11841" xr:uid="{00000000-0005-0000-0000-0000412E0000}"/>
    <cellStyle name="Normal 119 4 2 2" xfId="11842" xr:uid="{00000000-0005-0000-0000-0000422E0000}"/>
    <cellStyle name="Normal 119 4 3" xfId="11843" xr:uid="{00000000-0005-0000-0000-0000432E0000}"/>
    <cellStyle name="Normal 119 4 3 2" xfId="11844" xr:uid="{00000000-0005-0000-0000-0000442E0000}"/>
    <cellStyle name="Normal 119 4 3 2 2" xfId="11845" xr:uid="{00000000-0005-0000-0000-0000452E0000}"/>
    <cellStyle name="Normal 119 4 3 3" xfId="11846" xr:uid="{00000000-0005-0000-0000-0000462E0000}"/>
    <cellStyle name="Normal 119 4 4" xfId="11847" xr:uid="{00000000-0005-0000-0000-0000472E0000}"/>
    <cellStyle name="Normal 119 5" xfId="11848" xr:uid="{00000000-0005-0000-0000-0000482E0000}"/>
    <cellStyle name="Normal 119 5 2" xfId="11849" xr:uid="{00000000-0005-0000-0000-0000492E0000}"/>
    <cellStyle name="Normal 119 5 2 2" xfId="11850" xr:uid="{00000000-0005-0000-0000-00004A2E0000}"/>
    <cellStyle name="Normal 119 5 3" xfId="11851" xr:uid="{00000000-0005-0000-0000-00004B2E0000}"/>
    <cellStyle name="Normal 119 6" xfId="11852" xr:uid="{00000000-0005-0000-0000-00004C2E0000}"/>
    <cellStyle name="Normal 12" xfId="60" xr:uid="{00000000-0005-0000-0000-00003C000000}"/>
    <cellStyle name="Normal 12 2" xfId="11853" xr:uid="{00000000-0005-0000-0000-00004D2E0000}"/>
    <cellStyle name="Normal 12 2 2" xfId="11854" xr:uid="{00000000-0005-0000-0000-00004E2E0000}"/>
    <cellStyle name="Normal 12 2 2 2" xfId="11855" xr:uid="{00000000-0005-0000-0000-00004F2E0000}"/>
    <cellStyle name="Normal 12 2 3" xfId="11856" xr:uid="{00000000-0005-0000-0000-0000502E0000}"/>
    <cellStyle name="Normal 12 2 3 2" xfId="11857" xr:uid="{00000000-0005-0000-0000-0000512E0000}"/>
    <cellStyle name="Normal 12 2 3 2 2" xfId="11858" xr:uid="{00000000-0005-0000-0000-0000522E0000}"/>
    <cellStyle name="Normal 12 2 3 3" xfId="11859" xr:uid="{00000000-0005-0000-0000-0000532E0000}"/>
    <cellStyle name="Normal 12 2 4" xfId="11860" xr:uid="{00000000-0005-0000-0000-0000542E0000}"/>
    <cellStyle name="Normal 12 3" xfId="11861" xr:uid="{00000000-0005-0000-0000-0000552E0000}"/>
    <cellStyle name="Normal 12 3 2" xfId="11862" xr:uid="{00000000-0005-0000-0000-0000562E0000}"/>
    <cellStyle name="Normal 12 3 2 2" xfId="11863" xr:uid="{00000000-0005-0000-0000-0000572E0000}"/>
    <cellStyle name="Normal 12 3 2 2 2" xfId="11864" xr:uid="{00000000-0005-0000-0000-0000582E0000}"/>
    <cellStyle name="Normal 12 3 2 3" xfId="11865" xr:uid="{00000000-0005-0000-0000-0000592E0000}"/>
    <cellStyle name="Normal 12 3 3" xfId="11866" xr:uid="{00000000-0005-0000-0000-00005A2E0000}"/>
    <cellStyle name="Normal 12 3 3 2" xfId="11867" xr:uid="{00000000-0005-0000-0000-00005B2E0000}"/>
    <cellStyle name="Normal 12 3 3 2 2" xfId="11868" xr:uid="{00000000-0005-0000-0000-00005C2E0000}"/>
    <cellStyle name="Normal 12 3 3 3" xfId="11869" xr:uid="{00000000-0005-0000-0000-00005D2E0000}"/>
    <cellStyle name="Normal 12 3 4" xfId="11870" xr:uid="{00000000-0005-0000-0000-00005E2E0000}"/>
    <cellStyle name="Normal 12 4" xfId="11871" xr:uid="{00000000-0005-0000-0000-00005F2E0000}"/>
    <cellStyle name="Normal 12 4 2" xfId="11872" xr:uid="{00000000-0005-0000-0000-0000602E0000}"/>
    <cellStyle name="Normal 12 5" xfId="11873" xr:uid="{00000000-0005-0000-0000-0000612E0000}"/>
    <cellStyle name="Normal 12 5 2" xfId="11874" xr:uid="{00000000-0005-0000-0000-0000622E0000}"/>
    <cellStyle name="Normal 12 5 2 2" xfId="11875" xr:uid="{00000000-0005-0000-0000-0000632E0000}"/>
    <cellStyle name="Normal 12 5 3" xfId="11876" xr:uid="{00000000-0005-0000-0000-0000642E0000}"/>
    <cellStyle name="Normal 12 6" xfId="11877" xr:uid="{00000000-0005-0000-0000-0000652E0000}"/>
    <cellStyle name="Normal 12 6 2" xfId="11878" xr:uid="{00000000-0005-0000-0000-0000662E0000}"/>
    <cellStyle name="Normal 12 6 2 2" xfId="11879" xr:uid="{00000000-0005-0000-0000-0000672E0000}"/>
    <cellStyle name="Normal 12 6 3" xfId="11880" xr:uid="{00000000-0005-0000-0000-0000682E0000}"/>
    <cellStyle name="Normal 12 7" xfId="11881" xr:uid="{00000000-0005-0000-0000-0000692E0000}"/>
    <cellStyle name="Normal 12 7 2" xfId="11882" xr:uid="{00000000-0005-0000-0000-00006A2E0000}"/>
    <cellStyle name="Normal 12 8" xfId="11883" xr:uid="{00000000-0005-0000-0000-00006B2E0000}"/>
    <cellStyle name="Normal 12 9" xfId="11884" xr:uid="{00000000-0005-0000-0000-00006C2E0000}"/>
    <cellStyle name="Normal 120" xfId="11885" xr:uid="{00000000-0005-0000-0000-00006D2E0000}"/>
    <cellStyle name="Normal 120 2" xfId="11886" xr:uid="{00000000-0005-0000-0000-00006E2E0000}"/>
    <cellStyle name="Normal 120 2 2" xfId="11887" xr:uid="{00000000-0005-0000-0000-00006F2E0000}"/>
    <cellStyle name="Normal 120 2 2 2" xfId="11888" xr:uid="{00000000-0005-0000-0000-0000702E0000}"/>
    <cellStyle name="Normal 120 2 2 2 2" xfId="11889" xr:uid="{00000000-0005-0000-0000-0000712E0000}"/>
    <cellStyle name="Normal 120 2 2 3" xfId="11890" xr:uid="{00000000-0005-0000-0000-0000722E0000}"/>
    <cellStyle name="Normal 120 2 3" xfId="11891" xr:uid="{00000000-0005-0000-0000-0000732E0000}"/>
    <cellStyle name="Normal 120 2 3 2" xfId="11892" xr:uid="{00000000-0005-0000-0000-0000742E0000}"/>
    <cellStyle name="Normal 120 2 3 2 2" xfId="11893" xr:uid="{00000000-0005-0000-0000-0000752E0000}"/>
    <cellStyle name="Normal 120 2 3 3" xfId="11894" xr:uid="{00000000-0005-0000-0000-0000762E0000}"/>
    <cellStyle name="Normal 120 2 3 3 2" xfId="11895" xr:uid="{00000000-0005-0000-0000-0000772E0000}"/>
    <cellStyle name="Normal 120 2 3 3 2 2" xfId="11896" xr:uid="{00000000-0005-0000-0000-0000782E0000}"/>
    <cellStyle name="Normal 120 2 3 3 3" xfId="11897" xr:uid="{00000000-0005-0000-0000-0000792E0000}"/>
    <cellStyle name="Normal 120 2 3 4" xfId="11898" xr:uid="{00000000-0005-0000-0000-00007A2E0000}"/>
    <cellStyle name="Normal 120 2 4" xfId="11899" xr:uid="{00000000-0005-0000-0000-00007B2E0000}"/>
    <cellStyle name="Normal 120 2 4 2" xfId="11900" xr:uid="{00000000-0005-0000-0000-00007C2E0000}"/>
    <cellStyle name="Normal 120 2 4 2 2" xfId="11901" xr:uid="{00000000-0005-0000-0000-00007D2E0000}"/>
    <cellStyle name="Normal 120 2 4 3" xfId="11902" xr:uid="{00000000-0005-0000-0000-00007E2E0000}"/>
    <cellStyle name="Normal 120 2 5" xfId="11903" xr:uid="{00000000-0005-0000-0000-00007F2E0000}"/>
    <cellStyle name="Normal 120 3" xfId="11904" xr:uid="{00000000-0005-0000-0000-0000802E0000}"/>
    <cellStyle name="Normal 120 3 2" xfId="11905" xr:uid="{00000000-0005-0000-0000-0000812E0000}"/>
    <cellStyle name="Normal 120 3 2 2" xfId="11906" xr:uid="{00000000-0005-0000-0000-0000822E0000}"/>
    <cellStyle name="Normal 120 3 3" xfId="11907" xr:uid="{00000000-0005-0000-0000-0000832E0000}"/>
    <cellStyle name="Normal 120 4" xfId="11908" xr:uid="{00000000-0005-0000-0000-0000842E0000}"/>
    <cellStyle name="Normal 120 4 2" xfId="11909" xr:uid="{00000000-0005-0000-0000-0000852E0000}"/>
    <cellStyle name="Normal 120 4 2 2" xfId="11910" xr:uid="{00000000-0005-0000-0000-0000862E0000}"/>
    <cellStyle name="Normal 120 4 3" xfId="11911" xr:uid="{00000000-0005-0000-0000-0000872E0000}"/>
    <cellStyle name="Normal 120 4 3 2" xfId="11912" xr:uid="{00000000-0005-0000-0000-0000882E0000}"/>
    <cellStyle name="Normal 120 4 3 2 2" xfId="11913" xr:uid="{00000000-0005-0000-0000-0000892E0000}"/>
    <cellStyle name="Normal 120 4 3 3" xfId="11914" xr:uid="{00000000-0005-0000-0000-00008A2E0000}"/>
    <cellStyle name="Normal 120 4 4" xfId="11915" xr:uid="{00000000-0005-0000-0000-00008B2E0000}"/>
    <cellStyle name="Normal 120 5" xfId="11916" xr:uid="{00000000-0005-0000-0000-00008C2E0000}"/>
    <cellStyle name="Normal 120 5 2" xfId="11917" xr:uid="{00000000-0005-0000-0000-00008D2E0000}"/>
    <cellStyle name="Normal 120 5 2 2" xfId="11918" xr:uid="{00000000-0005-0000-0000-00008E2E0000}"/>
    <cellStyle name="Normal 120 5 3" xfId="11919" xr:uid="{00000000-0005-0000-0000-00008F2E0000}"/>
    <cellStyle name="Normal 120 6" xfId="11920" xr:uid="{00000000-0005-0000-0000-0000902E0000}"/>
    <cellStyle name="Normal 121" xfId="11921" xr:uid="{00000000-0005-0000-0000-0000912E0000}"/>
    <cellStyle name="Normal 121 2" xfId="11922" xr:uid="{00000000-0005-0000-0000-0000922E0000}"/>
    <cellStyle name="Normal 121 2 2" xfId="11923" xr:uid="{00000000-0005-0000-0000-0000932E0000}"/>
    <cellStyle name="Normal 121 2 2 2" xfId="11924" xr:uid="{00000000-0005-0000-0000-0000942E0000}"/>
    <cellStyle name="Normal 121 2 2 2 2" xfId="11925" xr:uid="{00000000-0005-0000-0000-0000952E0000}"/>
    <cellStyle name="Normal 121 2 2 3" xfId="11926" xr:uid="{00000000-0005-0000-0000-0000962E0000}"/>
    <cellStyle name="Normal 121 2 3" xfId="11927" xr:uid="{00000000-0005-0000-0000-0000972E0000}"/>
    <cellStyle name="Normal 121 2 3 2" xfId="11928" xr:uid="{00000000-0005-0000-0000-0000982E0000}"/>
    <cellStyle name="Normal 121 2 3 2 2" xfId="11929" xr:uid="{00000000-0005-0000-0000-0000992E0000}"/>
    <cellStyle name="Normal 121 2 3 3" xfId="11930" xr:uid="{00000000-0005-0000-0000-00009A2E0000}"/>
    <cellStyle name="Normal 121 2 3 3 2" xfId="11931" xr:uid="{00000000-0005-0000-0000-00009B2E0000}"/>
    <cellStyle name="Normal 121 2 3 3 2 2" xfId="11932" xr:uid="{00000000-0005-0000-0000-00009C2E0000}"/>
    <cellStyle name="Normal 121 2 3 3 3" xfId="11933" xr:uid="{00000000-0005-0000-0000-00009D2E0000}"/>
    <cellStyle name="Normal 121 2 3 4" xfId="11934" xr:uid="{00000000-0005-0000-0000-00009E2E0000}"/>
    <cellStyle name="Normal 121 2 4" xfId="11935" xr:uid="{00000000-0005-0000-0000-00009F2E0000}"/>
    <cellStyle name="Normal 121 2 4 2" xfId="11936" xr:uid="{00000000-0005-0000-0000-0000A02E0000}"/>
    <cellStyle name="Normal 121 2 4 2 2" xfId="11937" xr:uid="{00000000-0005-0000-0000-0000A12E0000}"/>
    <cellStyle name="Normal 121 2 4 3" xfId="11938" xr:uid="{00000000-0005-0000-0000-0000A22E0000}"/>
    <cellStyle name="Normal 121 2 5" xfId="11939" xr:uid="{00000000-0005-0000-0000-0000A32E0000}"/>
    <cellStyle name="Normal 121 3" xfId="11940" xr:uid="{00000000-0005-0000-0000-0000A42E0000}"/>
    <cellStyle name="Normal 121 3 2" xfId="11941" xr:uid="{00000000-0005-0000-0000-0000A52E0000}"/>
    <cellStyle name="Normal 121 3 2 2" xfId="11942" xr:uid="{00000000-0005-0000-0000-0000A62E0000}"/>
    <cellStyle name="Normal 121 3 3" xfId="11943" xr:uid="{00000000-0005-0000-0000-0000A72E0000}"/>
    <cellStyle name="Normal 121 4" xfId="11944" xr:uid="{00000000-0005-0000-0000-0000A82E0000}"/>
    <cellStyle name="Normal 121 4 2" xfId="11945" xr:uid="{00000000-0005-0000-0000-0000A92E0000}"/>
    <cellStyle name="Normal 121 4 2 2" xfId="11946" xr:uid="{00000000-0005-0000-0000-0000AA2E0000}"/>
    <cellStyle name="Normal 121 4 3" xfId="11947" xr:uid="{00000000-0005-0000-0000-0000AB2E0000}"/>
    <cellStyle name="Normal 121 4 3 2" xfId="11948" xr:uid="{00000000-0005-0000-0000-0000AC2E0000}"/>
    <cellStyle name="Normal 121 4 3 2 2" xfId="11949" xr:uid="{00000000-0005-0000-0000-0000AD2E0000}"/>
    <cellStyle name="Normal 121 4 3 3" xfId="11950" xr:uid="{00000000-0005-0000-0000-0000AE2E0000}"/>
    <cellStyle name="Normal 121 4 4" xfId="11951" xr:uid="{00000000-0005-0000-0000-0000AF2E0000}"/>
    <cellStyle name="Normal 121 5" xfId="11952" xr:uid="{00000000-0005-0000-0000-0000B02E0000}"/>
    <cellStyle name="Normal 121 5 2" xfId="11953" xr:uid="{00000000-0005-0000-0000-0000B12E0000}"/>
    <cellStyle name="Normal 121 5 2 2" xfId="11954" xr:uid="{00000000-0005-0000-0000-0000B22E0000}"/>
    <cellStyle name="Normal 121 5 3" xfId="11955" xr:uid="{00000000-0005-0000-0000-0000B32E0000}"/>
    <cellStyle name="Normal 121 6" xfId="11956" xr:uid="{00000000-0005-0000-0000-0000B42E0000}"/>
    <cellStyle name="Normal 122" xfId="11957" xr:uid="{00000000-0005-0000-0000-0000B52E0000}"/>
    <cellStyle name="Normal 122 2" xfId="11958" xr:uid="{00000000-0005-0000-0000-0000B62E0000}"/>
    <cellStyle name="Normal 122 2 2" xfId="11959" xr:uid="{00000000-0005-0000-0000-0000B72E0000}"/>
    <cellStyle name="Normal 122 2 2 2" xfId="11960" xr:uid="{00000000-0005-0000-0000-0000B82E0000}"/>
    <cellStyle name="Normal 122 2 3" xfId="11961" xr:uid="{00000000-0005-0000-0000-0000B92E0000}"/>
    <cellStyle name="Normal 122 3" xfId="11962" xr:uid="{00000000-0005-0000-0000-0000BA2E0000}"/>
    <cellStyle name="Normal 122 3 2" xfId="11963" xr:uid="{00000000-0005-0000-0000-0000BB2E0000}"/>
    <cellStyle name="Normal 122 3 2 2" xfId="11964" xr:uid="{00000000-0005-0000-0000-0000BC2E0000}"/>
    <cellStyle name="Normal 122 3 3" xfId="11965" xr:uid="{00000000-0005-0000-0000-0000BD2E0000}"/>
    <cellStyle name="Normal 122 3 3 2" xfId="11966" xr:uid="{00000000-0005-0000-0000-0000BE2E0000}"/>
    <cellStyle name="Normal 122 3 3 2 2" xfId="11967" xr:uid="{00000000-0005-0000-0000-0000BF2E0000}"/>
    <cellStyle name="Normal 122 3 3 3" xfId="11968" xr:uid="{00000000-0005-0000-0000-0000C02E0000}"/>
    <cellStyle name="Normal 122 3 4" xfId="11969" xr:uid="{00000000-0005-0000-0000-0000C12E0000}"/>
    <cellStyle name="Normal 122 4" xfId="11970" xr:uid="{00000000-0005-0000-0000-0000C22E0000}"/>
    <cellStyle name="Normal 122 4 2" xfId="11971" xr:uid="{00000000-0005-0000-0000-0000C32E0000}"/>
    <cellStyle name="Normal 122 4 2 2" xfId="11972" xr:uid="{00000000-0005-0000-0000-0000C42E0000}"/>
    <cellStyle name="Normal 122 4 3" xfId="11973" xr:uid="{00000000-0005-0000-0000-0000C52E0000}"/>
    <cellStyle name="Normal 122 5" xfId="11974" xr:uid="{00000000-0005-0000-0000-0000C62E0000}"/>
    <cellStyle name="Normal 123" xfId="11975" xr:uid="{00000000-0005-0000-0000-0000C72E0000}"/>
    <cellStyle name="Normal 123 2" xfId="11976" xr:uid="{00000000-0005-0000-0000-0000C82E0000}"/>
    <cellStyle name="Normal 123 2 2" xfId="11977" xr:uid="{00000000-0005-0000-0000-0000C92E0000}"/>
    <cellStyle name="Normal 123 2 2 2" xfId="11978" xr:uid="{00000000-0005-0000-0000-0000CA2E0000}"/>
    <cellStyle name="Normal 123 2 3" xfId="11979" xr:uid="{00000000-0005-0000-0000-0000CB2E0000}"/>
    <cellStyle name="Normal 123 3" xfId="11980" xr:uid="{00000000-0005-0000-0000-0000CC2E0000}"/>
    <cellStyle name="Normal 123 3 2" xfId="11981" xr:uid="{00000000-0005-0000-0000-0000CD2E0000}"/>
    <cellStyle name="Normal 123 3 2 2" xfId="11982" xr:uid="{00000000-0005-0000-0000-0000CE2E0000}"/>
    <cellStyle name="Normal 123 3 3" xfId="11983" xr:uid="{00000000-0005-0000-0000-0000CF2E0000}"/>
    <cellStyle name="Normal 123 3 3 2" xfId="11984" xr:uid="{00000000-0005-0000-0000-0000D02E0000}"/>
    <cellStyle name="Normal 123 3 3 2 2" xfId="11985" xr:uid="{00000000-0005-0000-0000-0000D12E0000}"/>
    <cellStyle name="Normal 123 3 3 3" xfId="11986" xr:uid="{00000000-0005-0000-0000-0000D22E0000}"/>
    <cellStyle name="Normal 123 3 4" xfId="11987" xr:uid="{00000000-0005-0000-0000-0000D32E0000}"/>
    <cellStyle name="Normal 123 4" xfId="11988" xr:uid="{00000000-0005-0000-0000-0000D42E0000}"/>
    <cellStyle name="Normal 123 4 2" xfId="11989" xr:uid="{00000000-0005-0000-0000-0000D52E0000}"/>
    <cellStyle name="Normal 123 4 2 2" xfId="11990" xr:uid="{00000000-0005-0000-0000-0000D62E0000}"/>
    <cellStyle name="Normal 123 4 3" xfId="11991" xr:uid="{00000000-0005-0000-0000-0000D72E0000}"/>
    <cellStyle name="Normal 123 5" xfId="11992" xr:uid="{00000000-0005-0000-0000-0000D82E0000}"/>
    <cellStyle name="Normal 124" xfId="11993" xr:uid="{00000000-0005-0000-0000-0000D92E0000}"/>
    <cellStyle name="Normal 124 2" xfId="11994" xr:uid="{00000000-0005-0000-0000-0000DA2E0000}"/>
    <cellStyle name="Normal 124 2 2" xfId="11995" xr:uid="{00000000-0005-0000-0000-0000DB2E0000}"/>
    <cellStyle name="Normal 124 2 2 2" xfId="11996" xr:uid="{00000000-0005-0000-0000-0000DC2E0000}"/>
    <cellStyle name="Normal 124 2 3" xfId="11997" xr:uid="{00000000-0005-0000-0000-0000DD2E0000}"/>
    <cellStyle name="Normal 124 3" xfId="11998" xr:uid="{00000000-0005-0000-0000-0000DE2E0000}"/>
    <cellStyle name="Normal 124 3 2" xfId="11999" xr:uid="{00000000-0005-0000-0000-0000DF2E0000}"/>
    <cellStyle name="Normal 124 3 2 2" xfId="12000" xr:uid="{00000000-0005-0000-0000-0000E02E0000}"/>
    <cellStyle name="Normal 124 3 3" xfId="12001" xr:uid="{00000000-0005-0000-0000-0000E12E0000}"/>
    <cellStyle name="Normal 124 3 3 2" xfId="12002" xr:uid="{00000000-0005-0000-0000-0000E22E0000}"/>
    <cellStyle name="Normal 124 3 3 2 2" xfId="12003" xr:uid="{00000000-0005-0000-0000-0000E32E0000}"/>
    <cellStyle name="Normal 124 3 3 3" xfId="12004" xr:uid="{00000000-0005-0000-0000-0000E42E0000}"/>
    <cellStyle name="Normal 124 3 4" xfId="12005" xr:uid="{00000000-0005-0000-0000-0000E52E0000}"/>
    <cellStyle name="Normal 124 4" xfId="12006" xr:uid="{00000000-0005-0000-0000-0000E62E0000}"/>
    <cellStyle name="Normal 124 4 2" xfId="12007" xr:uid="{00000000-0005-0000-0000-0000E72E0000}"/>
    <cellStyle name="Normal 124 4 2 2" xfId="12008" xr:uid="{00000000-0005-0000-0000-0000E82E0000}"/>
    <cellStyle name="Normal 124 4 3" xfId="12009" xr:uid="{00000000-0005-0000-0000-0000E92E0000}"/>
    <cellStyle name="Normal 124 5" xfId="12010" xr:uid="{00000000-0005-0000-0000-0000EA2E0000}"/>
    <cellStyle name="Normal 125" xfId="12011" xr:uid="{00000000-0005-0000-0000-0000EB2E0000}"/>
    <cellStyle name="Normal 125 2" xfId="12012" xr:uid="{00000000-0005-0000-0000-0000EC2E0000}"/>
    <cellStyle name="Normal 125 2 2" xfId="12013" xr:uid="{00000000-0005-0000-0000-0000ED2E0000}"/>
    <cellStyle name="Normal 125 2 2 2" xfId="12014" xr:uid="{00000000-0005-0000-0000-0000EE2E0000}"/>
    <cellStyle name="Normal 125 2 3" xfId="12015" xr:uid="{00000000-0005-0000-0000-0000EF2E0000}"/>
    <cellStyle name="Normal 125 3" xfId="12016" xr:uid="{00000000-0005-0000-0000-0000F02E0000}"/>
    <cellStyle name="Normal 125 3 2" xfId="12017" xr:uid="{00000000-0005-0000-0000-0000F12E0000}"/>
    <cellStyle name="Normal 125 3 2 2" xfId="12018" xr:uid="{00000000-0005-0000-0000-0000F22E0000}"/>
    <cellStyle name="Normal 125 3 3" xfId="12019" xr:uid="{00000000-0005-0000-0000-0000F32E0000}"/>
    <cellStyle name="Normal 125 3 3 2" xfId="12020" xr:uid="{00000000-0005-0000-0000-0000F42E0000}"/>
    <cellStyle name="Normal 125 3 3 2 2" xfId="12021" xr:uid="{00000000-0005-0000-0000-0000F52E0000}"/>
    <cellStyle name="Normal 125 3 3 3" xfId="12022" xr:uid="{00000000-0005-0000-0000-0000F62E0000}"/>
    <cellStyle name="Normal 125 3 4" xfId="12023" xr:uid="{00000000-0005-0000-0000-0000F72E0000}"/>
    <cellStyle name="Normal 125 4" xfId="12024" xr:uid="{00000000-0005-0000-0000-0000F82E0000}"/>
    <cellStyle name="Normal 125 4 2" xfId="12025" xr:uid="{00000000-0005-0000-0000-0000F92E0000}"/>
    <cellStyle name="Normal 125 4 2 2" xfId="12026" xr:uid="{00000000-0005-0000-0000-0000FA2E0000}"/>
    <cellStyle name="Normal 125 4 3" xfId="12027" xr:uid="{00000000-0005-0000-0000-0000FB2E0000}"/>
    <cellStyle name="Normal 125 5" xfId="12028" xr:uid="{00000000-0005-0000-0000-0000FC2E0000}"/>
    <cellStyle name="Normal 126" xfId="12029" xr:uid="{00000000-0005-0000-0000-0000FD2E0000}"/>
    <cellStyle name="Normal 126 2" xfId="12030" xr:uid="{00000000-0005-0000-0000-0000FE2E0000}"/>
    <cellStyle name="Normal 126 2 2" xfId="12031" xr:uid="{00000000-0005-0000-0000-0000FF2E0000}"/>
    <cellStyle name="Normal 126 2 2 2" xfId="12032" xr:uid="{00000000-0005-0000-0000-0000002F0000}"/>
    <cellStyle name="Normal 126 2 3" xfId="12033" xr:uid="{00000000-0005-0000-0000-0000012F0000}"/>
    <cellStyle name="Normal 126 3" xfId="12034" xr:uid="{00000000-0005-0000-0000-0000022F0000}"/>
    <cellStyle name="Normal 126 3 2" xfId="12035" xr:uid="{00000000-0005-0000-0000-0000032F0000}"/>
    <cellStyle name="Normal 126 3 2 2" xfId="12036" xr:uid="{00000000-0005-0000-0000-0000042F0000}"/>
    <cellStyle name="Normal 126 3 3" xfId="12037" xr:uid="{00000000-0005-0000-0000-0000052F0000}"/>
    <cellStyle name="Normal 126 3 3 2" xfId="12038" xr:uid="{00000000-0005-0000-0000-0000062F0000}"/>
    <cellStyle name="Normal 126 3 3 2 2" xfId="12039" xr:uid="{00000000-0005-0000-0000-0000072F0000}"/>
    <cellStyle name="Normal 126 3 3 3" xfId="12040" xr:uid="{00000000-0005-0000-0000-0000082F0000}"/>
    <cellStyle name="Normal 126 3 4" xfId="12041" xr:uid="{00000000-0005-0000-0000-0000092F0000}"/>
    <cellStyle name="Normal 126 4" xfId="12042" xr:uid="{00000000-0005-0000-0000-00000A2F0000}"/>
    <cellStyle name="Normal 126 4 2" xfId="12043" xr:uid="{00000000-0005-0000-0000-00000B2F0000}"/>
    <cellStyle name="Normal 126 4 2 2" xfId="12044" xr:uid="{00000000-0005-0000-0000-00000C2F0000}"/>
    <cellStyle name="Normal 126 4 3" xfId="12045" xr:uid="{00000000-0005-0000-0000-00000D2F0000}"/>
    <cellStyle name="Normal 126 5" xfId="12046" xr:uid="{00000000-0005-0000-0000-00000E2F0000}"/>
    <cellStyle name="Normal 127" xfId="12047" xr:uid="{00000000-0005-0000-0000-00000F2F0000}"/>
    <cellStyle name="Normal 127 2" xfId="12048" xr:uid="{00000000-0005-0000-0000-0000102F0000}"/>
    <cellStyle name="Normal 127 2 2" xfId="12049" xr:uid="{00000000-0005-0000-0000-0000112F0000}"/>
    <cellStyle name="Normal 127 2 2 2" xfId="12050" xr:uid="{00000000-0005-0000-0000-0000122F0000}"/>
    <cellStyle name="Normal 127 2 3" xfId="12051" xr:uid="{00000000-0005-0000-0000-0000132F0000}"/>
    <cellStyle name="Normal 127 3" xfId="12052" xr:uid="{00000000-0005-0000-0000-0000142F0000}"/>
    <cellStyle name="Normal 127 3 2" xfId="12053" xr:uid="{00000000-0005-0000-0000-0000152F0000}"/>
    <cellStyle name="Normal 127 3 2 2" xfId="12054" xr:uid="{00000000-0005-0000-0000-0000162F0000}"/>
    <cellStyle name="Normal 127 3 3" xfId="12055" xr:uid="{00000000-0005-0000-0000-0000172F0000}"/>
    <cellStyle name="Normal 127 3 3 2" xfId="12056" xr:uid="{00000000-0005-0000-0000-0000182F0000}"/>
    <cellStyle name="Normal 127 3 3 2 2" xfId="12057" xr:uid="{00000000-0005-0000-0000-0000192F0000}"/>
    <cellStyle name="Normal 127 3 3 3" xfId="12058" xr:uid="{00000000-0005-0000-0000-00001A2F0000}"/>
    <cellStyle name="Normal 127 3 4" xfId="12059" xr:uid="{00000000-0005-0000-0000-00001B2F0000}"/>
    <cellStyle name="Normal 127 4" xfId="12060" xr:uid="{00000000-0005-0000-0000-00001C2F0000}"/>
    <cellStyle name="Normal 127 4 2" xfId="12061" xr:uid="{00000000-0005-0000-0000-00001D2F0000}"/>
    <cellStyle name="Normal 127 4 2 2" xfId="12062" xr:uid="{00000000-0005-0000-0000-00001E2F0000}"/>
    <cellStyle name="Normal 127 4 3" xfId="12063" xr:uid="{00000000-0005-0000-0000-00001F2F0000}"/>
    <cellStyle name="Normal 127 5" xfId="12064" xr:uid="{00000000-0005-0000-0000-0000202F0000}"/>
    <cellStyle name="Normal 128" xfId="12065" xr:uid="{00000000-0005-0000-0000-0000212F0000}"/>
    <cellStyle name="Normal 128 2" xfId="12066" xr:uid="{00000000-0005-0000-0000-0000222F0000}"/>
    <cellStyle name="Normal 128 2 2" xfId="12067" xr:uid="{00000000-0005-0000-0000-0000232F0000}"/>
    <cellStyle name="Normal 128 2 2 2" xfId="12068" xr:uid="{00000000-0005-0000-0000-0000242F0000}"/>
    <cellStyle name="Normal 128 2 3" xfId="12069" xr:uid="{00000000-0005-0000-0000-0000252F0000}"/>
    <cellStyle name="Normal 128 3" xfId="12070" xr:uid="{00000000-0005-0000-0000-0000262F0000}"/>
    <cellStyle name="Normal 128 3 2" xfId="12071" xr:uid="{00000000-0005-0000-0000-0000272F0000}"/>
    <cellStyle name="Normal 128 3 2 2" xfId="12072" xr:uid="{00000000-0005-0000-0000-0000282F0000}"/>
    <cellStyle name="Normal 128 3 3" xfId="12073" xr:uid="{00000000-0005-0000-0000-0000292F0000}"/>
    <cellStyle name="Normal 128 3 3 2" xfId="12074" xr:uid="{00000000-0005-0000-0000-00002A2F0000}"/>
    <cellStyle name="Normal 128 3 3 2 2" xfId="12075" xr:uid="{00000000-0005-0000-0000-00002B2F0000}"/>
    <cellStyle name="Normal 128 3 3 3" xfId="12076" xr:uid="{00000000-0005-0000-0000-00002C2F0000}"/>
    <cellStyle name="Normal 128 3 4" xfId="12077" xr:uid="{00000000-0005-0000-0000-00002D2F0000}"/>
    <cellStyle name="Normal 128 4" xfId="12078" xr:uid="{00000000-0005-0000-0000-00002E2F0000}"/>
    <cellStyle name="Normal 128 4 2" xfId="12079" xr:uid="{00000000-0005-0000-0000-00002F2F0000}"/>
    <cellStyle name="Normal 128 4 2 2" xfId="12080" xr:uid="{00000000-0005-0000-0000-0000302F0000}"/>
    <cellStyle name="Normal 128 4 3" xfId="12081" xr:uid="{00000000-0005-0000-0000-0000312F0000}"/>
    <cellStyle name="Normal 128 5" xfId="12082" xr:uid="{00000000-0005-0000-0000-0000322F0000}"/>
    <cellStyle name="Normal 129" xfId="12083" xr:uid="{00000000-0005-0000-0000-0000332F0000}"/>
    <cellStyle name="Normal 129 2" xfId="12084" xr:uid="{00000000-0005-0000-0000-0000342F0000}"/>
    <cellStyle name="Normal 129 2 2" xfId="12085" xr:uid="{00000000-0005-0000-0000-0000352F0000}"/>
    <cellStyle name="Normal 129 2 2 2" xfId="12086" xr:uid="{00000000-0005-0000-0000-0000362F0000}"/>
    <cellStyle name="Normal 129 2 3" xfId="12087" xr:uid="{00000000-0005-0000-0000-0000372F0000}"/>
    <cellStyle name="Normal 129 3" xfId="12088" xr:uid="{00000000-0005-0000-0000-0000382F0000}"/>
    <cellStyle name="Normal 129 3 2" xfId="12089" xr:uid="{00000000-0005-0000-0000-0000392F0000}"/>
    <cellStyle name="Normal 129 3 2 2" xfId="12090" xr:uid="{00000000-0005-0000-0000-00003A2F0000}"/>
    <cellStyle name="Normal 129 3 3" xfId="12091" xr:uid="{00000000-0005-0000-0000-00003B2F0000}"/>
    <cellStyle name="Normal 129 3 3 2" xfId="12092" xr:uid="{00000000-0005-0000-0000-00003C2F0000}"/>
    <cellStyle name="Normal 129 3 3 2 2" xfId="12093" xr:uid="{00000000-0005-0000-0000-00003D2F0000}"/>
    <cellStyle name="Normal 129 3 3 3" xfId="12094" xr:uid="{00000000-0005-0000-0000-00003E2F0000}"/>
    <cellStyle name="Normal 129 3 4" xfId="12095" xr:uid="{00000000-0005-0000-0000-00003F2F0000}"/>
    <cellStyle name="Normal 129 4" xfId="12096" xr:uid="{00000000-0005-0000-0000-0000402F0000}"/>
    <cellStyle name="Normal 129 4 2" xfId="12097" xr:uid="{00000000-0005-0000-0000-0000412F0000}"/>
    <cellStyle name="Normal 129 4 2 2" xfId="12098" xr:uid="{00000000-0005-0000-0000-0000422F0000}"/>
    <cellStyle name="Normal 129 4 3" xfId="12099" xr:uid="{00000000-0005-0000-0000-0000432F0000}"/>
    <cellStyle name="Normal 129 5" xfId="12100" xr:uid="{00000000-0005-0000-0000-0000442F0000}"/>
    <cellStyle name="Normal 13" xfId="61" xr:uid="{00000000-0005-0000-0000-00003D000000}"/>
    <cellStyle name="Normal 13 2" xfId="12101" xr:uid="{00000000-0005-0000-0000-0000452F0000}"/>
    <cellStyle name="Normal 13 2 2" xfId="12102" xr:uid="{00000000-0005-0000-0000-0000462F0000}"/>
    <cellStyle name="Normal 13 2 2 2" xfId="12103" xr:uid="{00000000-0005-0000-0000-0000472F0000}"/>
    <cellStyle name="Normal 13 2 3" xfId="12104" xr:uid="{00000000-0005-0000-0000-0000482F0000}"/>
    <cellStyle name="Normal 13 2 3 2" xfId="12105" xr:uid="{00000000-0005-0000-0000-0000492F0000}"/>
    <cellStyle name="Normal 13 2 3 2 2" xfId="12106" xr:uid="{00000000-0005-0000-0000-00004A2F0000}"/>
    <cellStyle name="Normal 13 2 3 3" xfId="12107" xr:uid="{00000000-0005-0000-0000-00004B2F0000}"/>
    <cellStyle name="Normal 13 2 4" xfId="12108" xr:uid="{00000000-0005-0000-0000-00004C2F0000}"/>
    <cellStyle name="Normal 13 3" xfId="12109" xr:uid="{00000000-0005-0000-0000-00004D2F0000}"/>
    <cellStyle name="Normal 13 3 2" xfId="12110" xr:uid="{00000000-0005-0000-0000-00004E2F0000}"/>
    <cellStyle name="Normal 13 3 2 2" xfId="12111" xr:uid="{00000000-0005-0000-0000-00004F2F0000}"/>
    <cellStyle name="Normal 13 3 2 2 2" xfId="12112" xr:uid="{00000000-0005-0000-0000-0000502F0000}"/>
    <cellStyle name="Normal 13 3 2 3" xfId="12113" xr:uid="{00000000-0005-0000-0000-0000512F0000}"/>
    <cellStyle name="Normal 13 3 3" xfId="12114" xr:uid="{00000000-0005-0000-0000-0000522F0000}"/>
    <cellStyle name="Normal 13 3 3 2" xfId="12115" xr:uid="{00000000-0005-0000-0000-0000532F0000}"/>
    <cellStyle name="Normal 13 3 3 2 2" xfId="12116" xr:uid="{00000000-0005-0000-0000-0000542F0000}"/>
    <cellStyle name="Normal 13 3 3 3" xfId="12117" xr:uid="{00000000-0005-0000-0000-0000552F0000}"/>
    <cellStyle name="Normal 13 3 4" xfId="12118" xr:uid="{00000000-0005-0000-0000-0000562F0000}"/>
    <cellStyle name="Normal 13 4" xfId="12119" xr:uid="{00000000-0005-0000-0000-0000572F0000}"/>
    <cellStyle name="Normal 13 4 2" xfId="12120" xr:uid="{00000000-0005-0000-0000-0000582F0000}"/>
    <cellStyle name="Normal 13 5" xfId="12121" xr:uid="{00000000-0005-0000-0000-0000592F0000}"/>
    <cellStyle name="Normal 13 5 2" xfId="12122" xr:uid="{00000000-0005-0000-0000-00005A2F0000}"/>
    <cellStyle name="Normal 13 5 2 2" xfId="12123" xr:uid="{00000000-0005-0000-0000-00005B2F0000}"/>
    <cellStyle name="Normal 13 5 3" xfId="12124" xr:uid="{00000000-0005-0000-0000-00005C2F0000}"/>
    <cellStyle name="Normal 13 6" xfId="12125" xr:uid="{00000000-0005-0000-0000-00005D2F0000}"/>
    <cellStyle name="Normal 13 6 2" xfId="12126" xr:uid="{00000000-0005-0000-0000-00005E2F0000}"/>
    <cellStyle name="Normal 13 6 2 2" xfId="12127" xr:uid="{00000000-0005-0000-0000-00005F2F0000}"/>
    <cellStyle name="Normal 13 6 3" xfId="12128" xr:uid="{00000000-0005-0000-0000-0000602F0000}"/>
    <cellStyle name="Normal 13 7" xfId="12129" xr:uid="{00000000-0005-0000-0000-0000612F0000}"/>
    <cellStyle name="Normal 13 7 2" xfId="12130" xr:uid="{00000000-0005-0000-0000-0000622F0000}"/>
    <cellStyle name="Normal 13 8" xfId="12131" xr:uid="{00000000-0005-0000-0000-0000632F0000}"/>
    <cellStyle name="Normal 13 9" xfId="12132" xr:uid="{00000000-0005-0000-0000-0000642F0000}"/>
    <cellStyle name="Normal 130" xfId="12133" xr:uid="{00000000-0005-0000-0000-0000652F0000}"/>
    <cellStyle name="Normal 130 2" xfId="12134" xr:uid="{00000000-0005-0000-0000-0000662F0000}"/>
    <cellStyle name="Normal 130 2 2" xfId="12135" xr:uid="{00000000-0005-0000-0000-0000672F0000}"/>
    <cellStyle name="Normal 130 2 2 2" xfId="12136" xr:uid="{00000000-0005-0000-0000-0000682F0000}"/>
    <cellStyle name="Normal 130 2 3" xfId="12137" xr:uid="{00000000-0005-0000-0000-0000692F0000}"/>
    <cellStyle name="Normal 130 3" xfId="12138" xr:uid="{00000000-0005-0000-0000-00006A2F0000}"/>
    <cellStyle name="Normal 130 3 2" xfId="12139" xr:uid="{00000000-0005-0000-0000-00006B2F0000}"/>
    <cellStyle name="Normal 130 3 2 2" xfId="12140" xr:uid="{00000000-0005-0000-0000-00006C2F0000}"/>
    <cellStyle name="Normal 130 3 3" xfId="12141" xr:uid="{00000000-0005-0000-0000-00006D2F0000}"/>
    <cellStyle name="Normal 130 3 3 2" xfId="12142" xr:uid="{00000000-0005-0000-0000-00006E2F0000}"/>
    <cellStyle name="Normal 130 3 3 2 2" xfId="12143" xr:uid="{00000000-0005-0000-0000-00006F2F0000}"/>
    <cellStyle name="Normal 130 3 3 3" xfId="12144" xr:uid="{00000000-0005-0000-0000-0000702F0000}"/>
    <cellStyle name="Normal 130 3 4" xfId="12145" xr:uid="{00000000-0005-0000-0000-0000712F0000}"/>
    <cellStyle name="Normal 130 4" xfId="12146" xr:uid="{00000000-0005-0000-0000-0000722F0000}"/>
    <cellStyle name="Normal 130 4 2" xfId="12147" xr:uid="{00000000-0005-0000-0000-0000732F0000}"/>
    <cellStyle name="Normal 130 4 2 2" xfId="12148" xr:uid="{00000000-0005-0000-0000-0000742F0000}"/>
    <cellStyle name="Normal 130 4 3" xfId="12149" xr:uid="{00000000-0005-0000-0000-0000752F0000}"/>
    <cellStyle name="Normal 130 5" xfId="12150" xr:uid="{00000000-0005-0000-0000-0000762F0000}"/>
    <cellStyle name="Normal 131" xfId="12151" xr:uid="{00000000-0005-0000-0000-0000772F0000}"/>
    <cellStyle name="Normal 131 2" xfId="12152" xr:uid="{00000000-0005-0000-0000-0000782F0000}"/>
    <cellStyle name="Normal 131 2 2" xfId="12153" xr:uid="{00000000-0005-0000-0000-0000792F0000}"/>
    <cellStyle name="Normal 131 2 2 2" xfId="12154" xr:uid="{00000000-0005-0000-0000-00007A2F0000}"/>
    <cellStyle name="Normal 131 2 3" xfId="12155" xr:uid="{00000000-0005-0000-0000-00007B2F0000}"/>
    <cellStyle name="Normal 131 3" xfId="12156" xr:uid="{00000000-0005-0000-0000-00007C2F0000}"/>
    <cellStyle name="Normal 131 3 2" xfId="12157" xr:uid="{00000000-0005-0000-0000-00007D2F0000}"/>
    <cellStyle name="Normal 131 3 2 2" xfId="12158" xr:uid="{00000000-0005-0000-0000-00007E2F0000}"/>
    <cellStyle name="Normal 131 3 3" xfId="12159" xr:uid="{00000000-0005-0000-0000-00007F2F0000}"/>
    <cellStyle name="Normal 131 3 3 2" xfId="12160" xr:uid="{00000000-0005-0000-0000-0000802F0000}"/>
    <cellStyle name="Normal 131 3 3 2 2" xfId="12161" xr:uid="{00000000-0005-0000-0000-0000812F0000}"/>
    <cellStyle name="Normal 131 3 3 3" xfId="12162" xr:uid="{00000000-0005-0000-0000-0000822F0000}"/>
    <cellStyle name="Normal 131 3 4" xfId="12163" xr:uid="{00000000-0005-0000-0000-0000832F0000}"/>
    <cellStyle name="Normal 131 4" xfId="12164" xr:uid="{00000000-0005-0000-0000-0000842F0000}"/>
    <cellStyle name="Normal 131 4 2" xfId="12165" xr:uid="{00000000-0005-0000-0000-0000852F0000}"/>
    <cellStyle name="Normal 131 4 2 2" xfId="12166" xr:uid="{00000000-0005-0000-0000-0000862F0000}"/>
    <cellStyle name="Normal 131 4 3" xfId="12167" xr:uid="{00000000-0005-0000-0000-0000872F0000}"/>
    <cellStyle name="Normal 131 5" xfId="12168" xr:uid="{00000000-0005-0000-0000-0000882F0000}"/>
    <cellStyle name="Normal 132" xfId="12169" xr:uid="{00000000-0005-0000-0000-0000892F0000}"/>
    <cellStyle name="Normal 132 2" xfId="12170" xr:uid="{00000000-0005-0000-0000-00008A2F0000}"/>
    <cellStyle name="Normal 132 2 2" xfId="12171" xr:uid="{00000000-0005-0000-0000-00008B2F0000}"/>
    <cellStyle name="Normal 132 2 2 2" xfId="12172" xr:uid="{00000000-0005-0000-0000-00008C2F0000}"/>
    <cellStyle name="Normal 132 2 3" xfId="12173" xr:uid="{00000000-0005-0000-0000-00008D2F0000}"/>
    <cellStyle name="Normal 132 3" xfId="12174" xr:uid="{00000000-0005-0000-0000-00008E2F0000}"/>
    <cellStyle name="Normal 132 3 2" xfId="12175" xr:uid="{00000000-0005-0000-0000-00008F2F0000}"/>
    <cellStyle name="Normal 132 3 2 2" xfId="12176" xr:uid="{00000000-0005-0000-0000-0000902F0000}"/>
    <cellStyle name="Normal 132 3 3" xfId="12177" xr:uid="{00000000-0005-0000-0000-0000912F0000}"/>
    <cellStyle name="Normal 132 3 3 2" xfId="12178" xr:uid="{00000000-0005-0000-0000-0000922F0000}"/>
    <cellStyle name="Normal 132 3 3 2 2" xfId="12179" xr:uid="{00000000-0005-0000-0000-0000932F0000}"/>
    <cellStyle name="Normal 132 3 3 3" xfId="12180" xr:uid="{00000000-0005-0000-0000-0000942F0000}"/>
    <cellStyle name="Normal 132 3 4" xfId="12181" xr:uid="{00000000-0005-0000-0000-0000952F0000}"/>
    <cellStyle name="Normal 132 4" xfId="12182" xr:uid="{00000000-0005-0000-0000-0000962F0000}"/>
    <cellStyle name="Normal 132 4 2" xfId="12183" xr:uid="{00000000-0005-0000-0000-0000972F0000}"/>
    <cellStyle name="Normal 132 4 2 2" xfId="12184" xr:uid="{00000000-0005-0000-0000-0000982F0000}"/>
    <cellStyle name="Normal 132 4 3" xfId="12185" xr:uid="{00000000-0005-0000-0000-0000992F0000}"/>
    <cellStyle name="Normal 132 5" xfId="12186" xr:uid="{00000000-0005-0000-0000-00009A2F0000}"/>
    <cellStyle name="Normal 133" xfId="12187" xr:uid="{00000000-0005-0000-0000-00009B2F0000}"/>
    <cellStyle name="Normal 133 2" xfId="12188" xr:uid="{00000000-0005-0000-0000-00009C2F0000}"/>
    <cellStyle name="Normal 133 2 2" xfId="12189" xr:uid="{00000000-0005-0000-0000-00009D2F0000}"/>
    <cellStyle name="Normal 133 2 2 2" xfId="12190" xr:uid="{00000000-0005-0000-0000-00009E2F0000}"/>
    <cellStyle name="Normal 133 2 3" xfId="12191" xr:uid="{00000000-0005-0000-0000-00009F2F0000}"/>
    <cellStyle name="Normal 133 3" xfId="12192" xr:uid="{00000000-0005-0000-0000-0000A02F0000}"/>
    <cellStyle name="Normal 133 3 2" xfId="12193" xr:uid="{00000000-0005-0000-0000-0000A12F0000}"/>
    <cellStyle name="Normal 133 3 2 2" xfId="12194" xr:uid="{00000000-0005-0000-0000-0000A22F0000}"/>
    <cellStyle name="Normal 133 3 3" xfId="12195" xr:uid="{00000000-0005-0000-0000-0000A32F0000}"/>
    <cellStyle name="Normal 133 3 3 2" xfId="12196" xr:uid="{00000000-0005-0000-0000-0000A42F0000}"/>
    <cellStyle name="Normal 133 3 3 2 2" xfId="12197" xr:uid="{00000000-0005-0000-0000-0000A52F0000}"/>
    <cellStyle name="Normal 133 3 3 3" xfId="12198" xr:uid="{00000000-0005-0000-0000-0000A62F0000}"/>
    <cellStyle name="Normal 133 3 4" xfId="12199" xr:uid="{00000000-0005-0000-0000-0000A72F0000}"/>
    <cellStyle name="Normal 133 4" xfId="12200" xr:uid="{00000000-0005-0000-0000-0000A82F0000}"/>
    <cellStyle name="Normal 133 4 2" xfId="12201" xr:uid="{00000000-0005-0000-0000-0000A92F0000}"/>
    <cellStyle name="Normal 133 4 2 2" xfId="12202" xr:uid="{00000000-0005-0000-0000-0000AA2F0000}"/>
    <cellStyle name="Normal 133 4 3" xfId="12203" xr:uid="{00000000-0005-0000-0000-0000AB2F0000}"/>
    <cellStyle name="Normal 133 5" xfId="12204" xr:uid="{00000000-0005-0000-0000-0000AC2F0000}"/>
    <cellStyle name="Normal 134" xfId="12205" xr:uid="{00000000-0005-0000-0000-0000AD2F0000}"/>
    <cellStyle name="Normal 134 2" xfId="12206" xr:uid="{00000000-0005-0000-0000-0000AE2F0000}"/>
    <cellStyle name="Normal 134 2 2" xfId="12207" xr:uid="{00000000-0005-0000-0000-0000AF2F0000}"/>
    <cellStyle name="Normal 134 2 2 2" xfId="12208" xr:uid="{00000000-0005-0000-0000-0000B02F0000}"/>
    <cellStyle name="Normal 134 2 3" xfId="12209" xr:uid="{00000000-0005-0000-0000-0000B12F0000}"/>
    <cellStyle name="Normal 134 3" xfId="12210" xr:uid="{00000000-0005-0000-0000-0000B22F0000}"/>
    <cellStyle name="Normal 134 3 2" xfId="12211" xr:uid="{00000000-0005-0000-0000-0000B32F0000}"/>
    <cellStyle name="Normal 134 3 2 2" xfId="12212" xr:uid="{00000000-0005-0000-0000-0000B42F0000}"/>
    <cellStyle name="Normal 134 3 3" xfId="12213" xr:uid="{00000000-0005-0000-0000-0000B52F0000}"/>
    <cellStyle name="Normal 134 3 3 2" xfId="12214" xr:uid="{00000000-0005-0000-0000-0000B62F0000}"/>
    <cellStyle name="Normal 134 3 3 2 2" xfId="12215" xr:uid="{00000000-0005-0000-0000-0000B72F0000}"/>
    <cellStyle name="Normal 134 3 3 3" xfId="12216" xr:uid="{00000000-0005-0000-0000-0000B82F0000}"/>
    <cellStyle name="Normal 134 3 4" xfId="12217" xr:uid="{00000000-0005-0000-0000-0000B92F0000}"/>
    <cellStyle name="Normal 134 4" xfId="12218" xr:uid="{00000000-0005-0000-0000-0000BA2F0000}"/>
    <cellStyle name="Normal 134 4 2" xfId="12219" xr:uid="{00000000-0005-0000-0000-0000BB2F0000}"/>
    <cellStyle name="Normal 134 4 2 2" xfId="12220" xr:uid="{00000000-0005-0000-0000-0000BC2F0000}"/>
    <cellStyle name="Normal 134 4 3" xfId="12221" xr:uid="{00000000-0005-0000-0000-0000BD2F0000}"/>
    <cellStyle name="Normal 134 5" xfId="12222" xr:uid="{00000000-0005-0000-0000-0000BE2F0000}"/>
    <cellStyle name="Normal 135" xfId="12223" xr:uid="{00000000-0005-0000-0000-0000BF2F0000}"/>
    <cellStyle name="Normal 135 2" xfId="12224" xr:uid="{00000000-0005-0000-0000-0000C02F0000}"/>
    <cellStyle name="Normal 135 2 2" xfId="12225" xr:uid="{00000000-0005-0000-0000-0000C12F0000}"/>
    <cellStyle name="Normal 135 2 2 2" xfId="12226" xr:uid="{00000000-0005-0000-0000-0000C22F0000}"/>
    <cellStyle name="Normal 135 2 3" xfId="12227" xr:uid="{00000000-0005-0000-0000-0000C32F0000}"/>
    <cellStyle name="Normal 135 3" xfId="12228" xr:uid="{00000000-0005-0000-0000-0000C42F0000}"/>
    <cellStyle name="Normal 135 3 2" xfId="12229" xr:uid="{00000000-0005-0000-0000-0000C52F0000}"/>
    <cellStyle name="Normal 135 3 2 2" xfId="12230" xr:uid="{00000000-0005-0000-0000-0000C62F0000}"/>
    <cellStyle name="Normal 135 3 3" xfId="12231" xr:uid="{00000000-0005-0000-0000-0000C72F0000}"/>
    <cellStyle name="Normal 135 3 3 2" xfId="12232" xr:uid="{00000000-0005-0000-0000-0000C82F0000}"/>
    <cellStyle name="Normal 135 3 3 2 2" xfId="12233" xr:uid="{00000000-0005-0000-0000-0000C92F0000}"/>
    <cellStyle name="Normal 135 3 3 3" xfId="12234" xr:uid="{00000000-0005-0000-0000-0000CA2F0000}"/>
    <cellStyle name="Normal 135 3 4" xfId="12235" xr:uid="{00000000-0005-0000-0000-0000CB2F0000}"/>
    <cellStyle name="Normal 135 4" xfId="12236" xr:uid="{00000000-0005-0000-0000-0000CC2F0000}"/>
    <cellStyle name="Normal 135 4 2" xfId="12237" xr:uid="{00000000-0005-0000-0000-0000CD2F0000}"/>
    <cellStyle name="Normal 135 4 2 2" xfId="12238" xr:uid="{00000000-0005-0000-0000-0000CE2F0000}"/>
    <cellStyle name="Normal 135 4 3" xfId="12239" xr:uid="{00000000-0005-0000-0000-0000CF2F0000}"/>
    <cellStyle name="Normal 135 5" xfId="12240" xr:uid="{00000000-0005-0000-0000-0000D02F0000}"/>
    <cellStyle name="Normal 136" xfId="12241" xr:uid="{00000000-0005-0000-0000-0000D12F0000}"/>
    <cellStyle name="Normal 136 2" xfId="12242" xr:uid="{00000000-0005-0000-0000-0000D22F0000}"/>
    <cellStyle name="Normal 136 2 2" xfId="12243" xr:uid="{00000000-0005-0000-0000-0000D32F0000}"/>
    <cellStyle name="Normal 136 2 2 2" xfId="12244" xr:uid="{00000000-0005-0000-0000-0000D42F0000}"/>
    <cellStyle name="Normal 136 2 3" xfId="12245" xr:uid="{00000000-0005-0000-0000-0000D52F0000}"/>
    <cellStyle name="Normal 136 2 3 2" xfId="12246" xr:uid="{00000000-0005-0000-0000-0000D62F0000}"/>
    <cellStyle name="Normal 136 2 3 2 2" xfId="12247" xr:uid="{00000000-0005-0000-0000-0000D72F0000}"/>
    <cellStyle name="Normal 136 2 3 3" xfId="12248" xr:uid="{00000000-0005-0000-0000-0000D82F0000}"/>
    <cellStyle name="Normal 136 2 4" xfId="12249" xr:uid="{00000000-0005-0000-0000-0000D92F0000}"/>
    <cellStyle name="Normal 136 2 4 2" xfId="12250" xr:uid="{00000000-0005-0000-0000-0000DA2F0000}"/>
    <cellStyle name="Normal 136 2 4 2 2" xfId="12251" xr:uid="{00000000-0005-0000-0000-0000DB2F0000}"/>
    <cellStyle name="Normal 136 2 4 3" xfId="12252" xr:uid="{00000000-0005-0000-0000-0000DC2F0000}"/>
    <cellStyle name="Normal 136 2 5" xfId="12253" xr:uid="{00000000-0005-0000-0000-0000DD2F0000}"/>
    <cellStyle name="Normal 136 3" xfId="12254" xr:uid="{00000000-0005-0000-0000-0000DE2F0000}"/>
    <cellStyle name="Normal 136 3 2" xfId="12255" xr:uid="{00000000-0005-0000-0000-0000DF2F0000}"/>
    <cellStyle name="Normal 136 3 2 2" xfId="12256" xr:uid="{00000000-0005-0000-0000-0000E02F0000}"/>
    <cellStyle name="Normal 136 3 2 2 2" xfId="12257" xr:uid="{00000000-0005-0000-0000-0000E12F0000}"/>
    <cellStyle name="Normal 136 3 2 3" xfId="12258" xr:uid="{00000000-0005-0000-0000-0000E22F0000}"/>
    <cellStyle name="Normal 136 3 2 3 2" xfId="12259" xr:uid="{00000000-0005-0000-0000-0000E32F0000}"/>
    <cellStyle name="Normal 136 3 2 3 2 2" xfId="12260" xr:uid="{00000000-0005-0000-0000-0000E42F0000}"/>
    <cellStyle name="Normal 136 3 2 3 3" xfId="12261" xr:uid="{00000000-0005-0000-0000-0000E52F0000}"/>
    <cellStyle name="Normal 136 3 2 4" xfId="12262" xr:uid="{00000000-0005-0000-0000-0000E62F0000}"/>
    <cellStyle name="Normal 136 3 3" xfId="12263" xr:uid="{00000000-0005-0000-0000-0000E72F0000}"/>
    <cellStyle name="Normal 136 3 3 2" xfId="12264" xr:uid="{00000000-0005-0000-0000-0000E82F0000}"/>
    <cellStyle name="Normal 136 3 3 2 2" xfId="12265" xr:uid="{00000000-0005-0000-0000-0000E92F0000}"/>
    <cellStyle name="Normal 136 3 3 3" xfId="12266" xr:uid="{00000000-0005-0000-0000-0000EA2F0000}"/>
    <cellStyle name="Normal 136 3 4" xfId="12267" xr:uid="{00000000-0005-0000-0000-0000EB2F0000}"/>
    <cellStyle name="Normal 136 3 4 2" xfId="12268" xr:uid="{00000000-0005-0000-0000-0000EC2F0000}"/>
    <cellStyle name="Normal 136 3 4 2 2" xfId="12269" xr:uid="{00000000-0005-0000-0000-0000ED2F0000}"/>
    <cellStyle name="Normal 136 3 4 3" xfId="12270" xr:uid="{00000000-0005-0000-0000-0000EE2F0000}"/>
    <cellStyle name="Normal 136 3 5" xfId="12271" xr:uid="{00000000-0005-0000-0000-0000EF2F0000}"/>
    <cellStyle name="Normal 136 3 5 2" xfId="12272" xr:uid="{00000000-0005-0000-0000-0000F02F0000}"/>
    <cellStyle name="Normal 136 3 5 2 2" xfId="12273" xr:uid="{00000000-0005-0000-0000-0000F12F0000}"/>
    <cellStyle name="Normal 136 3 5 3" xfId="12274" xr:uid="{00000000-0005-0000-0000-0000F22F0000}"/>
    <cellStyle name="Normal 136 3 6" xfId="12275" xr:uid="{00000000-0005-0000-0000-0000F32F0000}"/>
    <cellStyle name="Normal 136 4" xfId="12276" xr:uid="{00000000-0005-0000-0000-0000F42F0000}"/>
    <cellStyle name="Normal 136 4 2" xfId="12277" xr:uid="{00000000-0005-0000-0000-0000F52F0000}"/>
    <cellStyle name="Normal 136 4 2 2" xfId="12278" xr:uid="{00000000-0005-0000-0000-0000F62F0000}"/>
    <cellStyle name="Normal 136 4 3" xfId="12279" xr:uid="{00000000-0005-0000-0000-0000F72F0000}"/>
    <cellStyle name="Normal 136 5" xfId="12280" xr:uid="{00000000-0005-0000-0000-0000F82F0000}"/>
    <cellStyle name="Normal 136 5 2" xfId="12281" xr:uid="{00000000-0005-0000-0000-0000F92F0000}"/>
    <cellStyle name="Normal 136 5 2 2" xfId="12282" xr:uid="{00000000-0005-0000-0000-0000FA2F0000}"/>
    <cellStyle name="Normal 136 5 3" xfId="12283" xr:uid="{00000000-0005-0000-0000-0000FB2F0000}"/>
    <cellStyle name="Normal 136 6" xfId="12284" xr:uid="{00000000-0005-0000-0000-0000FC2F0000}"/>
    <cellStyle name="Normal 136 6 2" xfId="12285" xr:uid="{00000000-0005-0000-0000-0000FD2F0000}"/>
    <cellStyle name="Normal 136 6 2 2" xfId="12286" xr:uid="{00000000-0005-0000-0000-0000FE2F0000}"/>
    <cellStyle name="Normal 136 6 3" xfId="12287" xr:uid="{00000000-0005-0000-0000-0000FF2F0000}"/>
    <cellStyle name="Normal 136 7" xfId="12288" xr:uid="{00000000-0005-0000-0000-000000300000}"/>
    <cellStyle name="Normal 137" xfId="12289" xr:uid="{00000000-0005-0000-0000-000001300000}"/>
    <cellStyle name="Normal 137 2" xfId="12290" xr:uid="{00000000-0005-0000-0000-000002300000}"/>
    <cellStyle name="Normal 137 2 2" xfId="12291" xr:uid="{00000000-0005-0000-0000-000003300000}"/>
    <cellStyle name="Normal 137 2 2 2" xfId="12292" xr:uid="{00000000-0005-0000-0000-000004300000}"/>
    <cellStyle name="Normal 137 2 3" xfId="12293" xr:uid="{00000000-0005-0000-0000-000005300000}"/>
    <cellStyle name="Normal 137 2 3 2" xfId="12294" xr:uid="{00000000-0005-0000-0000-000006300000}"/>
    <cellStyle name="Normal 137 2 3 2 2" xfId="12295" xr:uid="{00000000-0005-0000-0000-000007300000}"/>
    <cellStyle name="Normal 137 2 3 3" xfId="12296" xr:uid="{00000000-0005-0000-0000-000008300000}"/>
    <cellStyle name="Normal 137 2 4" xfId="12297" xr:uid="{00000000-0005-0000-0000-000009300000}"/>
    <cellStyle name="Normal 137 2 4 2" xfId="12298" xr:uid="{00000000-0005-0000-0000-00000A300000}"/>
    <cellStyle name="Normal 137 2 4 2 2" xfId="12299" xr:uid="{00000000-0005-0000-0000-00000B300000}"/>
    <cellStyle name="Normal 137 2 4 3" xfId="12300" xr:uid="{00000000-0005-0000-0000-00000C300000}"/>
    <cellStyle name="Normal 137 2 5" xfId="12301" xr:uid="{00000000-0005-0000-0000-00000D300000}"/>
    <cellStyle name="Normal 137 3" xfId="12302" xr:uid="{00000000-0005-0000-0000-00000E300000}"/>
    <cellStyle name="Normal 137 3 2" xfId="12303" xr:uid="{00000000-0005-0000-0000-00000F300000}"/>
    <cellStyle name="Normal 137 3 2 2" xfId="12304" xr:uid="{00000000-0005-0000-0000-000010300000}"/>
    <cellStyle name="Normal 137 3 2 2 2" xfId="12305" xr:uid="{00000000-0005-0000-0000-000011300000}"/>
    <cellStyle name="Normal 137 3 2 3" xfId="12306" xr:uid="{00000000-0005-0000-0000-000012300000}"/>
    <cellStyle name="Normal 137 3 2 3 2" xfId="12307" xr:uid="{00000000-0005-0000-0000-000013300000}"/>
    <cellStyle name="Normal 137 3 2 3 2 2" xfId="12308" xr:uid="{00000000-0005-0000-0000-000014300000}"/>
    <cellStyle name="Normal 137 3 2 3 3" xfId="12309" xr:uid="{00000000-0005-0000-0000-000015300000}"/>
    <cellStyle name="Normal 137 3 2 4" xfId="12310" xr:uid="{00000000-0005-0000-0000-000016300000}"/>
    <cellStyle name="Normal 137 3 3" xfId="12311" xr:uid="{00000000-0005-0000-0000-000017300000}"/>
    <cellStyle name="Normal 137 3 3 2" xfId="12312" xr:uid="{00000000-0005-0000-0000-000018300000}"/>
    <cellStyle name="Normal 137 3 3 2 2" xfId="12313" xr:uid="{00000000-0005-0000-0000-000019300000}"/>
    <cellStyle name="Normal 137 3 3 3" xfId="12314" xr:uid="{00000000-0005-0000-0000-00001A300000}"/>
    <cellStyle name="Normal 137 3 4" xfId="12315" xr:uid="{00000000-0005-0000-0000-00001B300000}"/>
    <cellStyle name="Normal 137 3 4 2" xfId="12316" xr:uid="{00000000-0005-0000-0000-00001C300000}"/>
    <cellStyle name="Normal 137 3 4 2 2" xfId="12317" xr:uid="{00000000-0005-0000-0000-00001D300000}"/>
    <cellStyle name="Normal 137 3 4 3" xfId="12318" xr:uid="{00000000-0005-0000-0000-00001E300000}"/>
    <cellStyle name="Normal 137 3 5" xfId="12319" xr:uid="{00000000-0005-0000-0000-00001F300000}"/>
    <cellStyle name="Normal 137 3 5 2" xfId="12320" xr:uid="{00000000-0005-0000-0000-000020300000}"/>
    <cellStyle name="Normal 137 3 5 2 2" xfId="12321" xr:uid="{00000000-0005-0000-0000-000021300000}"/>
    <cellStyle name="Normal 137 3 5 3" xfId="12322" xr:uid="{00000000-0005-0000-0000-000022300000}"/>
    <cellStyle name="Normal 137 3 6" xfId="12323" xr:uid="{00000000-0005-0000-0000-000023300000}"/>
    <cellStyle name="Normal 137 4" xfId="12324" xr:uid="{00000000-0005-0000-0000-000024300000}"/>
    <cellStyle name="Normal 137 4 2" xfId="12325" xr:uid="{00000000-0005-0000-0000-000025300000}"/>
    <cellStyle name="Normal 137 4 2 2" xfId="12326" xr:uid="{00000000-0005-0000-0000-000026300000}"/>
    <cellStyle name="Normal 137 4 3" xfId="12327" xr:uid="{00000000-0005-0000-0000-000027300000}"/>
    <cellStyle name="Normal 137 5" xfId="12328" xr:uid="{00000000-0005-0000-0000-000028300000}"/>
    <cellStyle name="Normal 137 5 2" xfId="12329" xr:uid="{00000000-0005-0000-0000-000029300000}"/>
    <cellStyle name="Normal 137 5 2 2" xfId="12330" xr:uid="{00000000-0005-0000-0000-00002A300000}"/>
    <cellStyle name="Normal 137 5 3" xfId="12331" xr:uid="{00000000-0005-0000-0000-00002B300000}"/>
    <cellStyle name="Normal 137 6" xfId="12332" xr:uid="{00000000-0005-0000-0000-00002C300000}"/>
    <cellStyle name="Normal 137 6 2" xfId="12333" xr:uid="{00000000-0005-0000-0000-00002D300000}"/>
    <cellStyle name="Normal 137 6 2 2" xfId="12334" xr:uid="{00000000-0005-0000-0000-00002E300000}"/>
    <cellStyle name="Normal 137 6 3" xfId="12335" xr:uid="{00000000-0005-0000-0000-00002F300000}"/>
    <cellStyle name="Normal 137 7" xfId="12336" xr:uid="{00000000-0005-0000-0000-000030300000}"/>
    <cellStyle name="Normal 138" xfId="12337" xr:uid="{00000000-0005-0000-0000-000031300000}"/>
    <cellStyle name="Normal 138 2" xfId="12338" xr:uid="{00000000-0005-0000-0000-000032300000}"/>
    <cellStyle name="Normal 138 2 2" xfId="12339" xr:uid="{00000000-0005-0000-0000-000033300000}"/>
    <cellStyle name="Normal 138 2 2 2" xfId="12340" xr:uid="{00000000-0005-0000-0000-000034300000}"/>
    <cellStyle name="Normal 138 2 3" xfId="12341" xr:uid="{00000000-0005-0000-0000-000035300000}"/>
    <cellStyle name="Normal 138 2 3 2" xfId="12342" xr:uid="{00000000-0005-0000-0000-000036300000}"/>
    <cellStyle name="Normal 138 2 3 2 2" xfId="12343" xr:uid="{00000000-0005-0000-0000-000037300000}"/>
    <cellStyle name="Normal 138 2 3 3" xfId="12344" xr:uid="{00000000-0005-0000-0000-000038300000}"/>
    <cellStyle name="Normal 138 2 4" xfId="12345" xr:uid="{00000000-0005-0000-0000-000039300000}"/>
    <cellStyle name="Normal 138 2 4 2" xfId="12346" xr:uid="{00000000-0005-0000-0000-00003A300000}"/>
    <cellStyle name="Normal 138 2 4 2 2" xfId="12347" xr:uid="{00000000-0005-0000-0000-00003B300000}"/>
    <cellStyle name="Normal 138 2 4 3" xfId="12348" xr:uid="{00000000-0005-0000-0000-00003C300000}"/>
    <cellStyle name="Normal 138 2 5" xfId="12349" xr:uid="{00000000-0005-0000-0000-00003D300000}"/>
    <cellStyle name="Normal 138 3" xfId="12350" xr:uid="{00000000-0005-0000-0000-00003E300000}"/>
    <cellStyle name="Normal 138 3 2" xfId="12351" xr:uid="{00000000-0005-0000-0000-00003F300000}"/>
    <cellStyle name="Normal 138 3 2 2" xfId="12352" xr:uid="{00000000-0005-0000-0000-000040300000}"/>
    <cellStyle name="Normal 138 3 2 2 2" xfId="12353" xr:uid="{00000000-0005-0000-0000-000041300000}"/>
    <cellStyle name="Normal 138 3 2 3" xfId="12354" xr:uid="{00000000-0005-0000-0000-000042300000}"/>
    <cellStyle name="Normal 138 3 2 3 2" xfId="12355" xr:uid="{00000000-0005-0000-0000-000043300000}"/>
    <cellStyle name="Normal 138 3 2 3 2 2" xfId="12356" xr:uid="{00000000-0005-0000-0000-000044300000}"/>
    <cellStyle name="Normal 138 3 2 3 3" xfId="12357" xr:uid="{00000000-0005-0000-0000-000045300000}"/>
    <cellStyle name="Normal 138 3 2 4" xfId="12358" xr:uid="{00000000-0005-0000-0000-000046300000}"/>
    <cellStyle name="Normal 138 3 3" xfId="12359" xr:uid="{00000000-0005-0000-0000-000047300000}"/>
    <cellStyle name="Normal 138 3 3 2" xfId="12360" xr:uid="{00000000-0005-0000-0000-000048300000}"/>
    <cellStyle name="Normal 138 3 3 2 2" xfId="12361" xr:uid="{00000000-0005-0000-0000-000049300000}"/>
    <cellStyle name="Normal 138 3 3 3" xfId="12362" xr:uid="{00000000-0005-0000-0000-00004A300000}"/>
    <cellStyle name="Normal 138 3 4" xfId="12363" xr:uid="{00000000-0005-0000-0000-00004B300000}"/>
    <cellStyle name="Normal 138 3 4 2" xfId="12364" xr:uid="{00000000-0005-0000-0000-00004C300000}"/>
    <cellStyle name="Normal 138 3 4 2 2" xfId="12365" xr:uid="{00000000-0005-0000-0000-00004D300000}"/>
    <cellStyle name="Normal 138 3 4 3" xfId="12366" xr:uid="{00000000-0005-0000-0000-00004E300000}"/>
    <cellStyle name="Normal 138 3 5" xfId="12367" xr:uid="{00000000-0005-0000-0000-00004F300000}"/>
    <cellStyle name="Normal 138 3 5 2" xfId="12368" xr:uid="{00000000-0005-0000-0000-000050300000}"/>
    <cellStyle name="Normal 138 3 5 2 2" xfId="12369" xr:uid="{00000000-0005-0000-0000-000051300000}"/>
    <cellStyle name="Normal 138 3 5 3" xfId="12370" xr:uid="{00000000-0005-0000-0000-000052300000}"/>
    <cellStyle name="Normal 138 3 6" xfId="12371" xr:uid="{00000000-0005-0000-0000-000053300000}"/>
    <cellStyle name="Normal 138 4" xfId="12372" xr:uid="{00000000-0005-0000-0000-000054300000}"/>
    <cellStyle name="Normal 138 4 2" xfId="12373" xr:uid="{00000000-0005-0000-0000-000055300000}"/>
    <cellStyle name="Normal 138 4 2 2" xfId="12374" xr:uid="{00000000-0005-0000-0000-000056300000}"/>
    <cellStyle name="Normal 138 4 3" xfId="12375" xr:uid="{00000000-0005-0000-0000-000057300000}"/>
    <cellStyle name="Normal 138 5" xfId="12376" xr:uid="{00000000-0005-0000-0000-000058300000}"/>
    <cellStyle name="Normal 138 5 2" xfId="12377" xr:uid="{00000000-0005-0000-0000-000059300000}"/>
    <cellStyle name="Normal 138 5 2 2" xfId="12378" xr:uid="{00000000-0005-0000-0000-00005A300000}"/>
    <cellStyle name="Normal 138 5 3" xfId="12379" xr:uid="{00000000-0005-0000-0000-00005B300000}"/>
    <cellStyle name="Normal 138 6" xfId="12380" xr:uid="{00000000-0005-0000-0000-00005C300000}"/>
    <cellStyle name="Normal 138 6 2" xfId="12381" xr:uid="{00000000-0005-0000-0000-00005D300000}"/>
    <cellStyle name="Normal 138 6 2 2" xfId="12382" xr:uid="{00000000-0005-0000-0000-00005E300000}"/>
    <cellStyle name="Normal 138 6 3" xfId="12383" xr:uid="{00000000-0005-0000-0000-00005F300000}"/>
    <cellStyle name="Normal 138 7" xfId="12384" xr:uid="{00000000-0005-0000-0000-000060300000}"/>
    <cellStyle name="Normal 139" xfId="12385" xr:uid="{00000000-0005-0000-0000-000061300000}"/>
    <cellStyle name="Normal 139 2" xfId="12386" xr:uid="{00000000-0005-0000-0000-000062300000}"/>
    <cellStyle name="Normal 139 2 2" xfId="12387" xr:uid="{00000000-0005-0000-0000-000063300000}"/>
    <cellStyle name="Normal 139 2 2 2" xfId="12388" xr:uid="{00000000-0005-0000-0000-000064300000}"/>
    <cellStyle name="Normal 139 2 3" xfId="12389" xr:uid="{00000000-0005-0000-0000-000065300000}"/>
    <cellStyle name="Normal 139 2 3 2" xfId="12390" xr:uid="{00000000-0005-0000-0000-000066300000}"/>
    <cellStyle name="Normal 139 2 3 2 2" xfId="12391" xr:uid="{00000000-0005-0000-0000-000067300000}"/>
    <cellStyle name="Normal 139 2 3 3" xfId="12392" xr:uid="{00000000-0005-0000-0000-000068300000}"/>
    <cellStyle name="Normal 139 2 4" xfId="12393" xr:uid="{00000000-0005-0000-0000-000069300000}"/>
    <cellStyle name="Normal 139 2 4 2" xfId="12394" xr:uid="{00000000-0005-0000-0000-00006A300000}"/>
    <cellStyle name="Normal 139 2 4 2 2" xfId="12395" xr:uid="{00000000-0005-0000-0000-00006B300000}"/>
    <cellStyle name="Normal 139 2 4 3" xfId="12396" xr:uid="{00000000-0005-0000-0000-00006C300000}"/>
    <cellStyle name="Normal 139 2 5" xfId="12397" xr:uid="{00000000-0005-0000-0000-00006D300000}"/>
    <cellStyle name="Normal 139 3" xfId="12398" xr:uid="{00000000-0005-0000-0000-00006E300000}"/>
    <cellStyle name="Normal 139 3 2" xfId="12399" xr:uid="{00000000-0005-0000-0000-00006F300000}"/>
    <cellStyle name="Normal 139 3 2 2" xfId="12400" xr:uid="{00000000-0005-0000-0000-000070300000}"/>
    <cellStyle name="Normal 139 3 2 2 2" xfId="12401" xr:uid="{00000000-0005-0000-0000-000071300000}"/>
    <cellStyle name="Normal 139 3 2 3" xfId="12402" xr:uid="{00000000-0005-0000-0000-000072300000}"/>
    <cellStyle name="Normal 139 3 2 3 2" xfId="12403" xr:uid="{00000000-0005-0000-0000-000073300000}"/>
    <cellStyle name="Normal 139 3 2 3 2 2" xfId="12404" xr:uid="{00000000-0005-0000-0000-000074300000}"/>
    <cellStyle name="Normal 139 3 2 3 3" xfId="12405" xr:uid="{00000000-0005-0000-0000-000075300000}"/>
    <cellStyle name="Normal 139 3 2 4" xfId="12406" xr:uid="{00000000-0005-0000-0000-000076300000}"/>
    <cellStyle name="Normal 139 3 3" xfId="12407" xr:uid="{00000000-0005-0000-0000-000077300000}"/>
    <cellStyle name="Normal 139 3 3 2" xfId="12408" xr:uid="{00000000-0005-0000-0000-000078300000}"/>
    <cellStyle name="Normal 139 3 3 2 2" xfId="12409" xr:uid="{00000000-0005-0000-0000-000079300000}"/>
    <cellStyle name="Normal 139 3 3 3" xfId="12410" xr:uid="{00000000-0005-0000-0000-00007A300000}"/>
    <cellStyle name="Normal 139 3 4" xfId="12411" xr:uid="{00000000-0005-0000-0000-00007B300000}"/>
    <cellStyle name="Normal 139 3 4 2" xfId="12412" xr:uid="{00000000-0005-0000-0000-00007C300000}"/>
    <cellStyle name="Normal 139 3 4 2 2" xfId="12413" xr:uid="{00000000-0005-0000-0000-00007D300000}"/>
    <cellStyle name="Normal 139 3 4 3" xfId="12414" xr:uid="{00000000-0005-0000-0000-00007E300000}"/>
    <cellStyle name="Normal 139 3 5" xfId="12415" xr:uid="{00000000-0005-0000-0000-00007F300000}"/>
    <cellStyle name="Normal 139 3 5 2" xfId="12416" xr:uid="{00000000-0005-0000-0000-000080300000}"/>
    <cellStyle name="Normal 139 3 5 2 2" xfId="12417" xr:uid="{00000000-0005-0000-0000-000081300000}"/>
    <cellStyle name="Normal 139 3 5 3" xfId="12418" xr:uid="{00000000-0005-0000-0000-000082300000}"/>
    <cellStyle name="Normal 139 3 6" xfId="12419" xr:uid="{00000000-0005-0000-0000-000083300000}"/>
    <cellStyle name="Normal 139 4" xfId="12420" xr:uid="{00000000-0005-0000-0000-000084300000}"/>
    <cellStyle name="Normal 139 4 2" xfId="12421" xr:uid="{00000000-0005-0000-0000-000085300000}"/>
    <cellStyle name="Normal 139 4 2 2" xfId="12422" xr:uid="{00000000-0005-0000-0000-000086300000}"/>
    <cellStyle name="Normal 139 4 3" xfId="12423" xr:uid="{00000000-0005-0000-0000-000087300000}"/>
    <cellStyle name="Normal 139 5" xfId="12424" xr:uid="{00000000-0005-0000-0000-000088300000}"/>
    <cellStyle name="Normal 139 5 2" xfId="12425" xr:uid="{00000000-0005-0000-0000-000089300000}"/>
    <cellStyle name="Normal 139 5 2 2" xfId="12426" xr:uid="{00000000-0005-0000-0000-00008A300000}"/>
    <cellStyle name="Normal 139 5 3" xfId="12427" xr:uid="{00000000-0005-0000-0000-00008B300000}"/>
    <cellStyle name="Normal 139 6" xfId="12428" xr:uid="{00000000-0005-0000-0000-00008C300000}"/>
    <cellStyle name="Normal 139 6 2" xfId="12429" xr:uid="{00000000-0005-0000-0000-00008D300000}"/>
    <cellStyle name="Normal 139 6 2 2" xfId="12430" xr:uid="{00000000-0005-0000-0000-00008E300000}"/>
    <cellStyle name="Normal 139 6 3" xfId="12431" xr:uid="{00000000-0005-0000-0000-00008F300000}"/>
    <cellStyle name="Normal 139 7" xfId="12432" xr:uid="{00000000-0005-0000-0000-000090300000}"/>
    <cellStyle name="Normal 14" xfId="62" xr:uid="{00000000-0005-0000-0000-00003E000000}"/>
    <cellStyle name="Normal 14 2" xfId="12433" xr:uid="{00000000-0005-0000-0000-000091300000}"/>
    <cellStyle name="Normal 14 2 2" xfId="12434" xr:uid="{00000000-0005-0000-0000-000092300000}"/>
    <cellStyle name="Normal 14 2 2 2" xfId="12435" xr:uid="{00000000-0005-0000-0000-000093300000}"/>
    <cellStyle name="Normal 14 2 2 2 2" xfId="12436" xr:uid="{00000000-0005-0000-0000-000094300000}"/>
    <cellStyle name="Normal 14 2 2 3" xfId="12437" xr:uid="{00000000-0005-0000-0000-000095300000}"/>
    <cellStyle name="Normal 14 2 2 3 2" xfId="12438" xr:uid="{00000000-0005-0000-0000-000096300000}"/>
    <cellStyle name="Normal 14 2 2 3 2 2" xfId="12439" xr:uid="{00000000-0005-0000-0000-000097300000}"/>
    <cellStyle name="Normal 14 2 2 3 3" xfId="12440" xr:uid="{00000000-0005-0000-0000-000098300000}"/>
    <cellStyle name="Normal 14 2 2 4" xfId="12441" xr:uid="{00000000-0005-0000-0000-000099300000}"/>
    <cellStyle name="Normal 14 2 2 4 2" xfId="12442" xr:uid="{00000000-0005-0000-0000-00009A300000}"/>
    <cellStyle name="Normal 14 2 2 4 2 2" xfId="12443" xr:uid="{00000000-0005-0000-0000-00009B300000}"/>
    <cellStyle name="Normal 14 2 2 4 3" xfId="12444" xr:uid="{00000000-0005-0000-0000-00009C300000}"/>
    <cellStyle name="Normal 14 2 2 5" xfId="12445" xr:uid="{00000000-0005-0000-0000-00009D300000}"/>
    <cellStyle name="Normal 14 2 3" xfId="12446" xr:uid="{00000000-0005-0000-0000-00009E300000}"/>
    <cellStyle name="Normal 14 2 3 2" xfId="12447" xr:uid="{00000000-0005-0000-0000-00009F300000}"/>
    <cellStyle name="Normal 14 2 3 2 2" xfId="12448" xr:uid="{00000000-0005-0000-0000-0000A0300000}"/>
    <cellStyle name="Normal 14 2 3 2 2 2" xfId="12449" xr:uid="{00000000-0005-0000-0000-0000A1300000}"/>
    <cellStyle name="Normal 14 2 3 2 3" xfId="12450" xr:uid="{00000000-0005-0000-0000-0000A2300000}"/>
    <cellStyle name="Normal 14 2 3 2 3 2" xfId="12451" xr:uid="{00000000-0005-0000-0000-0000A3300000}"/>
    <cellStyle name="Normal 14 2 3 2 3 2 2" xfId="12452" xr:uid="{00000000-0005-0000-0000-0000A4300000}"/>
    <cellStyle name="Normal 14 2 3 2 3 3" xfId="12453" xr:uid="{00000000-0005-0000-0000-0000A5300000}"/>
    <cellStyle name="Normal 14 2 3 2 4" xfId="12454" xr:uid="{00000000-0005-0000-0000-0000A6300000}"/>
    <cellStyle name="Normal 14 2 3 3" xfId="12455" xr:uid="{00000000-0005-0000-0000-0000A7300000}"/>
    <cellStyle name="Normal 14 2 3 3 2" xfId="12456" xr:uid="{00000000-0005-0000-0000-0000A8300000}"/>
    <cellStyle name="Normal 14 2 3 3 2 2" xfId="12457" xr:uid="{00000000-0005-0000-0000-0000A9300000}"/>
    <cellStyle name="Normal 14 2 3 3 3" xfId="12458" xr:uid="{00000000-0005-0000-0000-0000AA300000}"/>
    <cellStyle name="Normal 14 2 3 4" xfId="12459" xr:uid="{00000000-0005-0000-0000-0000AB300000}"/>
    <cellStyle name="Normal 14 2 3 4 2" xfId="12460" xr:uid="{00000000-0005-0000-0000-0000AC300000}"/>
    <cellStyle name="Normal 14 2 3 4 2 2" xfId="12461" xr:uid="{00000000-0005-0000-0000-0000AD300000}"/>
    <cellStyle name="Normal 14 2 3 4 3" xfId="12462" xr:uid="{00000000-0005-0000-0000-0000AE300000}"/>
    <cellStyle name="Normal 14 2 3 5" xfId="12463" xr:uid="{00000000-0005-0000-0000-0000AF300000}"/>
    <cellStyle name="Normal 14 2 3 5 2" xfId="12464" xr:uid="{00000000-0005-0000-0000-0000B0300000}"/>
    <cellStyle name="Normal 14 2 3 5 2 2" xfId="12465" xr:uid="{00000000-0005-0000-0000-0000B1300000}"/>
    <cellStyle name="Normal 14 2 3 5 3" xfId="12466" xr:uid="{00000000-0005-0000-0000-0000B2300000}"/>
    <cellStyle name="Normal 14 2 3 6" xfId="12467" xr:uid="{00000000-0005-0000-0000-0000B3300000}"/>
    <cellStyle name="Normal 14 2 4" xfId="12468" xr:uid="{00000000-0005-0000-0000-0000B4300000}"/>
    <cellStyle name="Normal 14 3" xfId="12469" xr:uid="{00000000-0005-0000-0000-0000B5300000}"/>
    <cellStyle name="Normal 14 3 2" xfId="12470" xr:uid="{00000000-0005-0000-0000-0000B6300000}"/>
    <cellStyle name="Normal 14 3 2 2" xfId="12471" xr:uid="{00000000-0005-0000-0000-0000B7300000}"/>
    <cellStyle name="Normal 14 3 2 2 2" xfId="12472" xr:uid="{00000000-0005-0000-0000-0000B8300000}"/>
    <cellStyle name="Normal 14 3 2 3" xfId="12473" xr:uid="{00000000-0005-0000-0000-0000B9300000}"/>
    <cellStyle name="Normal 14 3 2 3 2" xfId="12474" xr:uid="{00000000-0005-0000-0000-0000BA300000}"/>
    <cellStyle name="Normal 14 3 2 3 2 2" xfId="12475" xr:uid="{00000000-0005-0000-0000-0000BB300000}"/>
    <cellStyle name="Normal 14 3 2 3 3" xfId="12476" xr:uid="{00000000-0005-0000-0000-0000BC300000}"/>
    <cellStyle name="Normal 14 3 2 4" xfId="12477" xr:uid="{00000000-0005-0000-0000-0000BD300000}"/>
    <cellStyle name="Normal 14 3 2 4 2" xfId="12478" xr:uid="{00000000-0005-0000-0000-0000BE300000}"/>
    <cellStyle name="Normal 14 3 2 4 2 2" xfId="12479" xr:uid="{00000000-0005-0000-0000-0000BF300000}"/>
    <cellStyle name="Normal 14 3 2 4 3" xfId="12480" xr:uid="{00000000-0005-0000-0000-0000C0300000}"/>
    <cellStyle name="Normal 14 3 2 5" xfId="12481" xr:uid="{00000000-0005-0000-0000-0000C1300000}"/>
    <cellStyle name="Normal 14 3 3" xfId="12482" xr:uid="{00000000-0005-0000-0000-0000C2300000}"/>
    <cellStyle name="Normal 14 3 3 2" xfId="12483" xr:uid="{00000000-0005-0000-0000-0000C3300000}"/>
    <cellStyle name="Normal 14 3 3 2 2" xfId="12484" xr:uid="{00000000-0005-0000-0000-0000C4300000}"/>
    <cellStyle name="Normal 14 3 3 3" xfId="12485" xr:uid="{00000000-0005-0000-0000-0000C5300000}"/>
    <cellStyle name="Normal 14 3 4" xfId="12486" xr:uid="{00000000-0005-0000-0000-0000C6300000}"/>
    <cellStyle name="Normal 14 3 4 2" xfId="12487" xr:uid="{00000000-0005-0000-0000-0000C7300000}"/>
    <cellStyle name="Normal 14 3 4 2 2" xfId="12488" xr:uid="{00000000-0005-0000-0000-0000C8300000}"/>
    <cellStyle name="Normal 14 3 4 3" xfId="12489" xr:uid="{00000000-0005-0000-0000-0000C9300000}"/>
    <cellStyle name="Normal 14 3 5" xfId="12490" xr:uid="{00000000-0005-0000-0000-0000CA300000}"/>
    <cellStyle name="Normal 14 3 5 2" xfId="12491" xr:uid="{00000000-0005-0000-0000-0000CB300000}"/>
    <cellStyle name="Normal 14 3 5 2 2" xfId="12492" xr:uid="{00000000-0005-0000-0000-0000CC300000}"/>
    <cellStyle name="Normal 14 3 5 3" xfId="12493" xr:uid="{00000000-0005-0000-0000-0000CD300000}"/>
    <cellStyle name="Normal 14 3 6" xfId="12494" xr:uid="{00000000-0005-0000-0000-0000CE300000}"/>
    <cellStyle name="Normal 14 4" xfId="12495" xr:uid="{00000000-0005-0000-0000-0000CF300000}"/>
    <cellStyle name="Normal 14 4 2" xfId="12496" xr:uid="{00000000-0005-0000-0000-0000D0300000}"/>
    <cellStyle name="Normal 14 4 2 2" xfId="12497" xr:uid="{00000000-0005-0000-0000-0000D1300000}"/>
    <cellStyle name="Normal 14 4 3" xfId="12498" xr:uid="{00000000-0005-0000-0000-0000D2300000}"/>
    <cellStyle name="Normal 14 4 3 2" xfId="12499" xr:uid="{00000000-0005-0000-0000-0000D3300000}"/>
    <cellStyle name="Normal 14 4 3 2 2" xfId="12500" xr:uid="{00000000-0005-0000-0000-0000D4300000}"/>
    <cellStyle name="Normal 14 4 3 3" xfId="12501" xr:uid="{00000000-0005-0000-0000-0000D5300000}"/>
    <cellStyle name="Normal 14 4 4" xfId="12502" xr:uid="{00000000-0005-0000-0000-0000D6300000}"/>
    <cellStyle name="Normal 14 4 4 2" xfId="12503" xr:uid="{00000000-0005-0000-0000-0000D7300000}"/>
    <cellStyle name="Normal 14 4 4 2 2" xfId="12504" xr:uid="{00000000-0005-0000-0000-0000D8300000}"/>
    <cellStyle name="Normal 14 4 4 3" xfId="12505" xr:uid="{00000000-0005-0000-0000-0000D9300000}"/>
    <cellStyle name="Normal 14 4 5" xfId="12506" xr:uid="{00000000-0005-0000-0000-0000DA300000}"/>
    <cellStyle name="Normal 14 5" xfId="12507" xr:uid="{00000000-0005-0000-0000-0000DB300000}"/>
    <cellStyle name="Normal 14 5 2" xfId="12508" xr:uid="{00000000-0005-0000-0000-0000DC300000}"/>
    <cellStyle name="Normal 14 5 2 2" xfId="12509" xr:uid="{00000000-0005-0000-0000-0000DD300000}"/>
    <cellStyle name="Normal 14 5 2 2 2" xfId="12510" xr:uid="{00000000-0005-0000-0000-0000DE300000}"/>
    <cellStyle name="Normal 14 5 2 3" xfId="12511" xr:uid="{00000000-0005-0000-0000-0000DF300000}"/>
    <cellStyle name="Normal 14 5 2 3 2" xfId="12512" xr:uid="{00000000-0005-0000-0000-0000E0300000}"/>
    <cellStyle name="Normal 14 5 2 3 2 2" xfId="12513" xr:uid="{00000000-0005-0000-0000-0000E1300000}"/>
    <cellStyle name="Normal 14 5 2 3 3" xfId="12514" xr:uid="{00000000-0005-0000-0000-0000E2300000}"/>
    <cellStyle name="Normal 14 5 2 4" xfId="12515" xr:uid="{00000000-0005-0000-0000-0000E3300000}"/>
    <cellStyle name="Normal 14 5 3" xfId="12516" xr:uid="{00000000-0005-0000-0000-0000E4300000}"/>
    <cellStyle name="Normal 14 5 3 2" xfId="12517" xr:uid="{00000000-0005-0000-0000-0000E5300000}"/>
    <cellStyle name="Normal 14 5 3 2 2" xfId="12518" xr:uid="{00000000-0005-0000-0000-0000E6300000}"/>
    <cellStyle name="Normal 14 5 3 3" xfId="12519" xr:uid="{00000000-0005-0000-0000-0000E7300000}"/>
    <cellStyle name="Normal 14 5 4" xfId="12520" xr:uid="{00000000-0005-0000-0000-0000E8300000}"/>
    <cellStyle name="Normal 14 5 4 2" xfId="12521" xr:uid="{00000000-0005-0000-0000-0000E9300000}"/>
    <cellStyle name="Normal 14 5 4 2 2" xfId="12522" xr:uid="{00000000-0005-0000-0000-0000EA300000}"/>
    <cellStyle name="Normal 14 5 4 3" xfId="12523" xr:uid="{00000000-0005-0000-0000-0000EB300000}"/>
    <cellStyle name="Normal 14 5 5" xfId="12524" xr:uid="{00000000-0005-0000-0000-0000EC300000}"/>
    <cellStyle name="Normal 14 5 5 2" xfId="12525" xr:uid="{00000000-0005-0000-0000-0000ED300000}"/>
    <cellStyle name="Normal 14 5 5 2 2" xfId="12526" xr:uid="{00000000-0005-0000-0000-0000EE300000}"/>
    <cellStyle name="Normal 14 5 5 3" xfId="12527" xr:uid="{00000000-0005-0000-0000-0000EF300000}"/>
    <cellStyle name="Normal 14 5 6" xfId="12528" xr:uid="{00000000-0005-0000-0000-0000F0300000}"/>
    <cellStyle name="Normal 14 6" xfId="12529" xr:uid="{00000000-0005-0000-0000-0000F1300000}"/>
    <cellStyle name="Normal 14 6 2" xfId="12530" xr:uid="{00000000-0005-0000-0000-0000F2300000}"/>
    <cellStyle name="Normal 14 6 2 2" xfId="12531" xr:uid="{00000000-0005-0000-0000-0000F3300000}"/>
    <cellStyle name="Normal 14 6 2 2 2" xfId="12532" xr:uid="{00000000-0005-0000-0000-0000F4300000}"/>
    <cellStyle name="Normal 14 6 2 3" xfId="12533" xr:uid="{00000000-0005-0000-0000-0000F5300000}"/>
    <cellStyle name="Normal 14 6 2 3 2" xfId="12534" xr:uid="{00000000-0005-0000-0000-0000F6300000}"/>
    <cellStyle name="Normal 14 6 2 3 2 2" xfId="12535" xr:uid="{00000000-0005-0000-0000-0000F7300000}"/>
    <cellStyle name="Normal 14 6 2 3 3" xfId="12536" xr:uid="{00000000-0005-0000-0000-0000F8300000}"/>
    <cellStyle name="Normal 14 6 2 4" xfId="12537" xr:uid="{00000000-0005-0000-0000-0000F9300000}"/>
    <cellStyle name="Normal 14 6 3" xfId="12538" xr:uid="{00000000-0005-0000-0000-0000FA300000}"/>
    <cellStyle name="Normal 14 6 3 2" xfId="12539" xr:uid="{00000000-0005-0000-0000-0000FB300000}"/>
    <cellStyle name="Normal 14 6 3 2 2" xfId="12540" xr:uid="{00000000-0005-0000-0000-0000FC300000}"/>
    <cellStyle name="Normal 14 6 3 3" xfId="12541" xr:uid="{00000000-0005-0000-0000-0000FD300000}"/>
    <cellStyle name="Normal 14 6 4" xfId="12542" xr:uid="{00000000-0005-0000-0000-0000FE300000}"/>
    <cellStyle name="Normal 14 6 4 2" xfId="12543" xr:uid="{00000000-0005-0000-0000-0000FF300000}"/>
    <cellStyle name="Normal 14 6 4 2 2" xfId="12544" xr:uid="{00000000-0005-0000-0000-000000310000}"/>
    <cellStyle name="Normal 14 6 4 3" xfId="12545" xr:uid="{00000000-0005-0000-0000-000001310000}"/>
    <cellStyle name="Normal 14 6 5" xfId="12546" xr:uid="{00000000-0005-0000-0000-000002310000}"/>
    <cellStyle name="Normal 14 7" xfId="12547" xr:uid="{00000000-0005-0000-0000-000003310000}"/>
    <cellStyle name="Normal 14 7 2" xfId="12548" xr:uid="{00000000-0005-0000-0000-000004310000}"/>
    <cellStyle name="Normal 14 8" xfId="12549" xr:uid="{00000000-0005-0000-0000-000005310000}"/>
    <cellStyle name="Normal 14 9" xfId="12550" xr:uid="{00000000-0005-0000-0000-000006310000}"/>
    <cellStyle name="Normal 140" xfId="12551" xr:uid="{00000000-0005-0000-0000-000007310000}"/>
    <cellStyle name="Normal 140 2" xfId="12552" xr:uid="{00000000-0005-0000-0000-000008310000}"/>
    <cellStyle name="Normal 140 2 2" xfId="12553" xr:uid="{00000000-0005-0000-0000-000009310000}"/>
    <cellStyle name="Normal 140 2 2 2" xfId="12554" xr:uid="{00000000-0005-0000-0000-00000A310000}"/>
    <cellStyle name="Normal 140 2 3" xfId="12555" xr:uid="{00000000-0005-0000-0000-00000B310000}"/>
    <cellStyle name="Normal 140 2 3 2" xfId="12556" xr:uid="{00000000-0005-0000-0000-00000C310000}"/>
    <cellStyle name="Normal 140 2 3 2 2" xfId="12557" xr:uid="{00000000-0005-0000-0000-00000D310000}"/>
    <cellStyle name="Normal 140 2 3 3" xfId="12558" xr:uid="{00000000-0005-0000-0000-00000E310000}"/>
    <cellStyle name="Normal 140 2 4" xfId="12559" xr:uid="{00000000-0005-0000-0000-00000F310000}"/>
    <cellStyle name="Normal 140 2 4 2" xfId="12560" xr:uid="{00000000-0005-0000-0000-000010310000}"/>
    <cellStyle name="Normal 140 2 4 2 2" xfId="12561" xr:uid="{00000000-0005-0000-0000-000011310000}"/>
    <cellStyle name="Normal 140 2 4 3" xfId="12562" xr:uid="{00000000-0005-0000-0000-000012310000}"/>
    <cellStyle name="Normal 140 2 5" xfId="12563" xr:uid="{00000000-0005-0000-0000-000013310000}"/>
    <cellStyle name="Normal 140 3" xfId="12564" xr:uid="{00000000-0005-0000-0000-000014310000}"/>
    <cellStyle name="Normal 140 3 2" xfId="12565" xr:uid="{00000000-0005-0000-0000-000015310000}"/>
    <cellStyle name="Normal 140 3 2 2" xfId="12566" xr:uid="{00000000-0005-0000-0000-000016310000}"/>
    <cellStyle name="Normal 140 3 2 2 2" xfId="12567" xr:uid="{00000000-0005-0000-0000-000017310000}"/>
    <cellStyle name="Normal 140 3 2 3" xfId="12568" xr:uid="{00000000-0005-0000-0000-000018310000}"/>
    <cellStyle name="Normal 140 3 2 3 2" xfId="12569" xr:uid="{00000000-0005-0000-0000-000019310000}"/>
    <cellStyle name="Normal 140 3 2 3 2 2" xfId="12570" xr:uid="{00000000-0005-0000-0000-00001A310000}"/>
    <cellStyle name="Normal 140 3 2 3 3" xfId="12571" xr:uid="{00000000-0005-0000-0000-00001B310000}"/>
    <cellStyle name="Normal 140 3 2 4" xfId="12572" xr:uid="{00000000-0005-0000-0000-00001C310000}"/>
    <cellStyle name="Normal 140 3 3" xfId="12573" xr:uid="{00000000-0005-0000-0000-00001D310000}"/>
    <cellStyle name="Normal 140 3 3 2" xfId="12574" xr:uid="{00000000-0005-0000-0000-00001E310000}"/>
    <cellStyle name="Normal 140 3 3 2 2" xfId="12575" xr:uid="{00000000-0005-0000-0000-00001F310000}"/>
    <cellStyle name="Normal 140 3 3 3" xfId="12576" xr:uid="{00000000-0005-0000-0000-000020310000}"/>
    <cellStyle name="Normal 140 3 4" xfId="12577" xr:uid="{00000000-0005-0000-0000-000021310000}"/>
    <cellStyle name="Normal 140 3 4 2" xfId="12578" xr:uid="{00000000-0005-0000-0000-000022310000}"/>
    <cellStyle name="Normal 140 3 4 2 2" xfId="12579" xr:uid="{00000000-0005-0000-0000-000023310000}"/>
    <cellStyle name="Normal 140 3 4 3" xfId="12580" xr:uid="{00000000-0005-0000-0000-000024310000}"/>
    <cellStyle name="Normal 140 3 5" xfId="12581" xr:uid="{00000000-0005-0000-0000-000025310000}"/>
    <cellStyle name="Normal 140 3 5 2" xfId="12582" xr:uid="{00000000-0005-0000-0000-000026310000}"/>
    <cellStyle name="Normal 140 3 5 2 2" xfId="12583" xr:uid="{00000000-0005-0000-0000-000027310000}"/>
    <cellStyle name="Normal 140 3 5 3" xfId="12584" xr:uid="{00000000-0005-0000-0000-000028310000}"/>
    <cellStyle name="Normal 140 3 6" xfId="12585" xr:uid="{00000000-0005-0000-0000-000029310000}"/>
    <cellStyle name="Normal 140 4" xfId="12586" xr:uid="{00000000-0005-0000-0000-00002A310000}"/>
    <cellStyle name="Normal 140 4 2" xfId="12587" xr:uid="{00000000-0005-0000-0000-00002B310000}"/>
    <cellStyle name="Normal 140 4 2 2" xfId="12588" xr:uid="{00000000-0005-0000-0000-00002C310000}"/>
    <cellStyle name="Normal 140 4 3" xfId="12589" xr:uid="{00000000-0005-0000-0000-00002D310000}"/>
    <cellStyle name="Normal 140 5" xfId="12590" xr:uid="{00000000-0005-0000-0000-00002E310000}"/>
    <cellStyle name="Normal 140 5 2" xfId="12591" xr:uid="{00000000-0005-0000-0000-00002F310000}"/>
    <cellStyle name="Normal 140 5 2 2" xfId="12592" xr:uid="{00000000-0005-0000-0000-000030310000}"/>
    <cellStyle name="Normal 140 5 3" xfId="12593" xr:uid="{00000000-0005-0000-0000-000031310000}"/>
    <cellStyle name="Normal 140 6" xfId="12594" xr:uid="{00000000-0005-0000-0000-000032310000}"/>
    <cellStyle name="Normal 140 6 2" xfId="12595" xr:uid="{00000000-0005-0000-0000-000033310000}"/>
    <cellStyle name="Normal 140 6 2 2" xfId="12596" xr:uid="{00000000-0005-0000-0000-000034310000}"/>
    <cellStyle name="Normal 140 6 3" xfId="12597" xr:uid="{00000000-0005-0000-0000-000035310000}"/>
    <cellStyle name="Normal 140 7" xfId="12598" xr:uid="{00000000-0005-0000-0000-000036310000}"/>
    <cellStyle name="Normal 141" xfId="12599" xr:uid="{00000000-0005-0000-0000-000037310000}"/>
    <cellStyle name="Normal 141 2" xfId="12600" xr:uid="{00000000-0005-0000-0000-000038310000}"/>
    <cellStyle name="Normal 141 2 2" xfId="12601" xr:uid="{00000000-0005-0000-0000-000039310000}"/>
    <cellStyle name="Normal 141 2 2 2" xfId="12602" xr:uid="{00000000-0005-0000-0000-00003A310000}"/>
    <cellStyle name="Normal 141 2 3" xfId="12603" xr:uid="{00000000-0005-0000-0000-00003B310000}"/>
    <cellStyle name="Normal 141 2 3 2" xfId="12604" xr:uid="{00000000-0005-0000-0000-00003C310000}"/>
    <cellStyle name="Normal 141 2 3 2 2" xfId="12605" xr:uid="{00000000-0005-0000-0000-00003D310000}"/>
    <cellStyle name="Normal 141 2 3 3" xfId="12606" xr:uid="{00000000-0005-0000-0000-00003E310000}"/>
    <cellStyle name="Normal 141 2 4" xfId="12607" xr:uid="{00000000-0005-0000-0000-00003F310000}"/>
    <cellStyle name="Normal 141 2 4 2" xfId="12608" xr:uid="{00000000-0005-0000-0000-000040310000}"/>
    <cellStyle name="Normal 141 2 4 2 2" xfId="12609" xr:uid="{00000000-0005-0000-0000-000041310000}"/>
    <cellStyle name="Normal 141 2 4 3" xfId="12610" xr:uid="{00000000-0005-0000-0000-000042310000}"/>
    <cellStyle name="Normal 141 2 5" xfId="12611" xr:uid="{00000000-0005-0000-0000-000043310000}"/>
    <cellStyle name="Normal 141 3" xfId="12612" xr:uid="{00000000-0005-0000-0000-000044310000}"/>
    <cellStyle name="Normal 141 3 2" xfId="12613" xr:uid="{00000000-0005-0000-0000-000045310000}"/>
    <cellStyle name="Normal 141 3 2 2" xfId="12614" xr:uid="{00000000-0005-0000-0000-000046310000}"/>
    <cellStyle name="Normal 141 3 2 2 2" xfId="12615" xr:uid="{00000000-0005-0000-0000-000047310000}"/>
    <cellStyle name="Normal 141 3 2 3" xfId="12616" xr:uid="{00000000-0005-0000-0000-000048310000}"/>
    <cellStyle name="Normal 141 3 2 3 2" xfId="12617" xr:uid="{00000000-0005-0000-0000-000049310000}"/>
    <cellStyle name="Normal 141 3 2 3 2 2" xfId="12618" xr:uid="{00000000-0005-0000-0000-00004A310000}"/>
    <cellStyle name="Normal 141 3 2 3 3" xfId="12619" xr:uid="{00000000-0005-0000-0000-00004B310000}"/>
    <cellStyle name="Normal 141 3 2 4" xfId="12620" xr:uid="{00000000-0005-0000-0000-00004C310000}"/>
    <cellStyle name="Normal 141 3 3" xfId="12621" xr:uid="{00000000-0005-0000-0000-00004D310000}"/>
    <cellStyle name="Normal 141 3 3 2" xfId="12622" xr:uid="{00000000-0005-0000-0000-00004E310000}"/>
    <cellStyle name="Normal 141 3 3 2 2" xfId="12623" xr:uid="{00000000-0005-0000-0000-00004F310000}"/>
    <cellStyle name="Normal 141 3 3 3" xfId="12624" xr:uid="{00000000-0005-0000-0000-000050310000}"/>
    <cellStyle name="Normal 141 3 4" xfId="12625" xr:uid="{00000000-0005-0000-0000-000051310000}"/>
    <cellStyle name="Normal 141 3 4 2" xfId="12626" xr:uid="{00000000-0005-0000-0000-000052310000}"/>
    <cellStyle name="Normal 141 3 4 2 2" xfId="12627" xr:uid="{00000000-0005-0000-0000-000053310000}"/>
    <cellStyle name="Normal 141 3 4 3" xfId="12628" xr:uid="{00000000-0005-0000-0000-000054310000}"/>
    <cellStyle name="Normal 141 3 5" xfId="12629" xr:uid="{00000000-0005-0000-0000-000055310000}"/>
    <cellStyle name="Normal 141 3 5 2" xfId="12630" xr:uid="{00000000-0005-0000-0000-000056310000}"/>
    <cellStyle name="Normal 141 3 5 2 2" xfId="12631" xr:uid="{00000000-0005-0000-0000-000057310000}"/>
    <cellStyle name="Normal 141 3 5 3" xfId="12632" xr:uid="{00000000-0005-0000-0000-000058310000}"/>
    <cellStyle name="Normal 141 3 6" xfId="12633" xr:uid="{00000000-0005-0000-0000-000059310000}"/>
    <cellStyle name="Normal 141 4" xfId="12634" xr:uid="{00000000-0005-0000-0000-00005A310000}"/>
    <cellStyle name="Normal 141 4 2" xfId="12635" xr:uid="{00000000-0005-0000-0000-00005B310000}"/>
    <cellStyle name="Normal 141 4 2 2" xfId="12636" xr:uid="{00000000-0005-0000-0000-00005C310000}"/>
    <cellStyle name="Normal 141 4 3" xfId="12637" xr:uid="{00000000-0005-0000-0000-00005D310000}"/>
    <cellStyle name="Normal 141 5" xfId="12638" xr:uid="{00000000-0005-0000-0000-00005E310000}"/>
    <cellStyle name="Normal 141 5 2" xfId="12639" xr:uid="{00000000-0005-0000-0000-00005F310000}"/>
    <cellStyle name="Normal 141 5 2 2" xfId="12640" xr:uid="{00000000-0005-0000-0000-000060310000}"/>
    <cellStyle name="Normal 141 5 3" xfId="12641" xr:uid="{00000000-0005-0000-0000-000061310000}"/>
    <cellStyle name="Normal 141 6" xfId="12642" xr:uid="{00000000-0005-0000-0000-000062310000}"/>
    <cellStyle name="Normal 141 6 2" xfId="12643" xr:uid="{00000000-0005-0000-0000-000063310000}"/>
    <cellStyle name="Normal 141 6 2 2" xfId="12644" xr:uid="{00000000-0005-0000-0000-000064310000}"/>
    <cellStyle name="Normal 141 6 3" xfId="12645" xr:uid="{00000000-0005-0000-0000-000065310000}"/>
    <cellStyle name="Normal 141 7" xfId="12646" xr:uid="{00000000-0005-0000-0000-000066310000}"/>
    <cellStyle name="Normal 142" xfId="12647" xr:uid="{00000000-0005-0000-0000-000067310000}"/>
    <cellStyle name="Normal 142 2" xfId="12648" xr:uid="{00000000-0005-0000-0000-000068310000}"/>
    <cellStyle name="Normal 142 2 2" xfId="12649" xr:uid="{00000000-0005-0000-0000-000069310000}"/>
    <cellStyle name="Normal 142 2 2 2" xfId="12650" xr:uid="{00000000-0005-0000-0000-00006A310000}"/>
    <cellStyle name="Normal 142 2 3" xfId="12651" xr:uid="{00000000-0005-0000-0000-00006B310000}"/>
    <cellStyle name="Normal 142 2 3 2" xfId="12652" xr:uid="{00000000-0005-0000-0000-00006C310000}"/>
    <cellStyle name="Normal 142 2 3 2 2" xfId="12653" xr:uid="{00000000-0005-0000-0000-00006D310000}"/>
    <cellStyle name="Normal 142 2 3 3" xfId="12654" xr:uid="{00000000-0005-0000-0000-00006E310000}"/>
    <cellStyle name="Normal 142 2 4" xfId="12655" xr:uid="{00000000-0005-0000-0000-00006F310000}"/>
    <cellStyle name="Normal 142 2 4 2" xfId="12656" xr:uid="{00000000-0005-0000-0000-000070310000}"/>
    <cellStyle name="Normal 142 2 4 2 2" xfId="12657" xr:uid="{00000000-0005-0000-0000-000071310000}"/>
    <cellStyle name="Normal 142 2 4 3" xfId="12658" xr:uid="{00000000-0005-0000-0000-000072310000}"/>
    <cellStyle name="Normal 142 2 5" xfId="12659" xr:uid="{00000000-0005-0000-0000-000073310000}"/>
    <cellStyle name="Normal 142 3" xfId="12660" xr:uid="{00000000-0005-0000-0000-000074310000}"/>
    <cellStyle name="Normal 142 3 2" xfId="12661" xr:uid="{00000000-0005-0000-0000-000075310000}"/>
    <cellStyle name="Normal 142 3 2 2" xfId="12662" xr:uid="{00000000-0005-0000-0000-000076310000}"/>
    <cellStyle name="Normal 142 3 2 2 2" xfId="12663" xr:uid="{00000000-0005-0000-0000-000077310000}"/>
    <cellStyle name="Normal 142 3 2 3" xfId="12664" xr:uid="{00000000-0005-0000-0000-000078310000}"/>
    <cellStyle name="Normal 142 3 2 3 2" xfId="12665" xr:uid="{00000000-0005-0000-0000-000079310000}"/>
    <cellStyle name="Normal 142 3 2 3 2 2" xfId="12666" xr:uid="{00000000-0005-0000-0000-00007A310000}"/>
    <cellStyle name="Normal 142 3 2 3 3" xfId="12667" xr:uid="{00000000-0005-0000-0000-00007B310000}"/>
    <cellStyle name="Normal 142 3 2 4" xfId="12668" xr:uid="{00000000-0005-0000-0000-00007C310000}"/>
    <cellStyle name="Normal 142 3 3" xfId="12669" xr:uid="{00000000-0005-0000-0000-00007D310000}"/>
    <cellStyle name="Normal 142 3 3 2" xfId="12670" xr:uid="{00000000-0005-0000-0000-00007E310000}"/>
    <cellStyle name="Normal 142 3 3 2 2" xfId="12671" xr:uid="{00000000-0005-0000-0000-00007F310000}"/>
    <cellStyle name="Normal 142 3 3 3" xfId="12672" xr:uid="{00000000-0005-0000-0000-000080310000}"/>
    <cellStyle name="Normal 142 3 4" xfId="12673" xr:uid="{00000000-0005-0000-0000-000081310000}"/>
    <cellStyle name="Normal 142 3 4 2" xfId="12674" xr:uid="{00000000-0005-0000-0000-000082310000}"/>
    <cellStyle name="Normal 142 3 4 2 2" xfId="12675" xr:uid="{00000000-0005-0000-0000-000083310000}"/>
    <cellStyle name="Normal 142 3 4 3" xfId="12676" xr:uid="{00000000-0005-0000-0000-000084310000}"/>
    <cellStyle name="Normal 142 3 5" xfId="12677" xr:uid="{00000000-0005-0000-0000-000085310000}"/>
    <cellStyle name="Normal 142 3 5 2" xfId="12678" xr:uid="{00000000-0005-0000-0000-000086310000}"/>
    <cellStyle name="Normal 142 3 5 2 2" xfId="12679" xr:uid="{00000000-0005-0000-0000-000087310000}"/>
    <cellStyle name="Normal 142 3 5 3" xfId="12680" xr:uid="{00000000-0005-0000-0000-000088310000}"/>
    <cellStyle name="Normal 142 3 6" xfId="12681" xr:uid="{00000000-0005-0000-0000-000089310000}"/>
    <cellStyle name="Normal 142 4" xfId="12682" xr:uid="{00000000-0005-0000-0000-00008A310000}"/>
    <cellStyle name="Normal 142 4 2" xfId="12683" xr:uid="{00000000-0005-0000-0000-00008B310000}"/>
    <cellStyle name="Normal 142 4 2 2" xfId="12684" xr:uid="{00000000-0005-0000-0000-00008C310000}"/>
    <cellStyle name="Normal 142 4 3" xfId="12685" xr:uid="{00000000-0005-0000-0000-00008D310000}"/>
    <cellStyle name="Normal 142 5" xfId="12686" xr:uid="{00000000-0005-0000-0000-00008E310000}"/>
    <cellStyle name="Normal 142 5 2" xfId="12687" xr:uid="{00000000-0005-0000-0000-00008F310000}"/>
    <cellStyle name="Normal 142 5 2 2" xfId="12688" xr:uid="{00000000-0005-0000-0000-000090310000}"/>
    <cellStyle name="Normal 142 5 3" xfId="12689" xr:uid="{00000000-0005-0000-0000-000091310000}"/>
    <cellStyle name="Normal 142 6" xfId="12690" xr:uid="{00000000-0005-0000-0000-000092310000}"/>
    <cellStyle name="Normal 142 6 2" xfId="12691" xr:uid="{00000000-0005-0000-0000-000093310000}"/>
    <cellStyle name="Normal 142 6 2 2" xfId="12692" xr:uid="{00000000-0005-0000-0000-000094310000}"/>
    <cellStyle name="Normal 142 6 3" xfId="12693" xr:uid="{00000000-0005-0000-0000-000095310000}"/>
    <cellStyle name="Normal 142 7" xfId="12694" xr:uid="{00000000-0005-0000-0000-000096310000}"/>
    <cellStyle name="Normal 143" xfId="12695" xr:uid="{00000000-0005-0000-0000-000097310000}"/>
    <cellStyle name="Normal 143 2" xfId="12696" xr:uid="{00000000-0005-0000-0000-000098310000}"/>
    <cellStyle name="Normal 143 2 2" xfId="12697" xr:uid="{00000000-0005-0000-0000-000099310000}"/>
    <cellStyle name="Normal 143 2 2 2" xfId="12698" xr:uid="{00000000-0005-0000-0000-00009A310000}"/>
    <cellStyle name="Normal 143 2 3" xfId="12699" xr:uid="{00000000-0005-0000-0000-00009B310000}"/>
    <cellStyle name="Normal 143 2 3 2" xfId="12700" xr:uid="{00000000-0005-0000-0000-00009C310000}"/>
    <cellStyle name="Normal 143 2 3 2 2" xfId="12701" xr:uid="{00000000-0005-0000-0000-00009D310000}"/>
    <cellStyle name="Normal 143 2 3 3" xfId="12702" xr:uid="{00000000-0005-0000-0000-00009E310000}"/>
    <cellStyle name="Normal 143 2 4" xfId="12703" xr:uid="{00000000-0005-0000-0000-00009F310000}"/>
    <cellStyle name="Normal 143 2 4 2" xfId="12704" xr:uid="{00000000-0005-0000-0000-0000A0310000}"/>
    <cellStyle name="Normal 143 2 4 2 2" xfId="12705" xr:uid="{00000000-0005-0000-0000-0000A1310000}"/>
    <cellStyle name="Normal 143 2 4 3" xfId="12706" xr:uid="{00000000-0005-0000-0000-0000A2310000}"/>
    <cellStyle name="Normal 143 2 5" xfId="12707" xr:uid="{00000000-0005-0000-0000-0000A3310000}"/>
    <cellStyle name="Normal 143 3" xfId="12708" xr:uid="{00000000-0005-0000-0000-0000A4310000}"/>
    <cellStyle name="Normal 143 3 2" xfId="12709" xr:uid="{00000000-0005-0000-0000-0000A5310000}"/>
    <cellStyle name="Normal 143 3 2 2" xfId="12710" xr:uid="{00000000-0005-0000-0000-0000A6310000}"/>
    <cellStyle name="Normal 143 3 2 2 2" xfId="12711" xr:uid="{00000000-0005-0000-0000-0000A7310000}"/>
    <cellStyle name="Normal 143 3 2 3" xfId="12712" xr:uid="{00000000-0005-0000-0000-0000A8310000}"/>
    <cellStyle name="Normal 143 3 2 3 2" xfId="12713" xr:uid="{00000000-0005-0000-0000-0000A9310000}"/>
    <cellStyle name="Normal 143 3 2 3 2 2" xfId="12714" xr:uid="{00000000-0005-0000-0000-0000AA310000}"/>
    <cellStyle name="Normal 143 3 2 3 3" xfId="12715" xr:uid="{00000000-0005-0000-0000-0000AB310000}"/>
    <cellStyle name="Normal 143 3 2 4" xfId="12716" xr:uid="{00000000-0005-0000-0000-0000AC310000}"/>
    <cellStyle name="Normal 143 3 3" xfId="12717" xr:uid="{00000000-0005-0000-0000-0000AD310000}"/>
    <cellStyle name="Normal 143 3 3 2" xfId="12718" xr:uid="{00000000-0005-0000-0000-0000AE310000}"/>
    <cellStyle name="Normal 143 3 3 2 2" xfId="12719" xr:uid="{00000000-0005-0000-0000-0000AF310000}"/>
    <cellStyle name="Normal 143 3 3 3" xfId="12720" xr:uid="{00000000-0005-0000-0000-0000B0310000}"/>
    <cellStyle name="Normal 143 3 4" xfId="12721" xr:uid="{00000000-0005-0000-0000-0000B1310000}"/>
    <cellStyle name="Normal 143 3 4 2" xfId="12722" xr:uid="{00000000-0005-0000-0000-0000B2310000}"/>
    <cellStyle name="Normal 143 3 4 2 2" xfId="12723" xr:uid="{00000000-0005-0000-0000-0000B3310000}"/>
    <cellStyle name="Normal 143 3 4 3" xfId="12724" xr:uid="{00000000-0005-0000-0000-0000B4310000}"/>
    <cellStyle name="Normal 143 3 5" xfId="12725" xr:uid="{00000000-0005-0000-0000-0000B5310000}"/>
    <cellStyle name="Normal 143 3 5 2" xfId="12726" xr:uid="{00000000-0005-0000-0000-0000B6310000}"/>
    <cellStyle name="Normal 143 3 5 2 2" xfId="12727" xr:uid="{00000000-0005-0000-0000-0000B7310000}"/>
    <cellStyle name="Normal 143 3 5 3" xfId="12728" xr:uid="{00000000-0005-0000-0000-0000B8310000}"/>
    <cellStyle name="Normal 143 3 6" xfId="12729" xr:uid="{00000000-0005-0000-0000-0000B9310000}"/>
    <cellStyle name="Normal 143 4" xfId="12730" xr:uid="{00000000-0005-0000-0000-0000BA310000}"/>
    <cellStyle name="Normal 143 4 2" xfId="12731" xr:uid="{00000000-0005-0000-0000-0000BB310000}"/>
    <cellStyle name="Normal 143 4 2 2" xfId="12732" xr:uid="{00000000-0005-0000-0000-0000BC310000}"/>
    <cellStyle name="Normal 143 4 3" xfId="12733" xr:uid="{00000000-0005-0000-0000-0000BD310000}"/>
    <cellStyle name="Normal 143 5" xfId="12734" xr:uid="{00000000-0005-0000-0000-0000BE310000}"/>
    <cellStyle name="Normal 143 5 2" xfId="12735" xr:uid="{00000000-0005-0000-0000-0000BF310000}"/>
    <cellStyle name="Normal 143 5 2 2" xfId="12736" xr:uid="{00000000-0005-0000-0000-0000C0310000}"/>
    <cellStyle name="Normal 143 5 3" xfId="12737" xr:uid="{00000000-0005-0000-0000-0000C1310000}"/>
    <cellStyle name="Normal 143 6" xfId="12738" xr:uid="{00000000-0005-0000-0000-0000C2310000}"/>
    <cellStyle name="Normal 143 6 2" xfId="12739" xr:uid="{00000000-0005-0000-0000-0000C3310000}"/>
    <cellStyle name="Normal 143 6 2 2" xfId="12740" xr:uid="{00000000-0005-0000-0000-0000C4310000}"/>
    <cellStyle name="Normal 143 6 3" xfId="12741" xr:uid="{00000000-0005-0000-0000-0000C5310000}"/>
    <cellStyle name="Normal 143 7" xfId="12742" xr:uid="{00000000-0005-0000-0000-0000C6310000}"/>
    <cellStyle name="Normal 144" xfId="12743" xr:uid="{00000000-0005-0000-0000-0000C7310000}"/>
    <cellStyle name="Normal 144 2" xfId="12744" xr:uid="{00000000-0005-0000-0000-0000C8310000}"/>
    <cellStyle name="Normal 144 2 2" xfId="12745" xr:uid="{00000000-0005-0000-0000-0000C9310000}"/>
    <cellStyle name="Normal 144 2 2 2" xfId="12746" xr:uid="{00000000-0005-0000-0000-0000CA310000}"/>
    <cellStyle name="Normal 144 2 3" xfId="12747" xr:uid="{00000000-0005-0000-0000-0000CB310000}"/>
    <cellStyle name="Normal 144 2 3 2" xfId="12748" xr:uid="{00000000-0005-0000-0000-0000CC310000}"/>
    <cellStyle name="Normal 144 2 3 2 2" xfId="12749" xr:uid="{00000000-0005-0000-0000-0000CD310000}"/>
    <cellStyle name="Normal 144 2 3 3" xfId="12750" xr:uid="{00000000-0005-0000-0000-0000CE310000}"/>
    <cellStyle name="Normal 144 2 4" xfId="12751" xr:uid="{00000000-0005-0000-0000-0000CF310000}"/>
    <cellStyle name="Normal 144 2 4 2" xfId="12752" xr:uid="{00000000-0005-0000-0000-0000D0310000}"/>
    <cellStyle name="Normal 144 2 4 2 2" xfId="12753" xr:uid="{00000000-0005-0000-0000-0000D1310000}"/>
    <cellStyle name="Normal 144 2 4 3" xfId="12754" xr:uid="{00000000-0005-0000-0000-0000D2310000}"/>
    <cellStyle name="Normal 144 2 5" xfId="12755" xr:uid="{00000000-0005-0000-0000-0000D3310000}"/>
    <cellStyle name="Normal 144 3" xfId="12756" xr:uid="{00000000-0005-0000-0000-0000D4310000}"/>
    <cellStyle name="Normal 144 3 2" xfId="12757" xr:uid="{00000000-0005-0000-0000-0000D5310000}"/>
    <cellStyle name="Normal 144 3 2 2" xfId="12758" xr:uid="{00000000-0005-0000-0000-0000D6310000}"/>
    <cellStyle name="Normal 144 3 2 2 2" xfId="12759" xr:uid="{00000000-0005-0000-0000-0000D7310000}"/>
    <cellStyle name="Normal 144 3 2 3" xfId="12760" xr:uid="{00000000-0005-0000-0000-0000D8310000}"/>
    <cellStyle name="Normal 144 3 2 3 2" xfId="12761" xr:uid="{00000000-0005-0000-0000-0000D9310000}"/>
    <cellStyle name="Normal 144 3 2 3 2 2" xfId="12762" xr:uid="{00000000-0005-0000-0000-0000DA310000}"/>
    <cellStyle name="Normal 144 3 2 3 3" xfId="12763" xr:uid="{00000000-0005-0000-0000-0000DB310000}"/>
    <cellStyle name="Normal 144 3 2 4" xfId="12764" xr:uid="{00000000-0005-0000-0000-0000DC310000}"/>
    <cellStyle name="Normal 144 3 3" xfId="12765" xr:uid="{00000000-0005-0000-0000-0000DD310000}"/>
    <cellStyle name="Normal 144 3 3 2" xfId="12766" xr:uid="{00000000-0005-0000-0000-0000DE310000}"/>
    <cellStyle name="Normal 144 3 3 2 2" xfId="12767" xr:uid="{00000000-0005-0000-0000-0000DF310000}"/>
    <cellStyle name="Normal 144 3 3 3" xfId="12768" xr:uid="{00000000-0005-0000-0000-0000E0310000}"/>
    <cellStyle name="Normal 144 3 4" xfId="12769" xr:uid="{00000000-0005-0000-0000-0000E1310000}"/>
    <cellStyle name="Normal 144 3 4 2" xfId="12770" xr:uid="{00000000-0005-0000-0000-0000E2310000}"/>
    <cellStyle name="Normal 144 3 4 2 2" xfId="12771" xr:uid="{00000000-0005-0000-0000-0000E3310000}"/>
    <cellStyle name="Normal 144 3 4 3" xfId="12772" xr:uid="{00000000-0005-0000-0000-0000E4310000}"/>
    <cellStyle name="Normal 144 3 5" xfId="12773" xr:uid="{00000000-0005-0000-0000-0000E5310000}"/>
    <cellStyle name="Normal 144 3 5 2" xfId="12774" xr:uid="{00000000-0005-0000-0000-0000E6310000}"/>
    <cellStyle name="Normal 144 3 5 2 2" xfId="12775" xr:uid="{00000000-0005-0000-0000-0000E7310000}"/>
    <cellStyle name="Normal 144 3 5 3" xfId="12776" xr:uid="{00000000-0005-0000-0000-0000E8310000}"/>
    <cellStyle name="Normal 144 3 6" xfId="12777" xr:uid="{00000000-0005-0000-0000-0000E9310000}"/>
    <cellStyle name="Normal 144 4" xfId="12778" xr:uid="{00000000-0005-0000-0000-0000EA310000}"/>
    <cellStyle name="Normal 144 4 2" xfId="12779" xr:uid="{00000000-0005-0000-0000-0000EB310000}"/>
    <cellStyle name="Normal 144 4 2 2" xfId="12780" xr:uid="{00000000-0005-0000-0000-0000EC310000}"/>
    <cellStyle name="Normal 144 4 3" xfId="12781" xr:uid="{00000000-0005-0000-0000-0000ED310000}"/>
    <cellStyle name="Normal 144 5" xfId="12782" xr:uid="{00000000-0005-0000-0000-0000EE310000}"/>
    <cellStyle name="Normal 144 5 2" xfId="12783" xr:uid="{00000000-0005-0000-0000-0000EF310000}"/>
    <cellStyle name="Normal 144 5 2 2" xfId="12784" xr:uid="{00000000-0005-0000-0000-0000F0310000}"/>
    <cellStyle name="Normal 144 5 3" xfId="12785" xr:uid="{00000000-0005-0000-0000-0000F1310000}"/>
    <cellStyle name="Normal 144 6" xfId="12786" xr:uid="{00000000-0005-0000-0000-0000F2310000}"/>
    <cellStyle name="Normal 144 6 2" xfId="12787" xr:uid="{00000000-0005-0000-0000-0000F3310000}"/>
    <cellStyle name="Normal 144 6 2 2" xfId="12788" xr:uid="{00000000-0005-0000-0000-0000F4310000}"/>
    <cellStyle name="Normal 144 6 3" xfId="12789" xr:uid="{00000000-0005-0000-0000-0000F5310000}"/>
    <cellStyle name="Normal 144 7" xfId="12790" xr:uid="{00000000-0005-0000-0000-0000F6310000}"/>
    <cellStyle name="Normal 145" xfId="12791" xr:uid="{00000000-0005-0000-0000-0000F7310000}"/>
    <cellStyle name="Normal 145 2" xfId="12792" xr:uid="{00000000-0005-0000-0000-0000F8310000}"/>
    <cellStyle name="Normal 145 2 2" xfId="12793" xr:uid="{00000000-0005-0000-0000-0000F9310000}"/>
    <cellStyle name="Normal 145 2 2 2" xfId="12794" xr:uid="{00000000-0005-0000-0000-0000FA310000}"/>
    <cellStyle name="Normal 145 2 3" xfId="12795" xr:uid="{00000000-0005-0000-0000-0000FB310000}"/>
    <cellStyle name="Normal 145 2 3 2" xfId="12796" xr:uid="{00000000-0005-0000-0000-0000FC310000}"/>
    <cellStyle name="Normal 145 2 3 2 2" xfId="12797" xr:uid="{00000000-0005-0000-0000-0000FD310000}"/>
    <cellStyle name="Normal 145 2 3 3" xfId="12798" xr:uid="{00000000-0005-0000-0000-0000FE310000}"/>
    <cellStyle name="Normal 145 2 4" xfId="12799" xr:uid="{00000000-0005-0000-0000-0000FF310000}"/>
    <cellStyle name="Normal 145 2 4 2" xfId="12800" xr:uid="{00000000-0005-0000-0000-000000320000}"/>
    <cellStyle name="Normal 145 2 4 2 2" xfId="12801" xr:uid="{00000000-0005-0000-0000-000001320000}"/>
    <cellStyle name="Normal 145 2 4 3" xfId="12802" xr:uid="{00000000-0005-0000-0000-000002320000}"/>
    <cellStyle name="Normal 145 2 5" xfId="12803" xr:uid="{00000000-0005-0000-0000-000003320000}"/>
    <cellStyle name="Normal 145 3" xfId="12804" xr:uid="{00000000-0005-0000-0000-000004320000}"/>
    <cellStyle name="Normal 145 3 2" xfId="12805" xr:uid="{00000000-0005-0000-0000-000005320000}"/>
    <cellStyle name="Normal 145 3 2 2" xfId="12806" xr:uid="{00000000-0005-0000-0000-000006320000}"/>
    <cellStyle name="Normal 145 3 2 2 2" xfId="12807" xr:uid="{00000000-0005-0000-0000-000007320000}"/>
    <cellStyle name="Normal 145 3 2 3" xfId="12808" xr:uid="{00000000-0005-0000-0000-000008320000}"/>
    <cellStyle name="Normal 145 3 2 3 2" xfId="12809" xr:uid="{00000000-0005-0000-0000-000009320000}"/>
    <cellStyle name="Normal 145 3 2 3 2 2" xfId="12810" xr:uid="{00000000-0005-0000-0000-00000A320000}"/>
    <cellStyle name="Normal 145 3 2 3 3" xfId="12811" xr:uid="{00000000-0005-0000-0000-00000B320000}"/>
    <cellStyle name="Normal 145 3 2 4" xfId="12812" xr:uid="{00000000-0005-0000-0000-00000C320000}"/>
    <cellStyle name="Normal 145 3 3" xfId="12813" xr:uid="{00000000-0005-0000-0000-00000D320000}"/>
    <cellStyle name="Normal 145 3 3 2" xfId="12814" xr:uid="{00000000-0005-0000-0000-00000E320000}"/>
    <cellStyle name="Normal 145 3 3 2 2" xfId="12815" xr:uid="{00000000-0005-0000-0000-00000F320000}"/>
    <cellStyle name="Normal 145 3 3 3" xfId="12816" xr:uid="{00000000-0005-0000-0000-000010320000}"/>
    <cellStyle name="Normal 145 3 4" xfId="12817" xr:uid="{00000000-0005-0000-0000-000011320000}"/>
    <cellStyle name="Normal 145 3 4 2" xfId="12818" xr:uid="{00000000-0005-0000-0000-000012320000}"/>
    <cellStyle name="Normal 145 3 4 2 2" xfId="12819" xr:uid="{00000000-0005-0000-0000-000013320000}"/>
    <cellStyle name="Normal 145 3 4 3" xfId="12820" xr:uid="{00000000-0005-0000-0000-000014320000}"/>
    <cellStyle name="Normal 145 3 5" xfId="12821" xr:uid="{00000000-0005-0000-0000-000015320000}"/>
    <cellStyle name="Normal 145 3 5 2" xfId="12822" xr:uid="{00000000-0005-0000-0000-000016320000}"/>
    <cellStyle name="Normal 145 3 5 2 2" xfId="12823" xr:uid="{00000000-0005-0000-0000-000017320000}"/>
    <cellStyle name="Normal 145 3 5 3" xfId="12824" xr:uid="{00000000-0005-0000-0000-000018320000}"/>
    <cellStyle name="Normal 145 3 6" xfId="12825" xr:uid="{00000000-0005-0000-0000-000019320000}"/>
    <cellStyle name="Normal 145 4" xfId="12826" xr:uid="{00000000-0005-0000-0000-00001A320000}"/>
    <cellStyle name="Normal 145 4 2" xfId="12827" xr:uid="{00000000-0005-0000-0000-00001B320000}"/>
    <cellStyle name="Normal 145 4 2 2" xfId="12828" xr:uid="{00000000-0005-0000-0000-00001C320000}"/>
    <cellStyle name="Normal 145 4 3" xfId="12829" xr:uid="{00000000-0005-0000-0000-00001D320000}"/>
    <cellStyle name="Normal 145 5" xfId="12830" xr:uid="{00000000-0005-0000-0000-00001E320000}"/>
    <cellStyle name="Normal 145 5 2" xfId="12831" xr:uid="{00000000-0005-0000-0000-00001F320000}"/>
    <cellStyle name="Normal 145 5 2 2" xfId="12832" xr:uid="{00000000-0005-0000-0000-000020320000}"/>
    <cellStyle name="Normal 145 5 3" xfId="12833" xr:uid="{00000000-0005-0000-0000-000021320000}"/>
    <cellStyle name="Normal 145 6" xfId="12834" xr:uid="{00000000-0005-0000-0000-000022320000}"/>
    <cellStyle name="Normal 145 6 2" xfId="12835" xr:uid="{00000000-0005-0000-0000-000023320000}"/>
    <cellStyle name="Normal 145 6 2 2" xfId="12836" xr:uid="{00000000-0005-0000-0000-000024320000}"/>
    <cellStyle name="Normal 145 6 3" xfId="12837" xr:uid="{00000000-0005-0000-0000-000025320000}"/>
    <cellStyle name="Normal 145 7" xfId="12838" xr:uid="{00000000-0005-0000-0000-000026320000}"/>
    <cellStyle name="Normal 146" xfId="12839" xr:uid="{00000000-0005-0000-0000-000027320000}"/>
    <cellStyle name="Normal 146 2" xfId="12840" xr:uid="{00000000-0005-0000-0000-000028320000}"/>
    <cellStyle name="Normal 146 2 2" xfId="12841" xr:uid="{00000000-0005-0000-0000-000029320000}"/>
    <cellStyle name="Normal 146 2 2 2" xfId="12842" xr:uid="{00000000-0005-0000-0000-00002A320000}"/>
    <cellStyle name="Normal 146 2 3" xfId="12843" xr:uid="{00000000-0005-0000-0000-00002B320000}"/>
    <cellStyle name="Normal 146 2 3 2" xfId="12844" xr:uid="{00000000-0005-0000-0000-00002C320000}"/>
    <cellStyle name="Normal 146 2 3 2 2" xfId="12845" xr:uid="{00000000-0005-0000-0000-00002D320000}"/>
    <cellStyle name="Normal 146 2 3 3" xfId="12846" xr:uid="{00000000-0005-0000-0000-00002E320000}"/>
    <cellStyle name="Normal 146 2 4" xfId="12847" xr:uid="{00000000-0005-0000-0000-00002F320000}"/>
    <cellStyle name="Normal 146 2 4 2" xfId="12848" xr:uid="{00000000-0005-0000-0000-000030320000}"/>
    <cellStyle name="Normal 146 2 4 2 2" xfId="12849" xr:uid="{00000000-0005-0000-0000-000031320000}"/>
    <cellStyle name="Normal 146 2 4 3" xfId="12850" xr:uid="{00000000-0005-0000-0000-000032320000}"/>
    <cellStyle name="Normal 146 2 5" xfId="12851" xr:uid="{00000000-0005-0000-0000-000033320000}"/>
    <cellStyle name="Normal 146 3" xfId="12852" xr:uid="{00000000-0005-0000-0000-000034320000}"/>
    <cellStyle name="Normal 146 3 2" xfId="12853" xr:uid="{00000000-0005-0000-0000-000035320000}"/>
    <cellStyle name="Normal 146 3 2 2" xfId="12854" xr:uid="{00000000-0005-0000-0000-000036320000}"/>
    <cellStyle name="Normal 146 3 2 2 2" xfId="12855" xr:uid="{00000000-0005-0000-0000-000037320000}"/>
    <cellStyle name="Normal 146 3 2 3" xfId="12856" xr:uid="{00000000-0005-0000-0000-000038320000}"/>
    <cellStyle name="Normal 146 3 2 3 2" xfId="12857" xr:uid="{00000000-0005-0000-0000-000039320000}"/>
    <cellStyle name="Normal 146 3 2 3 2 2" xfId="12858" xr:uid="{00000000-0005-0000-0000-00003A320000}"/>
    <cellStyle name="Normal 146 3 2 3 3" xfId="12859" xr:uid="{00000000-0005-0000-0000-00003B320000}"/>
    <cellStyle name="Normal 146 3 2 4" xfId="12860" xr:uid="{00000000-0005-0000-0000-00003C320000}"/>
    <cellStyle name="Normal 146 3 3" xfId="12861" xr:uid="{00000000-0005-0000-0000-00003D320000}"/>
    <cellStyle name="Normal 146 3 3 2" xfId="12862" xr:uid="{00000000-0005-0000-0000-00003E320000}"/>
    <cellStyle name="Normal 146 3 3 2 2" xfId="12863" xr:uid="{00000000-0005-0000-0000-00003F320000}"/>
    <cellStyle name="Normal 146 3 3 3" xfId="12864" xr:uid="{00000000-0005-0000-0000-000040320000}"/>
    <cellStyle name="Normal 146 3 4" xfId="12865" xr:uid="{00000000-0005-0000-0000-000041320000}"/>
    <cellStyle name="Normal 146 3 4 2" xfId="12866" xr:uid="{00000000-0005-0000-0000-000042320000}"/>
    <cellStyle name="Normal 146 3 4 2 2" xfId="12867" xr:uid="{00000000-0005-0000-0000-000043320000}"/>
    <cellStyle name="Normal 146 3 4 3" xfId="12868" xr:uid="{00000000-0005-0000-0000-000044320000}"/>
    <cellStyle name="Normal 146 3 5" xfId="12869" xr:uid="{00000000-0005-0000-0000-000045320000}"/>
    <cellStyle name="Normal 146 3 5 2" xfId="12870" xr:uid="{00000000-0005-0000-0000-000046320000}"/>
    <cellStyle name="Normal 146 3 5 2 2" xfId="12871" xr:uid="{00000000-0005-0000-0000-000047320000}"/>
    <cellStyle name="Normal 146 3 5 3" xfId="12872" xr:uid="{00000000-0005-0000-0000-000048320000}"/>
    <cellStyle name="Normal 146 3 6" xfId="12873" xr:uid="{00000000-0005-0000-0000-000049320000}"/>
    <cellStyle name="Normal 146 4" xfId="12874" xr:uid="{00000000-0005-0000-0000-00004A320000}"/>
    <cellStyle name="Normal 146 4 2" xfId="12875" xr:uid="{00000000-0005-0000-0000-00004B320000}"/>
    <cellStyle name="Normal 146 4 2 2" xfId="12876" xr:uid="{00000000-0005-0000-0000-00004C320000}"/>
    <cellStyle name="Normal 146 4 3" xfId="12877" xr:uid="{00000000-0005-0000-0000-00004D320000}"/>
    <cellStyle name="Normal 146 5" xfId="12878" xr:uid="{00000000-0005-0000-0000-00004E320000}"/>
    <cellStyle name="Normal 146 5 2" xfId="12879" xr:uid="{00000000-0005-0000-0000-00004F320000}"/>
    <cellStyle name="Normal 146 5 2 2" xfId="12880" xr:uid="{00000000-0005-0000-0000-000050320000}"/>
    <cellStyle name="Normal 146 5 3" xfId="12881" xr:uid="{00000000-0005-0000-0000-000051320000}"/>
    <cellStyle name="Normal 146 6" xfId="12882" xr:uid="{00000000-0005-0000-0000-000052320000}"/>
    <cellStyle name="Normal 146 6 2" xfId="12883" xr:uid="{00000000-0005-0000-0000-000053320000}"/>
    <cellStyle name="Normal 146 6 2 2" xfId="12884" xr:uid="{00000000-0005-0000-0000-000054320000}"/>
    <cellStyle name="Normal 146 6 3" xfId="12885" xr:uid="{00000000-0005-0000-0000-000055320000}"/>
    <cellStyle name="Normal 146 7" xfId="12886" xr:uid="{00000000-0005-0000-0000-000056320000}"/>
    <cellStyle name="Normal 147" xfId="12887" xr:uid="{00000000-0005-0000-0000-000057320000}"/>
    <cellStyle name="Normal 147 2" xfId="12888" xr:uid="{00000000-0005-0000-0000-000058320000}"/>
    <cellStyle name="Normal 147 2 2" xfId="12889" xr:uid="{00000000-0005-0000-0000-000059320000}"/>
    <cellStyle name="Normal 147 2 2 2" xfId="12890" xr:uid="{00000000-0005-0000-0000-00005A320000}"/>
    <cellStyle name="Normal 147 2 3" xfId="12891" xr:uid="{00000000-0005-0000-0000-00005B320000}"/>
    <cellStyle name="Normal 147 2 3 2" xfId="12892" xr:uid="{00000000-0005-0000-0000-00005C320000}"/>
    <cellStyle name="Normal 147 2 3 2 2" xfId="12893" xr:uid="{00000000-0005-0000-0000-00005D320000}"/>
    <cellStyle name="Normal 147 2 3 3" xfId="12894" xr:uid="{00000000-0005-0000-0000-00005E320000}"/>
    <cellStyle name="Normal 147 2 4" xfId="12895" xr:uid="{00000000-0005-0000-0000-00005F320000}"/>
    <cellStyle name="Normal 147 2 4 2" xfId="12896" xr:uid="{00000000-0005-0000-0000-000060320000}"/>
    <cellStyle name="Normal 147 2 4 2 2" xfId="12897" xr:uid="{00000000-0005-0000-0000-000061320000}"/>
    <cellStyle name="Normal 147 2 4 3" xfId="12898" xr:uid="{00000000-0005-0000-0000-000062320000}"/>
    <cellStyle name="Normal 147 2 5" xfId="12899" xr:uid="{00000000-0005-0000-0000-000063320000}"/>
    <cellStyle name="Normal 147 3" xfId="12900" xr:uid="{00000000-0005-0000-0000-000064320000}"/>
    <cellStyle name="Normal 147 3 2" xfId="12901" xr:uid="{00000000-0005-0000-0000-000065320000}"/>
    <cellStyle name="Normal 147 3 2 2" xfId="12902" xr:uid="{00000000-0005-0000-0000-000066320000}"/>
    <cellStyle name="Normal 147 3 2 2 2" xfId="12903" xr:uid="{00000000-0005-0000-0000-000067320000}"/>
    <cellStyle name="Normal 147 3 2 3" xfId="12904" xr:uid="{00000000-0005-0000-0000-000068320000}"/>
    <cellStyle name="Normal 147 3 2 3 2" xfId="12905" xr:uid="{00000000-0005-0000-0000-000069320000}"/>
    <cellStyle name="Normal 147 3 2 3 2 2" xfId="12906" xr:uid="{00000000-0005-0000-0000-00006A320000}"/>
    <cellStyle name="Normal 147 3 2 3 3" xfId="12907" xr:uid="{00000000-0005-0000-0000-00006B320000}"/>
    <cellStyle name="Normal 147 3 2 4" xfId="12908" xr:uid="{00000000-0005-0000-0000-00006C320000}"/>
    <cellStyle name="Normal 147 3 3" xfId="12909" xr:uid="{00000000-0005-0000-0000-00006D320000}"/>
    <cellStyle name="Normal 147 3 3 2" xfId="12910" xr:uid="{00000000-0005-0000-0000-00006E320000}"/>
    <cellStyle name="Normal 147 3 3 2 2" xfId="12911" xr:uid="{00000000-0005-0000-0000-00006F320000}"/>
    <cellStyle name="Normal 147 3 3 3" xfId="12912" xr:uid="{00000000-0005-0000-0000-000070320000}"/>
    <cellStyle name="Normal 147 3 4" xfId="12913" xr:uid="{00000000-0005-0000-0000-000071320000}"/>
    <cellStyle name="Normal 147 3 4 2" xfId="12914" xr:uid="{00000000-0005-0000-0000-000072320000}"/>
    <cellStyle name="Normal 147 3 4 2 2" xfId="12915" xr:uid="{00000000-0005-0000-0000-000073320000}"/>
    <cellStyle name="Normal 147 3 4 3" xfId="12916" xr:uid="{00000000-0005-0000-0000-000074320000}"/>
    <cellStyle name="Normal 147 3 5" xfId="12917" xr:uid="{00000000-0005-0000-0000-000075320000}"/>
    <cellStyle name="Normal 147 3 5 2" xfId="12918" xr:uid="{00000000-0005-0000-0000-000076320000}"/>
    <cellStyle name="Normal 147 3 5 2 2" xfId="12919" xr:uid="{00000000-0005-0000-0000-000077320000}"/>
    <cellStyle name="Normal 147 3 5 3" xfId="12920" xr:uid="{00000000-0005-0000-0000-000078320000}"/>
    <cellStyle name="Normal 147 3 6" xfId="12921" xr:uid="{00000000-0005-0000-0000-000079320000}"/>
    <cellStyle name="Normal 147 4" xfId="12922" xr:uid="{00000000-0005-0000-0000-00007A320000}"/>
    <cellStyle name="Normal 147 4 2" xfId="12923" xr:uid="{00000000-0005-0000-0000-00007B320000}"/>
    <cellStyle name="Normal 147 4 2 2" xfId="12924" xr:uid="{00000000-0005-0000-0000-00007C320000}"/>
    <cellStyle name="Normal 147 4 3" xfId="12925" xr:uid="{00000000-0005-0000-0000-00007D320000}"/>
    <cellStyle name="Normal 147 5" xfId="12926" xr:uid="{00000000-0005-0000-0000-00007E320000}"/>
    <cellStyle name="Normal 147 5 2" xfId="12927" xr:uid="{00000000-0005-0000-0000-00007F320000}"/>
    <cellStyle name="Normal 147 5 2 2" xfId="12928" xr:uid="{00000000-0005-0000-0000-000080320000}"/>
    <cellStyle name="Normal 147 5 3" xfId="12929" xr:uid="{00000000-0005-0000-0000-000081320000}"/>
    <cellStyle name="Normal 147 6" xfId="12930" xr:uid="{00000000-0005-0000-0000-000082320000}"/>
    <cellStyle name="Normal 147 6 2" xfId="12931" xr:uid="{00000000-0005-0000-0000-000083320000}"/>
    <cellStyle name="Normal 147 6 2 2" xfId="12932" xr:uid="{00000000-0005-0000-0000-000084320000}"/>
    <cellStyle name="Normal 147 6 3" xfId="12933" xr:uid="{00000000-0005-0000-0000-000085320000}"/>
    <cellStyle name="Normal 147 7" xfId="12934" xr:uid="{00000000-0005-0000-0000-000086320000}"/>
    <cellStyle name="Normal 148" xfId="12935" xr:uid="{00000000-0005-0000-0000-000087320000}"/>
    <cellStyle name="Normal 148 2" xfId="12936" xr:uid="{00000000-0005-0000-0000-000088320000}"/>
    <cellStyle name="Normal 148 2 2" xfId="12937" xr:uid="{00000000-0005-0000-0000-000089320000}"/>
    <cellStyle name="Normal 148 2 2 2" xfId="12938" xr:uid="{00000000-0005-0000-0000-00008A320000}"/>
    <cellStyle name="Normal 148 2 3" xfId="12939" xr:uid="{00000000-0005-0000-0000-00008B320000}"/>
    <cellStyle name="Normal 148 2 3 2" xfId="12940" xr:uid="{00000000-0005-0000-0000-00008C320000}"/>
    <cellStyle name="Normal 148 2 3 2 2" xfId="12941" xr:uid="{00000000-0005-0000-0000-00008D320000}"/>
    <cellStyle name="Normal 148 2 3 3" xfId="12942" xr:uid="{00000000-0005-0000-0000-00008E320000}"/>
    <cellStyle name="Normal 148 2 4" xfId="12943" xr:uid="{00000000-0005-0000-0000-00008F320000}"/>
    <cellStyle name="Normal 148 2 4 2" xfId="12944" xr:uid="{00000000-0005-0000-0000-000090320000}"/>
    <cellStyle name="Normal 148 2 4 2 2" xfId="12945" xr:uid="{00000000-0005-0000-0000-000091320000}"/>
    <cellStyle name="Normal 148 2 4 3" xfId="12946" xr:uid="{00000000-0005-0000-0000-000092320000}"/>
    <cellStyle name="Normal 148 2 5" xfId="12947" xr:uid="{00000000-0005-0000-0000-000093320000}"/>
    <cellStyle name="Normal 148 3" xfId="12948" xr:uid="{00000000-0005-0000-0000-000094320000}"/>
    <cellStyle name="Normal 148 3 2" xfId="12949" xr:uid="{00000000-0005-0000-0000-000095320000}"/>
    <cellStyle name="Normal 148 3 2 2" xfId="12950" xr:uid="{00000000-0005-0000-0000-000096320000}"/>
    <cellStyle name="Normal 148 3 2 2 2" xfId="12951" xr:uid="{00000000-0005-0000-0000-000097320000}"/>
    <cellStyle name="Normal 148 3 2 3" xfId="12952" xr:uid="{00000000-0005-0000-0000-000098320000}"/>
    <cellStyle name="Normal 148 3 2 3 2" xfId="12953" xr:uid="{00000000-0005-0000-0000-000099320000}"/>
    <cellStyle name="Normal 148 3 2 3 2 2" xfId="12954" xr:uid="{00000000-0005-0000-0000-00009A320000}"/>
    <cellStyle name="Normal 148 3 2 3 3" xfId="12955" xr:uid="{00000000-0005-0000-0000-00009B320000}"/>
    <cellStyle name="Normal 148 3 2 4" xfId="12956" xr:uid="{00000000-0005-0000-0000-00009C320000}"/>
    <cellStyle name="Normal 148 3 3" xfId="12957" xr:uid="{00000000-0005-0000-0000-00009D320000}"/>
    <cellStyle name="Normal 148 3 3 2" xfId="12958" xr:uid="{00000000-0005-0000-0000-00009E320000}"/>
    <cellStyle name="Normal 148 3 3 2 2" xfId="12959" xr:uid="{00000000-0005-0000-0000-00009F320000}"/>
    <cellStyle name="Normal 148 3 3 3" xfId="12960" xr:uid="{00000000-0005-0000-0000-0000A0320000}"/>
    <cellStyle name="Normal 148 3 4" xfId="12961" xr:uid="{00000000-0005-0000-0000-0000A1320000}"/>
    <cellStyle name="Normal 148 3 4 2" xfId="12962" xr:uid="{00000000-0005-0000-0000-0000A2320000}"/>
    <cellStyle name="Normal 148 3 4 2 2" xfId="12963" xr:uid="{00000000-0005-0000-0000-0000A3320000}"/>
    <cellStyle name="Normal 148 3 4 3" xfId="12964" xr:uid="{00000000-0005-0000-0000-0000A4320000}"/>
    <cellStyle name="Normal 148 3 5" xfId="12965" xr:uid="{00000000-0005-0000-0000-0000A5320000}"/>
    <cellStyle name="Normal 148 3 5 2" xfId="12966" xr:uid="{00000000-0005-0000-0000-0000A6320000}"/>
    <cellStyle name="Normal 148 3 5 2 2" xfId="12967" xr:uid="{00000000-0005-0000-0000-0000A7320000}"/>
    <cellStyle name="Normal 148 3 5 3" xfId="12968" xr:uid="{00000000-0005-0000-0000-0000A8320000}"/>
    <cellStyle name="Normal 148 3 6" xfId="12969" xr:uid="{00000000-0005-0000-0000-0000A9320000}"/>
    <cellStyle name="Normal 148 4" xfId="12970" xr:uid="{00000000-0005-0000-0000-0000AA320000}"/>
    <cellStyle name="Normal 148 4 2" xfId="12971" xr:uid="{00000000-0005-0000-0000-0000AB320000}"/>
    <cellStyle name="Normal 148 4 2 2" xfId="12972" xr:uid="{00000000-0005-0000-0000-0000AC320000}"/>
    <cellStyle name="Normal 148 4 3" xfId="12973" xr:uid="{00000000-0005-0000-0000-0000AD320000}"/>
    <cellStyle name="Normal 148 5" xfId="12974" xr:uid="{00000000-0005-0000-0000-0000AE320000}"/>
    <cellStyle name="Normal 148 5 2" xfId="12975" xr:uid="{00000000-0005-0000-0000-0000AF320000}"/>
    <cellStyle name="Normal 148 5 2 2" xfId="12976" xr:uid="{00000000-0005-0000-0000-0000B0320000}"/>
    <cellStyle name="Normal 148 5 3" xfId="12977" xr:uid="{00000000-0005-0000-0000-0000B1320000}"/>
    <cellStyle name="Normal 148 6" xfId="12978" xr:uid="{00000000-0005-0000-0000-0000B2320000}"/>
    <cellStyle name="Normal 148 6 2" xfId="12979" xr:uid="{00000000-0005-0000-0000-0000B3320000}"/>
    <cellStyle name="Normal 148 6 2 2" xfId="12980" xr:uid="{00000000-0005-0000-0000-0000B4320000}"/>
    <cellStyle name="Normal 148 6 3" xfId="12981" xr:uid="{00000000-0005-0000-0000-0000B5320000}"/>
    <cellStyle name="Normal 148 7" xfId="12982" xr:uid="{00000000-0005-0000-0000-0000B6320000}"/>
    <cellStyle name="Normal 149" xfId="12983" xr:uid="{00000000-0005-0000-0000-0000B7320000}"/>
    <cellStyle name="Normal 149 2" xfId="12984" xr:uid="{00000000-0005-0000-0000-0000B8320000}"/>
    <cellStyle name="Normal 149 2 2" xfId="12985" xr:uid="{00000000-0005-0000-0000-0000B9320000}"/>
    <cellStyle name="Normal 149 2 2 2" xfId="12986" xr:uid="{00000000-0005-0000-0000-0000BA320000}"/>
    <cellStyle name="Normal 149 2 3" xfId="12987" xr:uid="{00000000-0005-0000-0000-0000BB320000}"/>
    <cellStyle name="Normal 149 2 3 2" xfId="12988" xr:uid="{00000000-0005-0000-0000-0000BC320000}"/>
    <cellStyle name="Normal 149 2 3 2 2" xfId="12989" xr:uid="{00000000-0005-0000-0000-0000BD320000}"/>
    <cellStyle name="Normal 149 2 3 3" xfId="12990" xr:uid="{00000000-0005-0000-0000-0000BE320000}"/>
    <cellStyle name="Normal 149 2 4" xfId="12991" xr:uid="{00000000-0005-0000-0000-0000BF320000}"/>
    <cellStyle name="Normal 149 2 4 2" xfId="12992" xr:uid="{00000000-0005-0000-0000-0000C0320000}"/>
    <cellStyle name="Normal 149 2 4 2 2" xfId="12993" xr:uid="{00000000-0005-0000-0000-0000C1320000}"/>
    <cellStyle name="Normal 149 2 4 3" xfId="12994" xr:uid="{00000000-0005-0000-0000-0000C2320000}"/>
    <cellStyle name="Normal 149 2 5" xfId="12995" xr:uid="{00000000-0005-0000-0000-0000C3320000}"/>
    <cellStyle name="Normal 149 3" xfId="12996" xr:uid="{00000000-0005-0000-0000-0000C4320000}"/>
    <cellStyle name="Normal 149 3 2" xfId="12997" xr:uid="{00000000-0005-0000-0000-0000C5320000}"/>
    <cellStyle name="Normal 149 3 2 2" xfId="12998" xr:uid="{00000000-0005-0000-0000-0000C6320000}"/>
    <cellStyle name="Normal 149 3 2 2 2" xfId="12999" xr:uid="{00000000-0005-0000-0000-0000C7320000}"/>
    <cellStyle name="Normal 149 3 2 3" xfId="13000" xr:uid="{00000000-0005-0000-0000-0000C8320000}"/>
    <cellStyle name="Normal 149 3 2 3 2" xfId="13001" xr:uid="{00000000-0005-0000-0000-0000C9320000}"/>
    <cellStyle name="Normal 149 3 2 3 2 2" xfId="13002" xr:uid="{00000000-0005-0000-0000-0000CA320000}"/>
    <cellStyle name="Normal 149 3 2 3 3" xfId="13003" xr:uid="{00000000-0005-0000-0000-0000CB320000}"/>
    <cellStyle name="Normal 149 3 2 4" xfId="13004" xr:uid="{00000000-0005-0000-0000-0000CC320000}"/>
    <cellStyle name="Normal 149 3 3" xfId="13005" xr:uid="{00000000-0005-0000-0000-0000CD320000}"/>
    <cellStyle name="Normal 149 3 3 2" xfId="13006" xr:uid="{00000000-0005-0000-0000-0000CE320000}"/>
    <cellStyle name="Normal 149 3 3 2 2" xfId="13007" xr:uid="{00000000-0005-0000-0000-0000CF320000}"/>
    <cellStyle name="Normal 149 3 3 3" xfId="13008" xr:uid="{00000000-0005-0000-0000-0000D0320000}"/>
    <cellStyle name="Normal 149 3 4" xfId="13009" xr:uid="{00000000-0005-0000-0000-0000D1320000}"/>
    <cellStyle name="Normal 149 3 4 2" xfId="13010" xr:uid="{00000000-0005-0000-0000-0000D2320000}"/>
    <cellStyle name="Normal 149 3 4 2 2" xfId="13011" xr:uid="{00000000-0005-0000-0000-0000D3320000}"/>
    <cellStyle name="Normal 149 3 4 3" xfId="13012" xr:uid="{00000000-0005-0000-0000-0000D4320000}"/>
    <cellStyle name="Normal 149 3 5" xfId="13013" xr:uid="{00000000-0005-0000-0000-0000D5320000}"/>
    <cellStyle name="Normal 149 3 5 2" xfId="13014" xr:uid="{00000000-0005-0000-0000-0000D6320000}"/>
    <cellStyle name="Normal 149 3 5 2 2" xfId="13015" xr:uid="{00000000-0005-0000-0000-0000D7320000}"/>
    <cellStyle name="Normal 149 3 5 3" xfId="13016" xr:uid="{00000000-0005-0000-0000-0000D8320000}"/>
    <cellStyle name="Normal 149 3 6" xfId="13017" xr:uid="{00000000-0005-0000-0000-0000D9320000}"/>
    <cellStyle name="Normal 149 4" xfId="13018" xr:uid="{00000000-0005-0000-0000-0000DA320000}"/>
    <cellStyle name="Normal 149 4 2" xfId="13019" xr:uid="{00000000-0005-0000-0000-0000DB320000}"/>
    <cellStyle name="Normal 149 4 2 2" xfId="13020" xr:uid="{00000000-0005-0000-0000-0000DC320000}"/>
    <cellStyle name="Normal 149 4 3" xfId="13021" xr:uid="{00000000-0005-0000-0000-0000DD320000}"/>
    <cellStyle name="Normal 149 5" xfId="13022" xr:uid="{00000000-0005-0000-0000-0000DE320000}"/>
    <cellStyle name="Normal 149 5 2" xfId="13023" xr:uid="{00000000-0005-0000-0000-0000DF320000}"/>
    <cellStyle name="Normal 149 5 2 2" xfId="13024" xr:uid="{00000000-0005-0000-0000-0000E0320000}"/>
    <cellStyle name="Normal 149 5 3" xfId="13025" xr:uid="{00000000-0005-0000-0000-0000E1320000}"/>
    <cellStyle name="Normal 149 6" xfId="13026" xr:uid="{00000000-0005-0000-0000-0000E2320000}"/>
    <cellStyle name="Normal 149 6 2" xfId="13027" xr:uid="{00000000-0005-0000-0000-0000E3320000}"/>
    <cellStyle name="Normal 149 6 2 2" xfId="13028" xr:uid="{00000000-0005-0000-0000-0000E4320000}"/>
    <cellStyle name="Normal 149 6 3" xfId="13029" xr:uid="{00000000-0005-0000-0000-0000E5320000}"/>
    <cellStyle name="Normal 149 7" xfId="13030" xr:uid="{00000000-0005-0000-0000-0000E6320000}"/>
    <cellStyle name="Normal 15" xfId="13031" xr:uid="{00000000-0005-0000-0000-0000E7320000}"/>
    <cellStyle name="Normal 15 2" xfId="13032" xr:uid="{00000000-0005-0000-0000-0000E8320000}"/>
    <cellStyle name="Normal 15 2 2" xfId="13033" xr:uid="{00000000-0005-0000-0000-0000E9320000}"/>
    <cellStyle name="Normal 15 2 2 2" xfId="13034" xr:uid="{00000000-0005-0000-0000-0000EA320000}"/>
    <cellStyle name="Normal 15 2 2 2 2" xfId="13035" xr:uid="{00000000-0005-0000-0000-0000EB320000}"/>
    <cellStyle name="Normal 15 2 2 3" xfId="13036" xr:uid="{00000000-0005-0000-0000-0000EC320000}"/>
    <cellStyle name="Normal 15 2 2 3 2" xfId="13037" xr:uid="{00000000-0005-0000-0000-0000ED320000}"/>
    <cellStyle name="Normal 15 2 2 3 2 2" xfId="13038" xr:uid="{00000000-0005-0000-0000-0000EE320000}"/>
    <cellStyle name="Normal 15 2 2 3 3" xfId="13039" xr:uid="{00000000-0005-0000-0000-0000EF320000}"/>
    <cellStyle name="Normal 15 2 2 4" xfId="13040" xr:uid="{00000000-0005-0000-0000-0000F0320000}"/>
    <cellStyle name="Normal 15 2 2 4 2" xfId="13041" xr:uid="{00000000-0005-0000-0000-0000F1320000}"/>
    <cellStyle name="Normal 15 2 2 4 2 2" xfId="13042" xr:uid="{00000000-0005-0000-0000-0000F2320000}"/>
    <cellStyle name="Normal 15 2 2 4 3" xfId="13043" xr:uid="{00000000-0005-0000-0000-0000F3320000}"/>
    <cellStyle name="Normal 15 2 2 5" xfId="13044" xr:uid="{00000000-0005-0000-0000-0000F4320000}"/>
    <cellStyle name="Normal 15 2 3" xfId="13045" xr:uid="{00000000-0005-0000-0000-0000F5320000}"/>
    <cellStyle name="Normal 15 2 3 2" xfId="13046" xr:uid="{00000000-0005-0000-0000-0000F6320000}"/>
    <cellStyle name="Normal 15 2 3 2 2" xfId="13047" xr:uid="{00000000-0005-0000-0000-0000F7320000}"/>
    <cellStyle name="Normal 15 2 3 2 2 2" xfId="13048" xr:uid="{00000000-0005-0000-0000-0000F8320000}"/>
    <cellStyle name="Normal 15 2 3 2 3" xfId="13049" xr:uid="{00000000-0005-0000-0000-0000F9320000}"/>
    <cellStyle name="Normal 15 2 3 2 3 2" xfId="13050" xr:uid="{00000000-0005-0000-0000-0000FA320000}"/>
    <cellStyle name="Normal 15 2 3 2 3 2 2" xfId="13051" xr:uid="{00000000-0005-0000-0000-0000FB320000}"/>
    <cellStyle name="Normal 15 2 3 2 3 3" xfId="13052" xr:uid="{00000000-0005-0000-0000-0000FC320000}"/>
    <cellStyle name="Normal 15 2 3 2 4" xfId="13053" xr:uid="{00000000-0005-0000-0000-0000FD320000}"/>
    <cellStyle name="Normal 15 2 3 3" xfId="13054" xr:uid="{00000000-0005-0000-0000-0000FE320000}"/>
    <cellStyle name="Normal 15 2 3 3 2" xfId="13055" xr:uid="{00000000-0005-0000-0000-0000FF320000}"/>
    <cellStyle name="Normal 15 2 3 3 2 2" xfId="13056" xr:uid="{00000000-0005-0000-0000-000000330000}"/>
    <cellStyle name="Normal 15 2 3 3 3" xfId="13057" xr:uid="{00000000-0005-0000-0000-000001330000}"/>
    <cellStyle name="Normal 15 2 3 4" xfId="13058" xr:uid="{00000000-0005-0000-0000-000002330000}"/>
    <cellStyle name="Normal 15 2 3 4 2" xfId="13059" xr:uid="{00000000-0005-0000-0000-000003330000}"/>
    <cellStyle name="Normal 15 2 3 4 2 2" xfId="13060" xr:uid="{00000000-0005-0000-0000-000004330000}"/>
    <cellStyle name="Normal 15 2 3 4 3" xfId="13061" xr:uid="{00000000-0005-0000-0000-000005330000}"/>
    <cellStyle name="Normal 15 2 3 5" xfId="13062" xr:uid="{00000000-0005-0000-0000-000006330000}"/>
    <cellStyle name="Normal 15 2 3 5 2" xfId="13063" xr:uid="{00000000-0005-0000-0000-000007330000}"/>
    <cellStyle name="Normal 15 2 3 5 2 2" xfId="13064" xr:uid="{00000000-0005-0000-0000-000008330000}"/>
    <cellStyle name="Normal 15 2 3 5 3" xfId="13065" xr:uid="{00000000-0005-0000-0000-000009330000}"/>
    <cellStyle name="Normal 15 2 3 6" xfId="13066" xr:uid="{00000000-0005-0000-0000-00000A330000}"/>
    <cellStyle name="Normal 15 2 4" xfId="13067" xr:uid="{00000000-0005-0000-0000-00000B330000}"/>
    <cellStyle name="Normal 15 3" xfId="13068" xr:uid="{00000000-0005-0000-0000-00000C330000}"/>
    <cellStyle name="Normal 15 3 2" xfId="13069" xr:uid="{00000000-0005-0000-0000-00000D330000}"/>
    <cellStyle name="Normal 15 3 2 2" xfId="13070" xr:uid="{00000000-0005-0000-0000-00000E330000}"/>
    <cellStyle name="Normal 15 3 2 2 2" xfId="13071" xr:uid="{00000000-0005-0000-0000-00000F330000}"/>
    <cellStyle name="Normal 15 3 2 3" xfId="13072" xr:uid="{00000000-0005-0000-0000-000010330000}"/>
    <cellStyle name="Normal 15 3 2 3 2" xfId="13073" xr:uid="{00000000-0005-0000-0000-000011330000}"/>
    <cellStyle name="Normal 15 3 2 3 2 2" xfId="13074" xr:uid="{00000000-0005-0000-0000-000012330000}"/>
    <cellStyle name="Normal 15 3 2 3 3" xfId="13075" xr:uid="{00000000-0005-0000-0000-000013330000}"/>
    <cellStyle name="Normal 15 3 2 4" xfId="13076" xr:uid="{00000000-0005-0000-0000-000014330000}"/>
    <cellStyle name="Normal 15 3 2 4 2" xfId="13077" xr:uid="{00000000-0005-0000-0000-000015330000}"/>
    <cellStyle name="Normal 15 3 2 4 2 2" xfId="13078" xr:uid="{00000000-0005-0000-0000-000016330000}"/>
    <cellStyle name="Normal 15 3 2 4 3" xfId="13079" xr:uid="{00000000-0005-0000-0000-000017330000}"/>
    <cellStyle name="Normal 15 3 2 5" xfId="13080" xr:uid="{00000000-0005-0000-0000-000018330000}"/>
    <cellStyle name="Normal 15 3 3" xfId="13081" xr:uid="{00000000-0005-0000-0000-000019330000}"/>
    <cellStyle name="Normal 15 3 3 2" xfId="13082" xr:uid="{00000000-0005-0000-0000-00001A330000}"/>
    <cellStyle name="Normal 15 3 3 2 2" xfId="13083" xr:uid="{00000000-0005-0000-0000-00001B330000}"/>
    <cellStyle name="Normal 15 3 3 3" xfId="13084" xr:uid="{00000000-0005-0000-0000-00001C330000}"/>
    <cellStyle name="Normal 15 3 4" xfId="13085" xr:uid="{00000000-0005-0000-0000-00001D330000}"/>
    <cellStyle name="Normal 15 3 4 2" xfId="13086" xr:uid="{00000000-0005-0000-0000-00001E330000}"/>
    <cellStyle name="Normal 15 3 4 2 2" xfId="13087" xr:uid="{00000000-0005-0000-0000-00001F330000}"/>
    <cellStyle name="Normal 15 3 4 3" xfId="13088" xr:uid="{00000000-0005-0000-0000-000020330000}"/>
    <cellStyle name="Normal 15 3 5" xfId="13089" xr:uid="{00000000-0005-0000-0000-000021330000}"/>
    <cellStyle name="Normal 15 3 5 2" xfId="13090" xr:uid="{00000000-0005-0000-0000-000022330000}"/>
    <cellStyle name="Normal 15 3 5 2 2" xfId="13091" xr:uid="{00000000-0005-0000-0000-000023330000}"/>
    <cellStyle name="Normal 15 3 5 3" xfId="13092" xr:uid="{00000000-0005-0000-0000-000024330000}"/>
    <cellStyle name="Normal 15 3 6" xfId="13093" xr:uid="{00000000-0005-0000-0000-000025330000}"/>
    <cellStyle name="Normal 15 4" xfId="13094" xr:uid="{00000000-0005-0000-0000-000026330000}"/>
    <cellStyle name="Normal 15 4 2" xfId="13095" xr:uid="{00000000-0005-0000-0000-000027330000}"/>
    <cellStyle name="Normal 15 4 2 2" xfId="13096" xr:uid="{00000000-0005-0000-0000-000028330000}"/>
    <cellStyle name="Normal 15 4 3" xfId="13097" xr:uid="{00000000-0005-0000-0000-000029330000}"/>
    <cellStyle name="Normal 15 4 3 2" xfId="13098" xr:uid="{00000000-0005-0000-0000-00002A330000}"/>
    <cellStyle name="Normal 15 4 3 2 2" xfId="13099" xr:uid="{00000000-0005-0000-0000-00002B330000}"/>
    <cellStyle name="Normal 15 4 3 3" xfId="13100" xr:uid="{00000000-0005-0000-0000-00002C330000}"/>
    <cellStyle name="Normal 15 4 4" xfId="13101" xr:uid="{00000000-0005-0000-0000-00002D330000}"/>
    <cellStyle name="Normal 15 4 4 2" xfId="13102" xr:uid="{00000000-0005-0000-0000-00002E330000}"/>
    <cellStyle name="Normal 15 4 4 2 2" xfId="13103" xr:uid="{00000000-0005-0000-0000-00002F330000}"/>
    <cellStyle name="Normal 15 4 4 3" xfId="13104" xr:uid="{00000000-0005-0000-0000-000030330000}"/>
    <cellStyle name="Normal 15 4 5" xfId="13105" xr:uid="{00000000-0005-0000-0000-000031330000}"/>
    <cellStyle name="Normal 15 5" xfId="13106" xr:uid="{00000000-0005-0000-0000-000032330000}"/>
    <cellStyle name="Normal 15 5 2" xfId="13107" xr:uid="{00000000-0005-0000-0000-000033330000}"/>
    <cellStyle name="Normal 15 5 2 2" xfId="13108" xr:uid="{00000000-0005-0000-0000-000034330000}"/>
    <cellStyle name="Normal 15 5 2 2 2" xfId="13109" xr:uid="{00000000-0005-0000-0000-000035330000}"/>
    <cellStyle name="Normal 15 5 2 3" xfId="13110" xr:uid="{00000000-0005-0000-0000-000036330000}"/>
    <cellStyle name="Normal 15 5 2 3 2" xfId="13111" xr:uid="{00000000-0005-0000-0000-000037330000}"/>
    <cellStyle name="Normal 15 5 2 3 2 2" xfId="13112" xr:uid="{00000000-0005-0000-0000-000038330000}"/>
    <cellStyle name="Normal 15 5 2 3 3" xfId="13113" xr:uid="{00000000-0005-0000-0000-000039330000}"/>
    <cellStyle name="Normal 15 5 2 4" xfId="13114" xr:uid="{00000000-0005-0000-0000-00003A330000}"/>
    <cellStyle name="Normal 15 5 3" xfId="13115" xr:uid="{00000000-0005-0000-0000-00003B330000}"/>
    <cellStyle name="Normal 15 5 3 2" xfId="13116" xr:uid="{00000000-0005-0000-0000-00003C330000}"/>
    <cellStyle name="Normal 15 5 3 2 2" xfId="13117" xr:uid="{00000000-0005-0000-0000-00003D330000}"/>
    <cellStyle name="Normal 15 5 3 3" xfId="13118" xr:uid="{00000000-0005-0000-0000-00003E330000}"/>
    <cellStyle name="Normal 15 5 4" xfId="13119" xr:uid="{00000000-0005-0000-0000-00003F330000}"/>
    <cellStyle name="Normal 15 5 4 2" xfId="13120" xr:uid="{00000000-0005-0000-0000-000040330000}"/>
    <cellStyle name="Normal 15 5 4 2 2" xfId="13121" xr:uid="{00000000-0005-0000-0000-000041330000}"/>
    <cellStyle name="Normal 15 5 4 3" xfId="13122" xr:uid="{00000000-0005-0000-0000-000042330000}"/>
    <cellStyle name="Normal 15 5 5" xfId="13123" xr:uid="{00000000-0005-0000-0000-000043330000}"/>
    <cellStyle name="Normal 15 5 5 2" xfId="13124" xr:uid="{00000000-0005-0000-0000-000044330000}"/>
    <cellStyle name="Normal 15 5 5 2 2" xfId="13125" xr:uid="{00000000-0005-0000-0000-000045330000}"/>
    <cellStyle name="Normal 15 5 5 3" xfId="13126" xr:uid="{00000000-0005-0000-0000-000046330000}"/>
    <cellStyle name="Normal 15 5 6" xfId="13127" xr:uid="{00000000-0005-0000-0000-000047330000}"/>
    <cellStyle name="Normal 15 6" xfId="13128" xr:uid="{00000000-0005-0000-0000-000048330000}"/>
    <cellStyle name="Normal 15 6 2" xfId="13129" xr:uid="{00000000-0005-0000-0000-000049330000}"/>
    <cellStyle name="Normal 15 6 2 2" xfId="13130" xr:uid="{00000000-0005-0000-0000-00004A330000}"/>
    <cellStyle name="Normal 15 6 2 2 2" xfId="13131" xr:uid="{00000000-0005-0000-0000-00004B330000}"/>
    <cellStyle name="Normal 15 6 2 3" xfId="13132" xr:uid="{00000000-0005-0000-0000-00004C330000}"/>
    <cellStyle name="Normal 15 6 2 3 2" xfId="13133" xr:uid="{00000000-0005-0000-0000-00004D330000}"/>
    <cellStyle name="Normal 15 6 2 3 2 2" xfId="13134" xr:uid="{00000000-0005-0000-0000-00004E330000}"/>
    <cellStyle name="Normal 15 6 2 3 3" xfId="13135" xr:uid="{00000000-0005-0000-0000-00004F330000}"/>
    <cellStyle name="Normal 15 6 2 4" xfId="13136" xr:uid="{00000000-0005-0000-0000-000050330000}"/>
    <cellStyle name="Normal 15 6 3" xfId="13137" xr:uid="{00000000-0005-0000-0000-000051330000}"/>
    <cellStyle name="Normal 15 6 3 2" xfId="13138" xr:uid="{00000000-0005-0000-0000-000052330000}"/>
    <cellStyle name="Normal 15 6 3 2 2" xfId="13139" xr:uid="{00000000-0005-0000-0000-000053330000}"/>
    <cellStyle name="Normal 15 6 3 3" xfId="13140" xr:uid="{00000000-0005-0000-0000-000054330000}"/>
    <cellStyle name="Normal 15 6 4" xfId="13141" xr:uid="{00000000-0005-0000-0000-000055330000}"/>
    <cellStyle name="Normal 15 6 4 2" xfId="13142" xr:uid="{00000000-0005-0000-0000-000056330000}"/>
    <cellStyle name="Normal 15 6 4 2 2" xfId="13143" xr:uid="{00000000-0005-0000-0000-000057330000}"/>
    <cellStyle name="Normal 15 6 4 3" xfId="13144" xr:uid="{00000000-0005-0000-0000-000058330000}"/>
    <cellStyle name="Normal 15 6 5" xfId="13145" xr:uid="{00000000-0005-0000-0000-000059330000}"/>
    <cellStyle name="Normal 15 7" xfId="13146" xr:uid="{00000000-0005-0000-0000-00005A330000}"/>
    <cellStyle name="Normal 15 8" xfId="13147" xr:uid="{00000000-0005-0000-0000-00005B330000}"/>
    <cellStyle name="Normal 150" xfId="13148" xr:uid="{00000000-0005-0000-0000-00005C330000}"/>
    <cellStyle name="Normal 150 2" xfId="13149" xr:uid="{00000000-0005-0000-0000-00005D330000}"/>
    <cellStyle name="Normal 150 2 2" xfId="13150" xr:uid="{00000000-0005-0000-0000-00005E330000}"/>
    <cellStyle name="Normal 150 2 2 2" xfId="13151" xr:uid="{00000000-0005-0000-0000-00005F330000}"/>
    <cellStyle name="Normal 150 2 3" xfId="13152" xr:uid="{00000000-0005-0000-0000-000060330000}"/>
    <cellStyle name="Normal 150 2 3 2" xfId="13153" xr:uid="{00000000-0005-0000-0000-000061330000}"/>
    <cellStyle name="Normal 150 2 3 2 2" xfId="13154" xr:uid="{00000000-0005-0000-0000-000062330000}"/>
    <cellStyle name="Normal 150 2 3 3" xfId="13155" xr:uid="{00000000-0005-0000-0000-000063330000}"/>
    <cellStyle name="Normal 150 2 4" xfId="13156" xr:uid="{00000000-0005-0000-0000-000064330000}"/>
    <cellStyle name="Normal 150 2 4 2" xfId="13157" xr:uid="{00000000-0005-0000-0000-000065330000}"/>
    <cellStyle name="Normal 150 2 4 2 2" xfId="13158" xr:uid="{00000000-0005-0000-0000-000066330000}"/>
    <cellStyle name="Normal 150 2 4 3" xfId="13159" xr:uid="{00000000-0005-0000-0000-000067330000}"/>
    <cellStyle name="Normal 150 2 5" xfId="13160" xr:uid="{00000000-0005-0000-0000-000068330000}"/>
    <cellStyle name="Normal 150 3" xfId="13161" xr:uid="{00000000-0005-0000-0000-000069330000}"/>
    <cellStyle name="Normal 150 3 2" xfId="13162" xr:uid="{00000000-0005-0000-0000-00006A330000}"/>
    <cellStyle name="Normal 150 3 2 2" xfId="13163" xr:uid="{00000000-0005-0000-0000-00006B330000}"/>
    <cellStyle name="Normal 150 3 2 2 2" xfId="13164" xr:uid="{00000000-0005-0000-0000-00006C330000}"/>
    <cellStyle name="Normal 150 3 2 3" xfId="13165" xr:uid="{00000000-0005-0000-0000-00006D330000}"/>
    <cellStyle name="Normal 150 3 2 3 2" xfId="13166" xr:uid="{00000000-0005-0000-0000-00006E330000}"/>
    <cellStyle name="Normal 150 3 2 3 2 2" xfId="13167" xr:uid="{00000000-0005-0000-0000-00006F330000}"/>
    <cellStyle name="Normal 150 3 2 3 3" xfId="13168" xr:uid="{00000000-0005-0000-0000-000070330000}"/>
    <cellStyle name="Normal 150 3 2 4" xfId="13169" xr:uid="{00000000-0005-0000-0000-000071330000}"/>
    <cellStyle name="Normal 150 3 3" xfId="13170" xr:uid="{00000000-0005-0000-0000-000072330000}"/>
    <cellStyle name="Normal 150 3 3 2" xfId="13171" xr:uid="{00000000-0005-0000-0000-000073330000}"/>
    <cellStyle name="Normal 150 3 3 2 2" xfId="13172" xr:uid="{00000000-0005-0000-0000-000074330000}"/>
    <cellStyle name="Normal 150 3 3 3" xfId="13173" xr:uid="{00000000-0005-0000-0000-000075330000}"/>
    <cellStyle name="Normal 150 3 4" xfId="13174" xr:uid="{00000000-0005-0000-0000-000076330000}"/>
    <cellStyle name="Normal 150 3 4 2" xfId="13175" xr:uid="{00000000-0005-0000-0000-000077330000}"/>
    <cellStyle name="Normal 150 3 4 2 2" xfId="13176" xr:uid="{00000000-0005-0000-0000-000078330000}"/>
    <cellStyle name="Normal 150 3 4 3" xfId="13177" xr:uid="{00000000-0005-0000-0000-000079330000}"/>
    <cellStyle name="Normal 150 3 5" xfId="13178" xr:uid="{00000000-0005-0000-0000-00007A330000}"/>
    <cellStyle name="Normal 150 3 5 2" xfId="13179" xr:uid="{00000000-0005-0000-0000-00007B330000}"/>
    <cellStyle name="Normal 150 3 5 2 2" xfId="13180" xr:uid="{00000000-0005-0000-0000-00007C330000}"/>
    <cellStyle name="Normal 150 3 5 3" xfId="13181" xr:uid="{00000000-0005-0000-0000-00007D330000}"/>
    <cellStyle name="Normal 150 3 6" xfId="13182" xr:uid="{00000000-0005-0000-0000-00007E330000}"/>
    <cellStyle name="Normal 150 4" xfId="13183" xr:uid="{00000000-0005-0000-0000-00007F330000}"/>
    <cellStyle name="Normal 150 4 2" xfId="13184" xr:uid="{00000000-0005-0000-0000-000080330000}"/>
    <cellStyle name="Normal 150 4 2 2" xfId="13185" xr:uid="{00000000-0005-0000-0000-000081330000}"/>
    <cellStyle name="Normal 150 4 3" xfId="13186" xr:uid="{00000000-0005-0000-0000-000082330000}"/>
    <cellStyle name="Normal 150 5" xfId="13187" xr:uid="{00000000-0005-0000-0000-000083330000}"/>
    <cellStyle name="Normal 150 5 2" xfId="13188" xr:uid="{00000000-0005-0000-0000-000084330000}"/>
    <cellStyle name="Normal 150 5 2 2" xfId="13189" xr:uid="{00000000-0005-0000-0000-000085330000}"/>
    <cellStyle name="Normal 150 5 3" xfId="13190" xr:uid="{00000000-0005-0000-0000-000086330000}"/>
    <cellStyle name="Normal 150 6" xfId="13191" xr:uid="{00000000-0005-0000-0000-000087330000}"/>
    <cellStyle name="Normal 150 6 2" xfId="13192" xr:uid="{00000000-0005-0000-0000-000088330000}"/>
    <cellStyle name="Normal 150 6 2 2" xfId="13193" xr:uid="{00000000-0005-0000-0000-000089330000}"/>
    <cellStyle name="Normal 150 6 3" xfId="13194" xr:uid="{00000000-0005-0000-0000-00008A330000}"/>
    <cellStyle name="Normal 150 7" xfId="13195" xr:uid="{00000000-0005-0000-0000-00008B330000}"/>
    <cellStyle name="Normal 151" xfId="13196" xr:uid="{00000000-0005-0000-0000-00008C330000}"/>
    <cellStyle name="Normal 151 2" xfId="13197" xr:uid="{00000000-0005-0000-0000-00008D330000}"/>
    <cellStyle name="Normal 151 2 2" xfId="13198" xr:uid="{00000000-0005-0000-0000-00008E330000}"/>
    <cellStyle name="Normal 151 2 2 2" xfId="13199" xr:uid="{00000000-0005-0000-0000-00008F330000}"/>
    <cellStyle name="Normal 151 2 3" xfId="13200" xr:uid="{00000000-0005-0000-0000-000090330000}"/>
    <cellStyle name="Normal 151 2 3 2" xfId="13201" xr:uid="{00000000-0005-0000-0000-000091330000}"/>
    <cellStyle name="Normal 151 2 3 2 2" xfId="13202" xr:uid="{00000000-0005-0000-0000-000092330000}"/>
    <cellStyle name="Normal 151 2 3 3" xfId="13203" xr:uid="{00000000-0005-0000-0000-000093330000}"/>
    <cellStyle name="Normal 151 2 4" xfId="13204" xr:uid="{00000000-0005-0000-0000-000094330000}"/>
    <cellStyle name="Normal 151 2 4 2" xfId="13205" xr:uid="{00000000-0005-0000-0000-000095330000}"/>
    <cellStyle name="Normal 151 2 4 2 2" xfId="13206" xr:uid="{00000000-0005-0000-0000-000096330000}"/>
    <cellStyle name="Normal 151 2 4 3" xfId="13207" xr:uid="{00000000-0005-0000-0000-000097330000}"/>
    <cellStyle name="Normal 151 2 5" xfId="13208" xr:uid="{00000000-0005-0000-0000-000098330000}"/>
    <cellStyle name="Normal 151 3" xfId="13209" xr:uid="{00000000-0005-0000-0000-000099330000}"/>
    <cellStyle name="Normal 151 3 2" xfId="13210" xr:uid="{00000000-0005-0000-0000-00009A330000}"/>
    <cellStyle name="Normal 151 3 2 2" xfId="13211" xr:uid="{00000000-0005-0000-0000-00009B330000}"/>
    <cellStyle name="Normal 151 3 2 2 2" xfId="13212" xr:uid="{00000000-0005-0000-0000-00009C330000}"/>
    <cellStyle name="Normal 151 3 2 3" xfId="13213" xr:uid="{00000000-0005-0000-0000-00009D330000}"/>
    <cellStyle name="Normal 151 3 2 3 2" xfId="13214" xr:uid="{00000000-0005-0000-0000-00009E330000}"/>
    <cellStyle name="Normal 151 3 2 3 2 2" xfId="13215" xr:uid="{00000000-0005-0000-0000-00009F330000}"/>
    <cellStyle name="Normal 151 3 2 3 3" xfId="13216" xr:uid="{00000000-0005-0000-0000-0000A0330000}"/>
    <cellStyle name="Normal 151 3 2 4" xfId="13217" xr:uid="{00000000-0005-0000-0000-0000A1330000}"/>
    <cellStyle name="Normal 151 3 3" xfId="13218" xr:uid="{00000000-0005-0000-0000-0000A2330000}"/>
    <cellStyle name="Normal 151 3 3 2" xfId="13219" xr:uid="{00000000-0005-0000-0000-0000A3330000}"/>
    <cellStyle name="Normal 151 3 3 2 2" xfId="13220" xr:uid="{00000000-0005-0000-0000-0000A4330000}"/>
    <cellStyle name="Normal 151 3 3 3" xfId="13221" xr:uid="{00000000-0005-0000-0000-0000A5330000}"/>
    <cellStyle name="Normal 151 3 4" xfId="13222" xr:uid="{00000000-0005-0000-0000-0000A6330000}"/>
    <cellStyle name="Normal 151 3 4 2" xfId="13223" xr:uid="{00000000-0005-0000-0000-0000A7330000}"/>
    <cellStyle name="Normal 151 3 4 2 2" xfId="13224" xr:uid="{00000000-0005-0000-0000-0000A8330000}"/>
    <cellStyle name="Normal 151 3 4 3" xfId="13225" xr:uid="{00000000-0005-0000-0000-0000A9330000}"/>
    <cellStyle name="Normal 151 3 5" xfId="13226" xr:uid="{00000000-0005-0000-0000-0000AA330000}"/>
    <cellStyle name="Normal 151 3 5 2" xfId="13227" xr:uid="{00000000-0005-0000-0000-0000AB330000}"/>
    <cellStyle name="Normal 151 3 5 2 2" xfId="13228" xr:uid="{00000000-0005-0000-0000-0000AC330000}"/>
    <cellStyle name="Normal 151 3 5 3" xfId="13229" xr:uid="{00000000-0005-0000-0000-0000AD330000}"/>
    <cellStyle name="Normal 151 3 6" xfId="13230" xr:uid="{00000000-0005-0000-0000-0000AE330000}"/>
    <cellStyle name="Normal 151 4" xfId="13231" xr:uid="{00000000-0005-0000-0000-0000AF330000}"/>
    <cellStyle name="Normal 151 4 2" xfId="13232" xr:uid="{00000000-0005-0000-0000-0000B0330000}"/>
    <cellStyle name="Normal 151 4 2 2" xfId="13233" xr:uid="{00000000-0005-0000-0000-0000B1330000}"/>
    <cellStyle name="Normal 151 4 3" xfId="13234" xr:uid="{00000000-0005-0000-0000-0000B2330000}"/>
    <cellStyle name="Normal 151 5" xfId="13235" xr:uid="{00000000-0005-0000-0000-0000B3330000}"/>
    <cellStyle name="Normal 151 5 2" xfId="13236" xr:uid="{00000000-0005-0000-0000-0000B4330000}"/>
    <cellStyle name="Normal 151 5 2 2" xfId="13237" xr:uid="{00000000-0005-0000-0000-0000B5330000}"/>
    <cellStyle name="Normal 151 5 3" xfId="13238" xr:uid="{00000000-0005-0000-0000-0000B6330000}"/>
    <cellStyle name="Normal 151 6" xfId="13239" xr:uid="{00000000-0005-0000-0000-0000B7330000}"/>
    <cellStyle name="Normal 151 6 2" xfId="13240" xr:uid="{00000000-0005-0000-0000-0000B8330000}"/>
    <cellStyle name="Normal 151 6 2 2" xfId="13241" xr:uid="{00000000-0005-0000-0000-0000B9330000}"/>
    <cellStyle name="Normal 151 6 3" xfId="13242" xr:uid="{00000000-0005-0000-0000-0000BA330000}"/>
    <cellStyle name="Normal 151 7" xfId="13243" xr:uid="{00000000-0005-0000-0000-0000BB330000}"/>
    <cellStyle name="Normal 152" xfId="13244" xr:uid="{00000000-0005-0000-0000-0000BC330000}"/>
    <cellStyle name="Normal 152 2" xfId="13245" xr:uid="{00000000-0005-0000-0000-0000BD330000}"/>
    <cellStyle name="Normal 152 2 2" xfId="13246" xr:uid="{00000000-0005-0000-0000-0000BE330000}"/>
    <cellStyle name="Normal 152 2 2 2" xfId="13247" xr:uid="{00000000-0005-0000-0000-0000BF330000}"/>
    <cellStyle name="Normal 152 2 3" xfId="13248" xr:uid="{00000000-0005-0000-0000-0000C0330000}"/>
    <cellStyle name="Normal 152 2 3 2" xfId="13249" xr:uid="{00000000-0005-0000-0000-0000C1330000}"/>
    <cellStyle name="Normal 152 2 3 2 2" xfId="13250" xr:uid="{00000000-0005-0000-0000-0000C2330000}"/>
    <cellStyle name="Normal 152 2 3 3" xfId="13251" xr:uid="{00000000-0005-0000-0000-0000C3330000}"/>
    <cellStyle name="Normal 152 2 4" xfId="13252" xr:uid="{00000000-0005-0000-0000-0000C4330000}"/>
    <cellStyle name="Normal 152 2 4 2" xfId="13253" xr:uid="{00000000-0005-0000-0000-0000C5330000}"/>
    <cellStyle name="Normal 152 2 4 2 2" xfId="13254" xr:uid="{00000000-0005-0000-0000-0000C6330000}"/>
    <cellStyle name="Normal 152 2 4 3" xfId="13255" xr:uid="{00000000-0005-0000-0000-0000C7330000}"/>
    <cellStyle name="Normal 152 2 5" xfId="13256" xr:uid="{00000000-0005-0000-0000-0000C8330000}"/>
    <cellStyle name="Normal 152 3" xfId="13257" xr:uid="{00000000-0005-0000-0000-0000C9330000}"/>
    <cellStyle name="Normal 152 3 2" xfId="13258" xr:uid="{00000000-0005-0000-0000-0000CA330000}"/>
    <cellStyle name="Normal 152 3 2 2" xfId="13259" xr:uid="{00000000-0005-0000-0000-0000CB330000}"/>
    <cellStyle name="Normal 152 3 2 2 2" xfId="13260" xr:uid="{00000000-0005-0000-0000-0000CC330000}"/>
    <cellStyle name="Normal 152 3 2 3" xfId="13261" xr:uid="{00000000-0005-0000-0000-0000CD330000}"/>
    <cellStyle name="Normal 152 3 2 3 2" xfId="13262" xr:uid="{00000000-0005-0000-0000-0000CE330000}"/>
    <cellStyle name="Normal 152 3 2 3 2 2" xfId="13263" xr:uid="{00000000-0005-0000-0000-0000CF330000}"/>
    <cellStyle name="Normal 152 3 2 3 3" xfId="13264" xr:uid="{00000000-0005-0000-0000-0000D0330000}"/>
    <cellStyle name="Normal 152 3 2 4" xfId="13265" xr:uid="{00000000-0005-0000-0000-0000D1330000}"/>
    <cellStyle name="Normal 152 3 3" xfId="13266" xr:uid="{00000000-0005-0000-0000-0000D2330000}"/>
    <cellStyle name="Normal 152 3 3 2" xfId="13267" xr:uid="{00000000-0005-0000-0000-0000D3330000}"/>
    <cellStyle name="Normal 152 3 3 2 2" xfId="13268" xr:uid="{00000000-0005-0000-0000-0000D4330000}"/>
    <cellStyle name="Normal 152 3 3 3" xfId="13269" xr:uid="{00000000-0005-0000-0000-0000D5330000}"/>
    <cellStyle name="Normal 152 3 4" xfId="13270" xr:uid="{00000000-0005-0000-0000-0000D6330000}"/>
    <cellStyle name="Normal 152 3 4 2" xfId="13271" xr:uid="{00000000-0005-0000-0000-0000D7330000}"/>
    <cellStyle name="Normal 152 3 4 2 2" xfId="13272" xr:uid="{00000000-0005-0000-0000-0000D8330000}"/>
    <cellStyle name="Normal 152 3 4 3" xfId="13273" xr:uid="{00000000-0005-0000-0000-0000D9330000}"/>
    <cellStyle name="Normal 152 3 5" xfId="13274" xr:uid="{00000000-0005-0000-0000-0000DA330000}"/>
    <cellStyle name="Normal 152 3 5 2" xfId="13275" xr:uid="{00000000-0005-0000-0000-0000DB330000}"/>
    <cellStyle name="Normal 152 3 5 2 2" xfId="13276" xr:uid="{00000000-0005-0000-0000-0000DC330000}"/>
    <cellStyle name="Normal 152 3 5 3" xfId="13277" xr:uid="{00000000-0005-0000-0000-0000DD330000}"/>
    <cellStyle name="Normal 152 3 6" xfId="13278" xr:uid="{00000000-0005-0000-0000-0000DE330000}"/>
    <cellStyle name="Normal 152 4" xfId="13279" xr:uid="{00000000-0005-0000-0000-0000DF330000}"/>
    <cellStyle name="Normal 152 4 2" xfId="13280" xr:uid="{00000000-0005-0000-0000-0000E0330000}"/>
    <cellStyle name="Normal 152 4 2 2" xfId="13281" xr:uid="{00000000-0005-0000-0000-0000E1330000}"/>
    <cellStyle name="Normal 152 4 3" xfId="13282" xr:uid="{00000000-0005-0000-0000-0000E2330000}"/>
    <cellStyle name="Normal 152 5" xfId="13283" xr:uid="{00000000-0005-0000-0000-0000E3330000}"/>
    <cellStyle name="Normal 152 5 2" xfId="13284" xr:uid="{00000000-0005-0000-0000-0000E4330000}"/>
    <cellStyle name="Normal 152 5 2 2" xfId="13285" xr:uid="{00000000-0005-0000-0000-0000E5330000}"/>
    <cellStyle name="Normal 152 5 3" xfId="13286" xr:uid="{00000000-0005-0000-0000-0000E6330000}"/>
    <cellStyle name="Normal 152 6" xfId="13287" xr:uid="{00000000-0005-0000-0000-0000E7330000}"/>
    <cellStyle name="Normal 152 6 2" xfId="13288" xr:uid="{00000000-0005-0000-0000-0000E8330000}"/>
    <cellStyle name="Normal 152 6 2 2" xfId="13289" xr:uid="{00000000-0005-0000-0000-0000E9330000}"/>
    <cellStyle name="Normal 152 6 3" xfId="13290" xr:uid="{00000000-0005-0000-0000-0000EA330000}"/>
    <cellStyle name="Normal 152 7" xfId="13291" xr:uid="{00000000-0005-0000-0000-0000EB330000}"/>
    <cellStyle name="Normal 153" xfId="13292" xr:uid="{00000000-0005-0000-0000-0000EC330000}"/>
    <cellStyle name="Normal 153 2" xfId="13293" xr:uid="{00000000-0005-0000-0000-0000ED330000}"/>
    <cellStyle name="Normal 153 2 2" xfId="13294" xr:uid="{00000000-0005-0000-0000-0000EE330000}"/>
    <cellStyle name="Normal 153 2 2 2" xfId="13295" xr:uid="{00000000-0005-0000-0000-0000EF330000}"/>
    <cellStyle name="Normal 153 2 3" xfId="13296" xr:uid="{00000000-0005-0000-0000-0000F0330000}"/>
    <cellStyle name="Normal 153 2 3 2" xfId="13297" xr:uid="{00000000-0005-0000-0000-0000F1330000}"/>
    <cellStyle name="Normal 153 2 3 2 2" xfId="13298" xr:uid="{00000000-0005-0000-0000-0000F2330000}"/>
    <cellStyle name="Normal 153 2 3 3" xfId="13299" xr:uid="{00000000-0005-0000-0000-0000F3330000}"/>
    <cellStyle name="Normal 153 2 4" xfId="13300" xr:uid="{00000000-0005-0000-0000-0000F4330000}"/>
    <cellStyle name="Normal 153 2 4 2" xfId="13301" xr:uid="{00000000-0005-0000-0000-0000F5330000}"/>
    <cellStyle name="Normal 153 2 4 2 2" xfId="13302" xr:uid="{00000000-0005-0000-0000-0000F6330000}"/>
    <cellStyle name="Normal 153 2 4 3" xfId="13303" xr:uid="{00000000-0005-0000-0000-0000F7330000}"/>
    <cellStyle name="Normal 153 2 5" xfId="13304" xr:uid="{00000000-0005-0000-0000-0000F8330000}"/>
    <cellStyle name="Normal 153 3" xfId="13305" xr:uid="{00000000-0005-0000-0000-0000F9330000}"/>
    <cellStyle name="Normal 153 3 2" xfId="13306" xr:uid="{00000000-0005-0000-0000-0000FA330000}"/>
    <cellStyle name="Normal 153 3 2 2" xfId="13307" xr:uid="{00000000-0005-0000-0000-0000FB330000}"/>
    <cellStyle name="Normal 153 3 2 2 2" xfId="13308" xr:uid="{00000000-0005-0000-0000-0000FC330000}"/>
    <cellStyle name="Normal 153 3 2 3" xfId="13309" xr:uid="{00000000-0005-0000-0000-0000FD330000}"/>
    <cellStyle name="Normal 153 3 2 3 2" xfId="13310" xr:uid="{00000000-0005-0000-0000-0000FE330000}"/>
    <cellStyle name="Normal 153 3 2 3 2 2" xfId="13311" xr:uid="{00000000-0005-0000-0000-0000FF330000}"/>
    <cellStyle name="Normal 153 3 2 3 3" xfId="13312" xr:uid="{00000000-0005-0000-0000-000000340000}"/>
    <cellStyle name="Normal 153 3 2 4" xfId="13313" xr:uid="{00000000-0005-0000-0000-000001340000}"/>
    <cellStyle name="Normal 153 3 3" xfId="13314" xr:uid="{00000000-0005-0000-0000-000002340000}"/>
    <cellStyle name="Normal 153 3 3 2" xfId="13315" xr:uid="{00000000-0005-0000-0000-000003340000}"/>
    <cellStyle name="Normal 153 3 3 2 2" xfId="13316" xr:uid="{00000000-0005-0000-0000-000004340000}"/>
    <cellStyle name="Normal 153 3 3 3" xfId="13317" xr:uid="{00000000-0005-0000-0000-000005340000}"/>
    <cellStyle name="Normal 153 3 4" xfId="13318" xr:uid="{00000000-0005-0000-0000-000006340000}"/>
    <cellStyle name="Normal 153 3 4 2" xfId="13319" xr:uid="{00000000-0005-0000-0000-000007340000}"/>
    <cellStyle name="Normal 153 3 4 2 2" xfId="13320" xr:uid="{00000000-0005-0000-0000-000008340000}"/>
    <cellStyle name="Normal 153 3 4 3" xfId="13321" xr:uid="{00000000-0005-0000-0000-000009340000}"/>
    <cellStyle name="Normal 153 3 5" xfId="13322" xr:uid="{00000000-0005-0000-0000-00000A340000}"/>
    <cellStyle name="Normal 153 3 5 2" xfId="13323" xr:uid="{00000000-0005-0000-0000-00000B340000}"/>
    <cellStyle name="Normal 153 3 5 2 2" xfId="13324" xr:uid="{00000000-0005-0000-0000-00000C340000}"/>
    <cellStyle name="Normal 153 3 5 3" xfId="13325" xr:uid="{00000000-0005-0000-0000-00000D340000}"/>
    <cellStyle name="Normal 153 3 6" xfId="13326" xr:uid="{00000000-0005-0000-0000-00000E340000}"/>
    <cellStyle name="Normal 153 4" xfId="13327" xr:uid="{00000000-0005-0000-0000-00000F340000}"/>
    <cellStyle name="Normal 153 4 2" xfId="13328" xr:uid="{00000000-0005-0000-0000-000010340000}"/>
    <cellStyle name="Normal 153 4 2 2" xfId="13329" xr:uid="{00000000-0005-0000-0000-000011340000}"/>
    <cellStyle name="Normal 153 4 3" xfId="13330" xr:uid="{00000000-0005-0000-0000-000012340000}"/>
    <cellStyle name="Normal 153 5" xfId="13331" xr:uid="{00000000-0005-0000-0000-000013340000}"/>
    <cellStyle name="Normal 153 5 2" xfId="13332" xr:uid="{00000000-0005-0000-0000-000014340000}"/>
    <cellStyle name="Normal 153 5 2 2" xfId="13333" xr:uid="{00000000-0005-0000-0000-000015340000}"/>
    <cellStyle name="Normal 153 5 3" xfId="13334" xr:uid="{00000000-0005-0000-0000-000016340000}"/>
    <cellStyle name="Normal 153 6" xfId="13335" xr:uid="{00000000-0005-0000-0000-000017340000}"/>
    <cellStyle name="Normal 153 6 2" xfId="13336" xr:uid="{00000000-0005-0000-0000-000018340000}"/>
    <cellStyle name="Normal 153 6 2 2" xfId="13337" xr:uid="{00000000-0005-0000-0000-000019340000}"/>
    <cellStyle name="Normal 153 6 3" xfId="13338" xr:uid="{00000000-0005-0000-0000-00001A340000}"/>
    <cellStyle name="Normal 153 7" xfId="13339" xr:uid="{00000000-0005-0000-0000-00001B340000}"/>
    <cellStyle name="Normal 154" xfId="13340" xr:uid="{00000000-0005-0000-0000-00001C340000}"/>
    <cellStyle name="Normal 154 2" xfId="13341" xr:uid="{00000000-0005-0000-0000-00001D340000}"/>
    <cellStyle name="Normal 154 2 2" xfId="13342" xr:uid="{00000000-0005-0000-0000-00001E340000}"/>
    <cellStyle name="Normal 154 2 2 2" xfId="13343" xr:uid="{00000000-0005-0000-0000-00001F340000}"/>
    <cellStyle name="Normal 154 2 3" xfId="13344" xr:uid="{00000000-0005-0000-0000-000020340000}"/>
    <cellStyle name="Normal 154 2 3 2" xfId="13345" xr:uid="{00000000-0005-0000-0000-000021340000}"/>
    <cellStyle name="Normal 154 2 3 2 2" xfId="13346" xr:uid="{00000000-0005-0000-0000-000022340000}"/>
    <cellStyle name="Normal 154 2 3 3" xfId="13347" xr:uid="{00000000-0005-0000-0000-000023340000}"/>
    <cellStyle name="Normal 154 2 4" xfId="13348" xr:uid="{00000000-0005-0000-0000-000024340000}"/>
    <cellStyle name="Normal 154 2 4 2" xfId="13349" xr:uid="{00000000-0005-0000-0000-000025340000}"/>
    <cellStyle name="Normal 154 2 4 2 2" xfId="13350" xr:uid="{00000000-0005-0000-0000-000026340000}"/>
    <cellStyle name="Normal 154 2 4 3" xfId="13351" xr:uid="{00000000-0005-0000-0000-000027340000}"/>
    <cellStyle name="Normal 154 2 5" xfId="13352" xr:uid="{00000000-0005-0000-0000-000028340000}"/>
    <cellStyle name="Normal 154 3" xfId="13353" xr:uid="{00000000-0005-0000-0000-000029340000}"/>
    <cellStyle name="Normal 154 3 2" xfId="13354" xr:uid="{00000000-0005-0000-0000-00002A340000}"/>
    <cellStyle name="Normal 154 3 2 2" xfId="13355" xr:uid="{00000000-0005-0000-0000-00002B340000}"/>
    <cellStyle name="Normal 154 3 2 2 2" xfId="13356" xr:uid="{00000000-0005-0000-0000-00002C340000}"/>
    <cellStyle name="Normal 154 3 2 3" xfId="13357" xr:uid="{00000000-0005-0000-0000-00002D340000}"/>
    <cellStyle name="Normal 154 3 2 3 2" xfId="13358" xr:uid="{00000000-0005-0000-0000-00002E340000}"/>
    <cellStyle name="Normal 154 3 2 3 2 2" xfId="13359" xr:uid="{00000000-0005-0000-0000-00002F340000}"/>
    <cellStyle name="Normal 154 3 2 3 3" xfId="13360" xr:uid="{00000000-0005-0000-0000-000030340000}"/>
    <cellStyle name="Normal 154 3 2 4" xfId="13361" xr:uid="{00000000-0005-0000-0000-000031340000}"/>
    <cellStyle name="Normal 154 3 3" xfId="13362" xr:uid="{00000000-0005-0000-0000-000032340000}"/>
    <cellStyle name="Normal 154 3 3 2" xfId="13363" xr:uid="{00000000-0005-0000-0000-000033340000}"/>
    <cellStyle name="Normal 154 3 3 2 2" xfId="13364" xr:uid="{00000000-0005-0000-0000-000034340000}"/>
    <cellStyle name="Normal 154 3 3 3" xfId="13365" xr:uid="{00000000-0005-0000-0000-000035340000}"/>
    <cellStyle name="Normal 154 3 4" xfId="13366" xr:uid="{00000000-0005-0000-0000-000036340000}"/>
    <cellStyle name="Normal 154 3 4 2" xfId="13367" xr:uid="{00000000-0005-0000-0000-000037340000}"/>
    <cellStyle name="Normal 154 3 4 2 2" xfId="13368" xr:uid="{00000000-0005-0000-0000-000038340000}"/>
    <cellStyle name="Normal 154 3 4 3" xfId="13369" xr:uid="{00000000-0005-0000-0000-000039340000}"/>
    <cellStyle name="Normal 154 3 5" xfId="13370" xr:uid="{00000000-0005-0000-0000-00003A340000}"/>
    <cellStyle name="Normal 154 3 5 2" xfId="13371" xr:uid="{00000000-0005-0000-0000-00003B340000}"/>
    <cellStyle name="Normal 154 3 5 2 2" xfId="13372" xr:uid="{00000000-0005-0000-0000-00003C340000}"/>
    <cellStyle name="Normal 154 3 5 3" xfId="13373" xr:uid="{00000000-0005-0000-0000-00003D340000}"/>
    <cellStyle name="Normal 154 3 6" xfId="13374" xr:uid="{00000000-0005-0000-0000-00003E340000}"/>
    <cellStyle name="Normal 154 4" xfId="13375" xr:uid="{00000000-0005-0000-0000-00003F340000}"/>
    <cellStyle name="Normal 154 4 2" xfId="13376" xr:uid="{00000000-0005-0000-0000-000040340000}"/>
    <cellStyle name="Normal 154 4 2 2" xfId="13377" xr:uid="{00000000-0005-0000-0000-000041340000}"/>
    <cellStyle name="Normal 154 4 3" xfId="13378" xr:uid="{00000000-0005-0000-0000-000042340000}"/>
    <cellStyle name="Normal 154 5" xfId="13379" xr:uid="{00000000-0005-0000-0000-000043340000}"/>
    <cellStyle name="Normal 154 5 2" xfId="13380" xr:uid="{00000000-0005-0000-0000-000044340000}"/>
    <cellStyle name="Normal 154 5 2 2" xfId="13381" xr:uid="{00000000-0005-0000-0000-000045340000}"/>
    <cellStyle name="Normal 154 5 3" xfId="13382" xr:uid="{00000000-0005-0000-0000-000046340000}"/>
    <cellStyle name="Normal 154 6" xfId="13383" xr:uid="{00000000-0005-0000-0000-000047340000}"/>
    <cellStyle name="Normal 154 6 2" xfId="13384" xr:uid="{00000000-0005-0000-0000-000048340000}"/>
    <cellStyle name="Normal 154 6 2 2" xfId="13385" xr:uid="{00000000-0005-0000-0000-000049340000}"/>
    <cellStyle name="Normal 154 6 3" xfId="13386" xr:uid="{00000000-0005-0000-0000-00004A340000}"/>
    <cellStyle name="Normal 154 7" xfId="13387" xr:uid="{00000000-0005-0000-0000-00004B340000}"/>
    <cellStyle name="Normal 155" xfId="13388" xr:uid="{00000000-0005-0000-0000-00004C340000}"/>
    <cellStyle name="Normal 155 2" xfId="13389" xr:uid="{00000000-0005-0000-0000-00004D340000}"/>
    <cellStyle name="Normal 155 2 2" xfId="13390" xr:uid="{00000000-0005-0000-0000-00004E340000}"/>
    <cellStyle name="Normal 155 2 2 2" xfId="13391" xr:uid="{00000000-0005-0000-0000-00004F340000}"/>
    <cellStyle name="Normal 155 2 3" xfId="13392" xr:uid="{00000000-0005-0000-0000-000050340000}"/>
    <cellStyle name="Normal 155 2 3 2" xfId="13393" xr:uid="{00000000-0005-0000-0000-000051340000}"/>
    <cellStyle name="Normal 155 2 3 2 2" xfId="13394" xr:uid="{00000000-0005-0000-0000-000052340000}"/>
    <cellStyle name="Normal 155 2 3 3" xfId="13395" xr:uid="{00000000-0005-0000-0000-000053340000}"/>
    <cellStyle name="Normal 155 2 4" xfId="13396" xr:uid="{00000000-0005-0000-0000-000054340000}"/>
    <cellStyle name="Normal 155 2 4 2" xfId="13397" xr:uid="{00000000-0005-0000-0000-000055340000}"/>
    <cellStyle name="Normal 155 2 4 2 2" xfId="13398" xr:uid="{00000000-0005-0000-0000-000056340000}"/>
    <cellStyle name="Normal 155 2 4 3" xfId="13399" xr:uid="{00000000-0005-0000-0000-000057340000}"/>
    <cellStyle name="Normal 155 2 5" xfId="13400" xr:uid="{00000000-0005-0000-0000-000058340000}"/>
    <cellStyle name="Normal 155 3" xfId="13401" xr:uid="{00000000-0005-0000-0000-000059340000}"/>
    <cellStyle name="Normal 155 3 2" xfId="13402" xr:uid="{00000000-0005-0000-0000-00005A340000}"/>
    <cellStyle name="Normal 155 3 2 2" xfId="13403" xr:uid="{00000000-0005-0000-0000-00005B340000}"/>
    <cellStyle name="Normal 155 3 2 2 2" xfId="13404" xr:uid="{00000000-0005-0000-0000-00005C340000}"/>
    <cellStyle name="Normal 155 3 2 3" xfId="13405" xr:uid="{00000000-0005-0000-0000-00005D340000}"/>
    <cellStyle name="Normal 155 3 2 3 2" xfId="13406" xr:uid="{00000000-0005-0000-0000-00005E340000}"/>
    <cellStyle name="Normal 155 3 2 3 2 2" xfId="13407" xr:uid="{00000000-0005-0000-0000-00005F340000}"/>
    <cellStyle name="Normal 155 3 2 3 3" xfId="13408" xr:uid="{00000000-0005-0000-0000-000060340000}"/>
    <cellStyle name="Normal 155 3 2 4" xfId="13409" xr:uid="{00000000-0005-0000-0000-000061340000}"/>
    <cellStyle name="Normal 155 3 3" xfId="13410" xr:uid="{00000000-0005-0000-0000-000062340000}"/>
    <cellStyle name="Normal 155 3 3 2" xfId="13411" xr:uid="{00000000-0005-0000-0000-000063340000}"/>
    <cellStyle name="Normal 155 3 3 2 2" xfId="13412" xr:uid="{00000000-0005-0000-0000-000064340000}"/>
    <cellStyle name="Normal 155 3 3 3" xfId="13413" xr:uid="{00000000-0005-0000-0000-000065340000}"/>
    <cellStyle name="Normal 155 3 4" xfId="13414" xr:uid="{00000000-0005-0000-0000-000066340000}"/>
    <cellStyle name="Normal 155 3 4 2" xfId="13415" xr:uid="{00000000-0005-0000-0000-000067340000}"/>
    <cellStyle name="Normal 155 3 4 2 2" xfId="13416" xr:uid="{00000000-0005-0000-0000-000068340000}"/>
    <cellStyle name="Normal 155 3 4 3" xfId="13417" xr:uid="{00000000-0005-0000-0000-000069340000}"/>
    <cellStyle name="Normal 155 3 5" xfId="13418" xr:uid="{00000000-0005-0000-0000-00006A340000}"/>
    <cellStyle name="Normal 155 3 5 2" xfId="13419" xr:uid="{00000000-0005-0000-0000-00006B340000}"/>
    <cellStyle name="Normal 155 3 5 2 2" xfId="13420" xr:uid="{00000000-0005-0000-0000-00006C340000}"/>
    <cellStyle name="Normal 155 3 5 3" xfId="13421" xr:uid="{00000000-0005-0000-0000-00006D340000}"/>
    <cellStyle name="Normal 155 3 6" xfId="13422" xr:uid="{00000000-0005-0000-0000-00006E340000}"/>
    <cellStyle name="Normal 155 4" xfId="13423" xr:uid="{00000000-0005-0000-0000-00006F340000}"/>
    <cellStyle name="Normal 155 4 2" xfId="13424" xr:uid="{00000000-0005-0000-0000-000070340000}"/>
    <cellStyle name="Normal 155 4 2 2" xfId="13425" xr:uid="{00000000-0005-0000-0000-000071340000}"/>
    <cellStyle name="Normal 155 4 3" xfId="13426" xr:uid="{00000000-0005-0000-0000-000072340000}"/>
    <cellStyle name="Normal 155 5" xfId="13427" xr:uid="{00000000-0005-0000-0000-000073340000}"/>
    <cellStyle name="Normal 155 5 2" xfId="13428" xr:uid="{00000000-0005-0000-0000-000074340000}"/>
    <cellStyle name="Normal 155 5 2 2" xfId="13429" xr:uid="{00000000-0005-0000-0000-000075340000}"/>
    <cellStyle name="Normal 155 5 3" xfId="13430" xr:uid="{00000000-0005-0000-0000-000076340000}"/>
    <cellStyle name="Normal 155 6" xfId="13431" xr:uid="{00000000-0005-0000-0000-000077340000}"/>
    <cellStyle name="Normal 155 6 2" xfId="13432" xr:uid="{00000000-0005-0000-0000-000078340000}"/>
    <cellStyle name="Normal 155 6 2 2" xfId="13433" xr:uid="{00000000-0005-0000-0000-000079340000}"/>
    <cellStyle name="Normal 155 6 3" xfId="13434" xr:uid="{00000000-0005-0000-0000-00007A340000}"/>
    <cellStyle name="Normal 155 7" xfId="13435" xr:uid="{00000000-0005-0000-0000-00007B340000}"/>
    <cellStyle name="Normal 156" xfId="13436" xr:uid="{00000000-0005-0000-0000-00007C340000}"/>
    <cellStyle name="Normal 156 2" xfId="13437" xr:uid="{00000000-0005-0000-0000-00007D340000}"/>
    <cellStyle name="Normal 156 2 2" xfId="13438" xr:uid="{00000000-0005-0000-0000-00007E340000}"/>
    <cellStyle name="Normal 156 2 2 2" xfId="13439" xr:uid="{00000000-0005-0000-0000-00007F340000}"/>
    <cellStyle name="Normal 156 2 3" xfId="13440" xr:uid="{00000000-0005-0000-0000-000080340000}"/>
    <cellStyle name="Normal 156 2 3 2" xfId="13441" xr:uid="{00000000-0005-0000-0000-000081340000}"/>
    <cellStyle name="Normal 156 2 3 2 2" xfId="13442" xr:uid="{00000000-0005-0000-0000-000082340000}"/>
    <cellStyle name="Normal 156 2 3 3" xfId="13443" xr:uid="{00000000-0005-0000-0000-000083340000}"/>
    <cellStyle name="Normal 156 2 4" xfId="13444" xr:uid="{00000000-0005-0000-0000-000084340000}"/>
    <cellStyle name="Normal 156 2 4 2" xfId="13445" xr:uid="{00000000-0005-0000-0000-000085340000}"/>
    <cellStyle name="Normal 156 2 4 2 2" xfId="13446" xr:uid="{00000000-0005-0000-0000-000086340000}"/>
    <cellStyle name="Normal 156 2 4 3" xfId="13447" xr:uid="{00000000-0005-0000-0000-000087340000}"/>
    <cellStyle name="Normal 156 2 5" xfId="13448" xr:uid="{00000000-0005-0000-0000-000088340000}"/>
    <cellStyle name="Normal 156 3" xfId="13449" xr:uid="{00000000-0005-0000-0000-000089340000}"/>
    <cellStyle name="Normal 156 3 2" xfId="13450" xr:uid="{00000000-0005-0000-0000-00008A340000}"/>
    <cellStyle name="Normal 156 3 2 2" xfId="13451" xr:uid="{00000000-0005-0000-0000-00008B340000}"/>
    <cellStyle name="Normal 156 3 2 2 2" xfId="13452" xr:uid="{00000000-0005-0000-0000-00008C340000}"/>
    <cellStyle name="Normal 156 3 2 3" xfId="13453" xr:uid="{00000000-0005-0000-0000-00008D340000}"/>
    <cellStyle name="Normal 156 3 2 3 2" xfId="13454" xr:uid="{00000000-0005-0000-0000-00008E340000}"/>
    <cellStyle name="Normal 156 3 2 3 2 2" xfId="13455" xr:uid="{00000000-0005-0000-0000-00008F340000}"/>
    <cellStyle name="Normal 156 3 2 3 3" xfId="13456" xr:uid="{00000000-0005-0000-0000-000090340000}"/>
    <cellStyle name="Normal 156 3 2 4" xfId="13457" xr:uid="{00000000-0005-0000-0000-000091340000}"/>
    <cellStyle name="Normal 156 3 3" xfId="13458" xr:uid="{00000000-0005-0000-0000-000092340000}"/>
    <cellStyle name="Normal 156 3 3 2" xfId="13459" xr:uid="{00000000-0005-0000-0000-000093340000}"/>
    <cellStyle name="Normal 156 3 3 2 2" xfId="13460" xr:uid="{00000000-0005-0000-0000-000094340000}"/>
    <cellStyle name="Normal 156 3 3 3" xfId="13461" xr:uid="{00000000-0005-0000-0000-000095340000}"/>
    <cellStyle name="Normal 156 3 4" xfId="13462" xr:uid="{00000000-0005-0000-0000-000096340000}"/>
    <cellStyle name="Normal 156 3 4 2" xfId="13463" xr:uid="{00000000-0005-0000-0000-000097340000}"/>
    <cellStyle name="Normal 156 3 4 2 2" xfId="13464" xr:uid="{00000000-0005-0000-0000-000098340000}"/>
    <cellStyle name="Normal 156 3 4 3" xfId="13465" xr:uid="{00000000-0005-0000-0000-000099340000}"/>
    <cellStyle name="Normal 156 3 5" xfId="13466" xr:uid="{00000000-0005-0000-0000-00009A340000}"/>
    <cellStyle name="Normal 156 3 5 2" xfId="13467" xr:uid="{00000000-0005-0000-0000-00009B340000}"/>
    <cellStyle name="Normal 156 3 5 2 2" xfId="13468" xr:uid="{00000000-0005-0000-0000-00009C340000}"/>
    <cellStyle name="Normal 156 3 5 3" xfId="13469" xr:uid="{00000000-0005-0000-0000-00009D340000}"/>
    <cellStyle name="Normal 156 3 6" xfId="13470" xr:uid="{00000000-0005-0000-0000-00009E340000}"/>
    <cellStyle name="Normal 156 4" xfId="13471" xr:uid="{00000000-0005-0000-0000-00009F340000}"/>
    <cellStyle name="Normal 156 4 2" xfId="13472" xr:uid="{00000000-0005-0000-0000-0000A0340000}"/>
    <cellStyle name="Normal 156 4 2 2" xfId="13473" xr:uid="{00000000-0005-0000-0000-0000A1340000}"/>
    <cellStyle name="Normal 156 4 3" xfId="13474" xr:uid="{00000000-0005-0000-0000-0000A2340000}"/>
    <cellStyle name="Normal 156 5" xfId="13475" xr:uid="{00000000-0005-0000-0000-0000A3340000}"/>
    <cellStyle name="Normal 156 5 2" xfId="13476" xr:uid="{00000000-0005-0000-0000-0000A4340000}"/>
    <cellStyle name="Normal 156 5 2 2" xfId="13477" xr:uid="{00000000-0005-0000-0000-0000A5340000}"/>
    <cellStyle name="Normal 156 5 3" xfId="13478" xr:uid="{00000000-0005-0000-0000-0000A6340000}"/>
    <cellStyle name="Normal 156 6" xfId="13479" xr:uid="{00000000-0005-0000-0000-0000A7340000}"/>
    <cellStyle name="Normal 156 6 2" xfId="13480" xr:uid="{00000000-0005-0000-0000-0000A8340000}"/>
    <cellStyle name="Normal 156 6 2 2" xfId="13481" xr:uid="{00000000-0005-0000-0000-0000A9340000}"/>
    <cellStyle name="Normal 156 6 3" xfId="13482" xr:uid="{00000000-0005-0000-0000-0000AA340000}"/>
    <cellStyle name="Normal 156 7" xfId="13483" xr:uid="{00000000-0005-0000-0000-0000AB340000}"/>
    <cellStyle name="Normal 157" xfId="13484" xr:uid="{00000000-0005-0000-0000-0000AC340000}"/>
    <cellStyle name="Normal 157 2" xfId="13485" xr:uid="{00000000-0005-0000-0000-0000AD340000}"/>
    <cellStyle name="Normal 157 2 2" xfId="13486" xr:uid="{00000000-0005-0000-0000-0000AE340000}"/>
    <cellStyle name="Normal 157 2 2 2" xfId="13487" xr:uid="{00000000-0005-0000-0000-0000AF340000}"/>
    <cellStyle name="Normal 157 2 3" xfId="13488" xr:uid="{00000000-0005-0000-0000-0000B0340000}"/>
    <cellStyle name="Normal 157 2 3 2" xfId="13489" xr:uid="{00000000-0005-0000-0000-0000B1340000}"/>
    <cellStyle name="Normal 157 2 3 2 2" xfId="13490" xr:uid="{00000000-0005-0000-0000-0000B2340000}"/>
    <cellStyle name="Normal 157 2 3 3" xfId="13491" xr:uid="{00000000-0005-0000-0000-0000B3340000}"/>
    <cellStyle name="Normal 157 2 4" xfId="13492" xr:uid="{00000000-0005-0000-0000-0000B4340000}"/>
    <cellStyle name="Normal 157 2 4 2" xfId="13493" xr:uid="{00000000-0005-0000-0000-0000B5340000}"/>
    <cellStyle name="Normal 157 2 4 2 2" xfId="13494" xr:uid="{00000000-0005-0000-0000-0000B6340000}"/>
    <cellStyle name="Normal 157 2 4 3" xfId="13495" xr:uid="{00000000-0005-0000-0000-0000B7340000}"/>
    <cellStyle name="Normal 157 2 5" xfId="13496" xr:uid="{00000000-0005-0000-0000-0000B8340000}"/>
    <cellStyle name="Normal 157 3" xfId="13497" xr:uid="{00000000-0005-0000-0000-0000B9340000}"/>
    <cellStyle name="Normal 157 3 2" xfId="13498" xr:uid="{00000000-0005-0000-0000-0000BA340000}"/>
    <cellStyle name="Normal 157 3 2 2" xfId="13499" xr:uid="{00000000-0005-0000-0000-0000BB340000}"/>
    <cellStyle name="Normal 157 3 2 2 2" xfId="13500" xr:uid="{00000000-0005-0000-0000-0000BC340000}"/>
    <cellStyle name="Normal 157 3 2 3" xfId="13501" xr:uid="{00000000-0005-0000-0000-0000BD340000}"/>
    <cellStyle name="Normal 157 3 2 3 2" xfId="13502" xr:uid="{00000000-0005-0000-0000-0000BE340000}"/>
    <cellStyle name="Normal 157 3 2 3 2 2" xfId="13503" xr:uid="{00000000-0005-0000-0000-0000BF340000}"/>
    <cellStyle name="Normal 157 3 2 3 3" xfId="13504" xr:uid="{00000000-0005-0000-0000-0000C0340000}"/>
    <cellStyle name="Normal 157 3 2 4" xfId="13505" xr:uid="{00000000-0005-0000-0000-0000C1340000}"/>
    <cellStyle name="Normal 157 3 3" xfId="13506" xr:uid="{00000000-0005-0000-0000-0000C2340000}"/>
    <cellStyle name="Normal 157 3 3 2" xfId="13507" xr:uid="{00000000-0005-0000-0000-0000C3340000}"/>
    <cellStyle name="Normal 157 3 3 2 2" xfId="13508" xr:uid="{00000000-0005-0000-0000-0000C4340000}"/>
    <cellStyle name="Normal 157 3 3 3" xfId="13509" xr:uid="{00000000-0005-0000-0000-0000C5340000}"/>
    <cellStyle name="Normal 157 3 4" xfId="13510" xr:uid="{00000000-0005-0000-0000-0000C6340000}"/>
    <cellStyle name="Normal 157 3 4 2" xfId="13511" xr:uid="{00000000-0005-0000-0000-0000C7340000}"/>
    <cellStyle name="Normal 157 3 4 2 2" xfId="13512" xr:uid="{00000000-0005-0000-0000-0000C8340000}"/>
    <cellStyle name="Normal 157 3 4 3" xfId="13513" xr:uid="{00000000-0005-0000-0000-0000C9340000}"/>
    <cellStyle name="Normal 157 3 5" xfId="13514" xr:uid="{00000000-0005-0000-0000-0000CA340000}"/>
    <cellStyle name="Normal 157 3 5 2" xfId="13515" xr:uid="{00000000-0005-0000-0000-0000CB340000}"/>
    <cellStyle name="Normal 157 3 5 2 2" xfId="13516" xr:uid="{00000000-0005-0000-0000-0000CC340000}"/>
    <cellStyle name="Normal 157 3 5 3" xfId="13517" xr:uid="{00000000-0005-0000-0000-0000CD340000}"/>
    <cellStyle name="Normal 157 3 6" xfId="13518" xr:uid="{00000000-0005-0000-0000-0000CE340000}"/>
    <cellStyle name="Normal 157 4" xfId="13519" xr:uid="{00000000-0005-0000-0000-0000CF340000}"/>
    <cellStyle name="Normal 157 4 2" xfId="13520" xr:uid="{00000000-0005-0000-0000-0000D0340000}"/>
    <cellStyle name="Normal 157 4 2 2" xfId="13521" xr:uid="{00000000-0005-0000-0000-0000D1340000}"/>
    <cellStyle name="Normal 157 4 3" xfId="13522" xr:uid="{00000000-0005-0000-0000-0000D2340000}"/>
    <cellStyle name="Normal 157 5" xfId="13523" xr:uid="{00000000-0005-0000-0000-0000D3340000}"/>
    <cellStyle name="Normal 157 5 2" xfId="13524" xr:uid="{00000000-0005-0000-0000-0000D4340000}"/>
    <cellStyle name="Normal 157 5 2 2" xfId="13525" xr:uid="{00000000-0005-0000-0000-0000D5340000}"/>
    <cellStyle name="Normal 157 5 3" xfId="13526" xr:uid="{00000000-0005-0000-0000-0000D6340000}"/>
    <cellStyle name="Normal 157 6" xfId="13527" xr:uid="{00000000-0005-0000-0000-0000D7340000}"/>
    <cellStyle name="Normal 157 6 2" xfId="13528" xr:uid="{00000000-0005-0000-0000-0000D8340000}"/>
    <cellStyle name="Normal 157 6 2 2" xfId="13529" xr:uid="{00000000-0005-0000-0000-0000D9340000}"/>
    <cellStyle name="Normal 157 6 3" xfId="13530" xr:uid="{00000000-0005-0000-0000-0000DA340000}"/>
    <cellStyle name="Normal 157 7" xfId="13531" xr:uid="{00000000-0005-0000-0000-0000DB340000}"/>
    <cellStyle name="Normal 158" xfId="13532" xr:uid="{00000000-0005-0000-0000-0000DC340000}"/>
    <cellStyle name="Normal 158 2" xfId="13533" xr:uid="{00000000-0005-0000-0000-0000DD340000}"/>
    <cellStyle name="Normal 158 2 2" xfId="13534" xr:uid="{00000000-0005-0000-0000-0000DE340000}"/>
    <cellStyle name="Normal 158 2 2 2" xfId="13535" xr:uid="{00000000-0005-0000-0000-0000DF340000}"/>
    <cellStyle name="Normal 158 2 3" xfId="13536" xr:uid="{00000000-0005-0000-0000-0000E0340000}"/>
    <cellStyle name="Normal 158 2 3 2" xfId="13537" xr:uid="{00000000-0005-0000-0000-0000E1340000}"/>
    <cellStyle name="Normal 158 2 3 2 2" xfId="13538" xr:uid="{00000000-0005-0000-0000-0000E2340000}"/>
    <cellStyle name="Normal 158 2 3 3" xfId="13539" xr:uid="{00000000-0005-0000-0000-0000E3340000}"/>
    <cellStyle name="Normal 158 2 4" xfId="13540" xr:uid="{00000000-0005-0000-0000-0000E4340000}"/>
    <cellStyle name="Normal 158 2 4 2" xfId="13541" xr:uid="{00000000-0005-0000-0000-0000E5340000}"/>
    <cellStyle name="Normal 158 2 4 2 2" xfId="13542" xr:uid="{00000000-0005-0000-0000-0000E6340000}"/>
    <cellStyle name="Normal 158 2 4 3" xfId="13543" xr:uid="{00000000-0005-0000-0000-0000E7340000}"/>
    <cellStyle name="Normal 158 2 5" xfId="13544" xr:uid="{00000000-0005-0000-0000-0000E8340000}"/>
    <cellStyle name="Normal 158 3" xfId="13545" xr:uid="{00000000-0005-0000-0000-0000E9340000}"/>
    <cellStyle name="Normal 158 3 2" xfId="13546" xr:uid="{00000000-0005-0000-0000-0000EA340000}"/>
    <cellStyle name="Normal 158 3 2 2" xfId="13547" xr:uid="{00000000-0005-0000-0000-0000EB340000}"/>
    <cellStyle name="Normal 158 3 2 2 2" xfId="13548" xr:uid="{00000000-0005-0000-0000-0000EC340000}"/>
    <cellStyle name="Normal 158 3 2 3" xfId="13549" xr:uid="{00000000-0005-0000-0000-0000ED340000}"/>
    <cellStyle name="Normal 158 3 2 3 2" xfId="13550" xr:uid="{00000000-0005-0000-0000-0000EE340000}"/>
    <cellStyle name="Normal 158 3 2 3 2 2" xfId="13551" xr:uid="{00000000-0005-0000-0000-0000EF340000}"/>
    <cellStyle name="Normal 158 3 2 3 3" xfId="13552" xr:uid="{00000000-0005-0000-0000-0000F0340000}"/>
    <cellStyle name="Normal 158 3 2 4" xfId="13553" xr:uid="{00000000-0005-0000-0000-0000F1340000}"/>
    <cellStyle name="Normal 158 3 3" xfId="13554" xr:uid="{00000000-0005-0000-0000-0000F2340000}"/>
    <cellStyle name="Normal 158 3 3 2" xfId="13555" xr:uid="{00000000-0005-0000-0000-0000F3340000}"/>
    <cellStyle name="Normal 158 3 3 2 2" xfId="13556" xr:uid="{00000000-0005-0000-0000-0000F4340000}"/>
    <cellStyle name="Normal 158 3 3 3" xfId="13557" xr:uid="{00000000-0005-0000-0000-0000F5340000}"/>
    <cellStyle name="Normal 158 3 4" xfId="13558" xr:uid="{00000000-0005-0000-0000-0000F6340000}"/>
    <cellStyle name="Normal 158 3 4 2" xfId="13559" xr:uid="{00000000-0005-0000-0000-0000F7340000}"/>
    <cellStyle name="Normal 158 3 4 2 2" xfId="13560" xr:uid="{00000000-0005-0000-0000-0000F8340000}"/>
    <cellStyle name="Normal 158 3 4 3" xfId="13561" xr:uid="{00000000-0005-0000-0000-0000F9340000}"/>
    <cellStyle name="Normal 158 3 5" xfId="13562" xr:uid="{00000000-0005-0000-0000-0000FA340000}"/>
    <cellStyle name="Normal 158 3 5 2" xfId="13563" xr:uid="{00000000-0005-0000-0000-0000FB340000}"/>
    <cellStyle name="Normal 158 3 5 2 2" xfId="13564" xr:uid="{00000000-0005-0000-0000-0000FC340000}"/>
    <cellStyle name="Normal 158 3 5 3" xfId="13565" xr:uid="{00000000-0005-0000-0000-0000FD340000}"/>
    <cellStyle name="Normal 158 3 6" xfId="13566" xr:uid="{00000000-0005-0000-0000-0000FE340000}"/>
    <cellStyle name="Normal 158 4" xfId="13567" xr:uid="{00000000-0005-0000-0000-0000FF340000}"/>
    <cellStyle name="Normal 158 4 2" xfId="13568" xr:uid="{00000000-0005-0000-0000-000000350000}"/>
    <cellStyle name="Normal 158 4 2 2" xfId="13569" xr:uid="{00000000-0005-0000-0000-000001350000}"/>
    <cellStyle name="Normal 158 4 3" xfId="13570" xr:uid="{00000000-0005-0000-0000-000002350000}"/>
    <cellStyle name="Normal 158 5" xfId="13571" xr:uid="{00000000-0005-0000-0000-000003350000}"/>
    <cellStyle name="Normal 158 5 2" xfId="13572" xr:uid="{00000000-0005-0000-0000-000004350000}"/>
    <cellStyle name="Normal 158 5 2 2" xfId="13573" xr:uid="{00000000-0005-0000-0000-000005350000}"/>
    <cellStyle name="Normal 158 5 3" xfId="13574" xr:uid="{00000000-0005-0000-0000-000006350000}"/>
    <cellStyle name="Normal 158 6" xfId="13575" xr:uid="{00000000-0005-0000-0000-000007350000}"/>
    <cellStyle name="Normal 158 6 2" xfId="13576" xr:uid="{00000000-0005-0000-0000-000008350000}"/>
    <cellStyle name="Normal 158 6 2 2" xfId="13577" xr:uid="{00000000-0005-0000-0000-000009350000}"/>
    <cellStyle name="Normal 158 6 3" xfId="13578" xr:uid="{00000000-0005-0000-0000-00000A350000}"/>
    <cellStyle name="Normal 158 7" xfId="13579" xr:uid="{00000000-0005-0000-0000-00000B350000}"/>
    <cellStyle name="Normal 159" xfId="13580" xr:uid="{00000000-0005-0000-0000-00000C350000}"/>
    <cellStyle name="Normal 159 2" xfId="13581" xr:uid="{00000000-0005-0000-0000-00000D350000}"/>
    <cellStyle name="Normal 159 2 2" xfId="13582" xr:uid="{00000000-0005-0000-0000-00000E350000}"/>
    <cellStyle name="Normal 159 2 2 2" xfId="13583" xr:uid="{00000000-0005-0000-0000-00000F350000}"/>
    <cellStyle name="Normal 159 2 3" xfId="13584" xr:uid="{00000000-0005-0000-0000-000010350000}"/>
    <cellStyle name="Normal 159 2 3 2" xfId="13585" xr:uid="{00000000-0005-0000-0000-000011350000}"/>
    <cellStyle name="Normal 159 2 3 2 2" xfId="13586" xr:uid="{00000000-0005-0000-0000-000012350000}"/>
    <cellStyle name="Normal 159 2 3 3" xfId="13587" xr:uid="{00000000-0005-0000-0000-000013350000}"/>
    <cellStyle name="Normal 159 2 4" xfId="13588" xr:uid="{00000000-0005-0000-0000-000014350000}"/>
    <cellStyle name="Normal 159 2 4 2" xfId="13589" xr:uid="{00000000-0005-0000-0000-000015350000}"/>
    <cellStyle name="Normal 159 2 4 2 2" xfId="13590" xr:uid="{00000000-0005-0000-0000-000016350000}"/>
    <cellStyle name="Normal 159 2 4 3" xfId="13591" xr:uid="{00000000-0005-0000-0000-000017350000}"/>
    <cellStyle name="Normal 159 2 5" xfId="13592" xr:uid="{00000000-0005-0000-0000-000018350000}"/>
    <cellStyle name="Normal 159 3" xfId="13593" xr:uid="{00000000-0005-0000-0000-000019350000}"/>
    <cellStyle name="Normal 159 3 2" xfId="13594" xr:uid="{00000000-0005-0000-0000-00001A350000}"/>
    <cellStyle name="Normal 159 3 2 2" xfId="13595" xr:uid="{00000000-0005-0000-0000-00001B350000}"/>
    <cellStyle name="Normal 159 3 2 2 2" xfId="13596" xr:uid="{00000000-0005-0000-0000-00001C350000}"/>
    <cellStyle name="Normal 159 3 2 3" xfId="13597" xr:uid="{00000000-0005-0000-0000-00001D350000}"/>
    <cellStyle name="Normal 159 3 2 3 2" xfId="13598" xr:uid="{00000000-0005-0000-0000-00001E350000}"/>
    <cellStyle name="Normal 159 3 2 3 2 2" xfId="13599" xr:uid="{00000000-0005-0000-0000-00001F350000}"/>
    <cellStyle name="Normal 159 3 2 3 3" xfId="13600" xr:uid="{00000000-0005-0000-0000-000020350000}"/>
    <cellStyle name="Normal 159 3 2 4" xfId="13601" xr:uid="{00000000-0005-0000-0000-000021350000}"/>
    <cellStyle name="Normal 159 3 3" xfId="13602" xr:uid="{00000000-0005-0000-0000-000022350000}"/>
    <cellStyle name="Normal 159 3 3 2" xfId="13603" xr:uid="{00000000-0005-0000-0000-000023350000}"/>
    <cellStyle name="Normal 159 3 3 2 2" xfId="13604" xr:uid="{00000000-0005-0000-0000-000024350000}"/>
    <cellStyle name="Normal 159 3 3 3" xfId="13605" xr:uid="{00000000-0005-0000-0000-000025350000}"/>
    <cellStyle name="Normal 159 3 4" xfId="13606" xr:uid="{00000000-0005-0000-0000-000026350000}"/>
    <cellStyle name="Normal 159 3 4 2" xfId="13607" xr:uid="{00000000-0005-0000-0000-000027350000}"/>
    <cellStyle name="Normal 159 3 4 2 2" xfId="13608" xr:uid="{00000000-0005-0000-0000-000028350000}"/>
    <cellStyle name="Normal 159 3 4 3" xfId="13609" xr:uid="{00000000-0005-0000-0000-000029350000}"/>
    <cellStyle name="Normal 159 3 5" xfId="13610" xr:uid="{00000000-0005-0000-0000-00002A350000}"/>
    <cellStyle name="Normal 159 3 5 2" xfId="13611" xr:uid="{00000000-0005-0000-0000-00002B350000}"/>
    <cellStyle name="Normal 159 3 5 2 2" xfId="13612" xr:uid="{00000000-0005-0000-0000-00002C350000}"/>
    <cellStyle name="Normal 159 3 5 3" xfId="13613" xr:uid="{00000000-0005-0000-0000-00002D350000}"/>
    <cellStyle name="Normal 159 3 6" xfId="13614" xr:uid="{00000000-0005-0000-0000-00002E350000}"/>
    <cellStyle name="Normal 159 4" xfId="13615" xr:uid="{00000000-0005-0000-0000-00002F350000}"/>
    <cellStyle name="Normal 159 4 2" xfId="13616" xr:uid="{00000000-0005-0000-0000-000030350000}"/>
    <cellStyle name="Normal 159 4 2 2" xfId="13617" xr:uid="{00000000-0005-0000-0000-000031350000}"/>
    <cellStyle name="Normal 159 4 3" xfId="13618" xr:uid="{00000000-0005-0000-0000-000032350000}"/>
    <cellStyle name="Normal 159 5" xfId="13619" xr:uid="{00000000-0005-0000-0000-000033350000}"/>
    <cellStyle name="Normal 159 5 2" xfId="13620" xr:uid="{00000000-0005-0000-0000-000034350000}"/>
    <cellStyle name="Normal 159 5 2 2" xfId="13621" xr:uid="{00000000-0005-0000-0000-000035350000}"/>
    <cellStyle name="Normal 159 5 3" xfId="13622" xr:uid="{00000000-0005-0000-0000-000036350000}"/>
    <cellStyle name="Normal 159 6" xfId="13623" xr:uid="{00000000-0005-0000-0000-000037350000}"/>
    <cellStyle name="Normal 159 6 2" xfId="13624" xr:uid="{00000000-0005-0000-0000-000038350000}"/>
    <cellStyle name="Normal 159 6 2 2" xfId="13625" xr:uid="{00000000-0005-0000-0000-000039350000}"/>
    <cellStyle name="Normal 159 6 3" xfId="13626" xr:uid="{00000000-0005-0000-0000-00003A350000}"/>
    <cellStyle name="Normal 159 7" xfId="13627" xr:uid="{00000000-0005-0000-0000-00003B350000}"/>
    <cellStyle name="Normal 16" xfId="63" xr:uid="{00000000-0005-0000-0000-00003F000000}"/>
    <cellStyle name="Normal 16 2" xfId="13628" xr:uid="{00000000-0005-0000-0000-00003C350000}"/>
    <cellStyle name="Normal 16 2 2" xfId="13629" xr:uid="{00000000-0005-0000-0000-00003D350000}"/>
    <cellStyle name="Normal 16 2 2 2" xfId="13630" xr:uid="{00000000-0005-0000-0000-00003E350000}"/>
    <cellStyle name="Normal 16 2 2 2 2" xfId="13631" xr:uid="{00000000-0005-0000-0000-00003F350000}"/>
    <cellStyle name="Normal 16 2 2 3" xfId="13632" xr:uid="{00000000-0005-0000-0000-000040350000}"/>
    <cellStyle name="Normal 16 2 2 3 2" xfId="13633" xr:uid="{00000000-0005-0000-0000-000041350000}"/>
    <cellStyle name="Normal 16 2 2 3 2 2" xfId="13634" xr:uid="{00000000-0005-0000-0000-000042350000}"/>
    <cellStyle name="Normal 16 2 2 3 3" xfId="13635" xr:uid="{00000000-0005-0000-0000-000043350000}"/>
    <cellStyle name="Normal 16 2 2 4" xfId="13636" xr:uid="{00000000-0005-0000-0000-000044350000}"/>
    <cellStyle name="Normal 16 2 2 4 2" xfId="13637" xr:uid="{00000000-0005-0000-0000-000045350000}"/>
    <cellStyle name="Normal 16 2 2 4 2 2" xfId="13638" xr:uid="{00000000-0005-0000-0000-000046350000}"/>
    <cellStyle name="Normal 16 2 2 4 3" xfId="13639" xr:uid="{00000000-0005-0000-0000-000047350000}"/>
    <cellStyle name="Normal 16 2 2 5" xfId="13640" xr:uid="{00000000-0005-0000-0000-000048350000}"/>
    <cellStyle name="Normal 16 2 3" xfId="13641" xr:uid="{00000000-0005-0000-0000-000049350000}"/>
    <cellStyle name="Normal 16 2 3 2" xfId="13642" xr:uid="{00000000-0005-0000-0000-00004A350000}"/>
    <cellStyle name="Normal 16 2 3 2 2" xfId="13643" xr:uid="{00000000-0005-0000-0000-00004B350000}"/>
    <cellStyle name="Normal 16 2 3 2 2 2" xfId="13644" xr:uid="{00000000-0005-0000-0000-00004C350000}"/>
    <cellStyle name="Normal 16 2 3 2 3" xfId="13645" xr:uid="{00000000-0005-0000-0000-00004D350000}"/>
    <cellStyle name="Normal 16 2 3 2 3 2" xfId="13646" xr:uid="{00000000-0005-0000-0000-00004E350000}"/>
    <cellStyle name="Normal 16 2 3 2 3 2 2" xfId="13647" xr:uid="{00000000-0005-0000-0000-00004F350000}"/>
    <cellStyle name="Normal 16 2 3 2 3 3" xfId="13648" xr:uid="{00000000-0005-0000-0000-000050350000}"/>
    <cellStyle name="Normal 16 2 3 2 4" xfId="13649" xr:uid="{00000000-0005-0000-0000-000051350000}"/>
    <cellStyle name="Normal 16 2 3 3" xfId="13650" xr:uid="{00000000-0005-0000-0000-000052350000}"/>
    <cellStyle name="Normal 16 2 3 3 2" xfId="13651" xr:uid="{00000000-0005-0000-0000-000053350000}"/>
    <cellStyle name="Normal 16 2 3 3 2 2" xfId="13652" xr:uid="{00000000-0005-0000-0000-000054350000}"/>
    <cellStyle name="Normal 16 2 3 3 3" xfId="13653" xr:uid="{00000000-0005-0000-0000-000055350000}"/>
    <cellStyle name="Normal 16 2 3 4" xfId="13654" xr:uid="{00000000-0005-0000-0000-000056350000}"/>
    <cellStyle name="Normal 16 2 3 4 2" xfId="13655" xr:uid="{00000000-0005-0000-0000-000057350000}"/>
    <cellStyle name="Normal 16 2 3 4 2 2" xfId="13656" xr:uid="{00000000-0005-0000-0000-000058350000}"/>
    <cellStyle name="Normal 16 2 3 4 3" xfId="13657" xr:uid="{00000000-0005-0000-0000-000059350000}"/>
    <cellStyle name="Normal 16 2 3 5" xfId="13658" xr:uid="{00000000-0005-0000-0000-00005A350000}"/>
    <cellStyle name="Normal 16 2 3 5 2" xfId="13659" xr:uid="{00000000-0005-0000-0000-00005B350000}"/>
    <cellStyle name="Normal 16 2 3 5 2 2" xfId="13660" xr:uid="{00000000-0005-0000-0000-00005C350000}"/>
    <cellStyle name="Normal 16 2 3 5 3" xfId="13661" xr:uid="{00000000-0005-0000-0000-00005D350000}"/>
    <cellStyle name="Normal 16 2 3 6" xfId="13662" xr:uid="{00000000-0005-0000-0000-00005E350000}"/>
    <cellStyle name="Normal 16 2 4" xfId="13663" xr:uid="{00000000-0005-0000-0000-00005F350000}"/>
    <cellStyle name="Normal 16 3" xfId="13664" xr:uid="{00000000-0005-0000-0000-000060350000}"/>
    <cellStyle name="Normal 16 3 2" xfId="13665" xr:uid="{00000000-0005-0000-0000-000061350000}"/>
    <cellStyle name="Normal 16 3 2 2" xfId="13666" xr:uid="{00000000-0005-0000-0000-000062350000}"/>
    <cellStyle name="Normal 16 3 2 2 2" xfId="13667" xr:uid="{00000000-0005-0000-0000-000063350000}"/>
    <cellStyle name="Normal 16 3 2 3" xfId="13668" xr:uid="{00000000-0005-0000-0000-000064350000}"/>
    <cellStyle name="Normal 16 3 2 3 2" xfId="13669" xr:uid="{00000000-0005-0000-0000-000065350000}"/>
    <cellStyle name="Normal 16 3 2 3 2 2" xfId="13670" xr:uid="{00000000-0005-0000-0000-000066350000}"/>
    <cellStyle name="Normal 16 3 2 3 3" xfId="13671" xr:uid="{00000000-0005-0000-0000-000067350000}"/>
    <cellStyle name="Normal 16 3 2 4" xfId="13672" xr:uid="{00000000-0005-0000-0000-000068350000}"/>
    <cellStyle name="Normal 16 3 2 4 2" xfId="13673" xr:uid="{00000000-0005-0000-0000-000069350000}"/>
    <cellStyle name="Normal 16 3 2 4 2 2" xfId="13674" xr:uid="{00000000-0005-0000-0000-00006A350000}"/>
    <cellStyle name="Normal 16 3 2 4 3" xfId="13675" xr:uid="{00000000-0005-0000-0000-00006B350000}"/>
    <cellStyle name="Normal 16 3 2 5" xfId="13676" xr:uid="{00000000-0005-0000-0000-00006C350000}"/>
    <cellStyle name="Normal 16 3 3" xfId="13677" xr:uid="{00000000-0005-0000-0000-00006D350000}"/>
    <cellStyle name="Normal 16 3 3 2" xfId="13678" xr:uid="{00000000-0005-0000-0000-00006E350000}"/>
    <cellStyle name="Normal 16 3 3 2 2" xfId="13679" xr:uid="{00000000-0005-0000-0000-00006F350000}"/>
    <cellStyle name="Normal 16 3 3 3" xfId="13680" xr:uid="{00000000-0005-0000-0000-000070350000}"/>
    <cellStyle name="Normal 16 3 4" xfId="13681" xr:uid="{00000000-0005-0000-0000-000071350000}"/>
    <cellStyle name="Normal 16 3 4 2" xfId="13682" xr:uid="{00000000-0005-0000-0000-000072350000}"/>
    <cellStyle name="Normal 16 3 4 2 2" xfId="13683" xr:uid="{00000000-0005-0000-0000-000073350000}"/>
    <cellStyle name="Normal 16 3 4 3" xfId="13684" xr:uid="{00000000-0005-0000-0000-000074350000}"/>
    <cellStyle name="Normal 16 3 5" xfId="13685" xr:uid="{00000000-0005-0000-0000-000075350000}"/>
    <cellStyle name="Normal 16 3 5 2" xfId="13686" xr:uid="{00000000-0005-0000-0000-000076350000}"/>
    <cellStyle name="Normal 16 3 5 2 2" xfId="13687" xr:uid="{00000000-0005-0000-0000-000077350000}"/>
    <cellStyle name="Normal 16 3 5 3" xfId="13688" xr:uid="{00000000-0005-0000-0000-000078350000}"/>
    <cellStyle name="Normal 16 3 6" xfId="13689" xr:uid="{00000000-0005-0000-0000-000079350000}"/>
    <cellStyle name="Normal 16 4" xfId="13690" xr:uid="{00000000-0005-0000-0000-00007A350000}"/>
    <cellStyle name="Normal 16 4 2" xfId="13691" xr:uid="{00000000-0005-0000-0000-00007B350000}"/>
    <cellStyle name="Normal 16 4 2 2" xfId="13692" xr:uid="{00000000-0005-0000-0000-00007C350000}"/>
    <cellStyle name="Normal 16 4 3" xfId="13693" xr:uid="{00000000-0005-0000-0000-00007D350000}"/>
    <cellStyle name="Normal 16 4 3 2" xfId="13694" xr:uid="{00000000-0005-0000-0000-00007E350000}"/>
    <cellStyle name="Normal 16 4 3 2 2" xfId="13695" xr:uid="{00000000-0005-0000-0000-00007F350000}"/>
    <cellStyle name="Normal 16 4 3 3" xfId="13696" xr:uid="{00000000-0005-0000-0000-000080350000}"/>
    <cellStyle name="Normal 16 4 4" xfId="13697" xr:uid="{00000000-0005-0000-0000-000081350000}"/>
    <cellStyle name="Normal 16 4 4 2" xfId="13698" xr:uid="{00000000-0005-0000-0000-000082350000}"/>
    <cellStyle name="Normal 16 4 4 2 2" xfId="13699" xr:uid="{00000000-0005-0000-0000-000083350000}"/>
    <cellStyle name="Normal 16 4 4 3" xfId="13700" xr:uid="{00000000-0005-0000-0000-000084350000}"/>
    <cellStyle name="Normal 16 4 5" xfId="13701" xr:uid="{00000000-0005-0000-0000-000085350000}"/>
    <cellStyle name="Normal 16 5" xfId="13702" xr:uid="{00000000-0005-0000-0000-000086350000}"/>
    <cellStyle name="Normal 16 5 2" xfId="13703" xr:uid="{00000000-0005-0000-0000-000087350000}"/>
    <cellStyle name="Normal 16 5 2 2" xfId="13704" xr:uid="{00000000-0005-0000-0000-000088350000}"/>
    <cellStyle name="Normal 16 5 2 2 2" xfId="13705" xr:uid="{00000000-0005-0000-0000-000089350000}"/>
    <cellStyle name="Normal 16 5 2 3" xfId="13706" xr:uid="{00000000-0005-0000-0000-00008A350000}"/>
    <cellStyle name="Normal 16 5 2 3 2" xfId="13707" xr:uid="{00000000-0005-0000-0000-00008B350000}"/>
    <cellStyle name="Normal 16 5 2 3 2 2" xfId="13708" xr:uid="{00000000-0005-0000-0000-00008C350000}"/>
    <cellStyle name="Normal 16 5 2 3 3" xfId="13709" xr:uid="{00000000-0005-0000-0000-00008D350000}"/>
    <cellStyle name="Normal 16 5 2 4" xfId="13710" xr:uid="{00000000-0005-0000-0000-00008E350000}"/>
    <cellStyle name="Normal 16 5 3" xfId="13711" xr:uid="{00000000-0005-0000-0000-00008F350000}"/>
    <cellStyle name="Normal 16 5 3 2" xfId="13712" xr:uid="{00000000-0005-0000-0000-000090350000}"/>
    <cellStyle name="Normal 16 5 3 2 2" xfId="13713" xr:uid="{00000000-0005-0000-0000-000091350000}"/>
    <cellStyle name="Normal 16 5 3 3" xfId="13714" xr:uid="{00000000-0005-0000-0000-000092350000}"/>
    <cellStyle name="Normal 16 5 4" xfId="13715" xr:uid="{00000000-0005-0000-0000-000093350000}"/>
    <cellStyle name="Normal 16 5 4 2" xfId="13716" xr:uid="{00000000-0005-0000-0000-000094350000}"/>
    <cellStyle name="Normal 16 5 4 2 2" xfId="13717" xr:uid="{00000000-0005-0000-0000-000095350000}"/>
    <cellStyle name="Normal 16 5 4 3" xfId="13718" xr:uid="{00000000-0005-0000-0000-000096350000}"/>
    <cellStyle name="Normal 16 5 5" xfId="13719" xr:uid="{00000000-0005-0000-0000-000097350000}"/>
    <cellStyle name="Normal 16 5 5 2" xfId="13720" xr:uid="{00000000-0005-0000-0000-000098350000}"/>
    <cellStyle name="Normal 16 5 5 2 2" xfId="13721" xr:uid="{00000000-0005-0000-0000-000099350000}"/>
    <cellStyle name="Normal 16 5 5 3" xfId="13722" xr:uid="{00000000-0005-0000-0000-00009A350000}"/>
    <cellStyle name="Normal 16 5 6" xfId="13723" xr:uid="{00000000-0005-0000-0000-00009B350000}"/>
    <cellStyle name="Normal 16 6" xfId="13724" xr:uid="{00000000-0005-0000-0000-00009C350000}"/>
    <cellStyle name="Normal 16 7" xfId="13725" xr:uid="{00000000-0005-0000-0000-00009D350000}"/>
    <cellStyle name="Normal 160" xfId="13726" xr:uid="{00000000-0005-0000-0000-00009E350000}"/>
    <cellStyle name="Normal 160 2" xfId="13727" xr:uid="{00000000-0005-0000-0000-00009F350000}"/>
    <cellStyle name="Normal 160 2 2" xfId="13728" xr:uid="{00000000-0005-0000-0000-0000A0350000}"/>
    <cellStyle name="Normal 160 2 2 2" xfId="13729" xr:uid="{00000000-0005-0000-0000-0000A1350000}"/>
    <cellStyle name="Normal 160 2 3" xfId="13730" xr:uid="{00000000-0005-0000-0000-0000A2350000}"/>
    <cellStyle name="Normal 160 2 3 2" xfId="13731" xr:uid="{00000000-0005-0000-0000-0000A3350000}"/>
    <cellStyle name="Normal 160 2 3 2 2" xfId="13732" xr:uid="{00000000-0005-0000-0000-0000A4350000}"/>
    <cellStyle name="Normal 160 2 3 3" xfId="13733" xr:uid="{00000000-0005-0000-0000-0000A5350000}"/>
    <cellStyle name="Normal 160 2 4" xfId="13734" xr:uid="{00000000-0005-0000-0000-0000A6350000}"/>
    <cellStyle name="Normal 160 2 4 2" xfId="13735" xr:uid="{00000000-0005-0000-0000-0000A7350000}"/>
    <cellStyle name="Normal 160 2 4 2 2" xfId="13736" xr:uid="{00000000-0005-0000-0000-0000A8350000}"/>
    <cellStyle name="Normal 160 2 4 3" xfId="13737" xr:uid="{00000000-0005-0000-0000-0000A9350000}"/>
    <cellStyle name="Normal 160 2 5" xfId="13738" xr:uid="{00000000-0005-0000-0000-0000AA350000}"/>
    <cellStyle name="Normal 160 3" xfId="13739" xr:uid="{00000000-0005-0000-0000-0000AB350000}"/>
    <cellStyle name="Normal 160 3 2" xfId="13740" xr:uid="{00000000-0005-0000-0000-0000AC350000}"/>
    <cellStyle name="Normal 160 3 2 2" xfId="13741" xr:uid="{00000000-0005-0000-0000-0000AD350000}"/>
    <cellStyle name="Normal 160 3 2 2 2" xfId="13742" xr:uid="{00000000-0005-0000-0000-0000AE350000}"/>
    <cellStyle name="Normal 160 3 2 3" xfId="13743" xr:uid="{00000000-0005-0000-0000-0000AF350000}"/>
    <cellStyle name="Normal 160 3 2 3 2" xfId="13744" xr:uid="{00000000-0005-0000-0000-0000B0350000}"/>
    <cellStyle name="Normal 160 3 2 3 2 2" xfId="13745" xr:uid="{00000000-0005-0000-0000-0000B1350000}"/>
    <cellStyle name="Normal 160 3 2 3 3" xfId="13746" xr:uid="{00000000-0005-0000-0000-0000B2350000}"/>
    <cellStyle name="Normal 160 3 2 4" xfId="13747" xr:uid="{00000000-0005-0000-0000-0000B3350000}"/>
    <cellStyle name="Normal 160 3 3" xfId="13748" xr:uid="{00000000-0005-0000-0000-0000B4350000}"/>
    <cellStyle name="Normal 160 3 3 2" xfId="13749" xr:uid="{00000000-0005-0000-0000-0000B5350000}"/>
    <cellStyle name="Normal 160 3 3 2 2" xfId="13750" xr:uid="{00000000-0005-0000-0000-0000B6350000}"/>
    <cellStyle name="Normal 160 3 3 3" xfId="13751" xr:uid="{00000000-0005-0000-0000-0000B7350000}"/>
    <cellStyle name="Normal 160 3 4" xfId="13752" xr:uid="{00000000-0005-0000-0000-0000B8350000}"/>
    <cellStyle name="Normal 160 3 4 2" xfId="13753" xr:uid="{00000000-0005-0000-0000-0000B9350000}"/>
    <cellStyle name="Normal 160 3 4 2 2" xfId="13754" xr:uid="{00000000-0005-0000-0000-0000BA350000}"/>
    <cellStyle name="Normal 160 3 4 3" xfId="13755" xr:uid="{00000000-0005-0000-0000-0000BB350000}"/>
    <cellStyle name="Normal 160 3 5" xfId="13756" xr:uid="{00000000-0005-0000-0000-0000BC350000}"/>
    <cellStyle name="Normal 160 3 5 2" xfId="13757" xr:uid="{00000000-0005-0000-0000-0000BD350000}"/>
    <cellStyle name="Normal 160 3 5 2 2" xfId="13758" xr:uid="{00000000-0005-0000-0000-0000BE350000}"/>
    <cellStyle name="Normal 160 3 5 3" xfId="13759" xr:uid="{00000000-0005-0000-0000-0000BF350000}"/>
    <cellStyle name="Normal 160 3 6" xfId="13760" xr:uid="{00000000-0005-0000-0000-0000C0350000}"/>
    <cellStyle name="Normal 160 4" xfId="13761" xr:uid="{00000000-0005-0000-0000-0000C1350000}"/>
    <cellStyle name="Normal 160 4 2" xfId="13762" xr:uid="{00000000-0005-0000-0000-0000C2350000}"/>
    <cellStyle name="Normal 160 4 2 2" xfId="13763" xr:uid="{00000000-0005-0000-0000-0000C3350000}"/>
    <cellStyle name="Normal 160 4 3" xfId="13764" xr:uid="{00000000-0005-0000-0000-0000C4350000}"/>
    <cellStyle name="Normal 160 5" xfId="13765" xr:uid="{00000000-0005-0000-0000-0000C5350000}"/>
    <cellStyle name="Normal 160 5 2" xfId="13766" xr:uid="{00000000-0005-0000-0000-0000C6350000}"/>
    <cellStyle name="Normal 160 5 2 2" xfId="13767" xr:uid="{00000000-0005-0000-0000-0000C7350000}"/>
    <cellStyle name="Normal 160 5 3" xfId="13768" xr:uid="{00000000-0005-0000-0000-0000C8350000}"/>
    <cellStyle name="Normal 160 6" xfId="13769" xr:uid="{00000000-0005-0000-0000-0000C9350000}"/>
    <cellStyle name="Normal 160 6 2" xfId="13770" xr:uid="{00000000-0005-0000-0000-0000CA350000}"/>
    <cellStyle name="Normal 160 6 2 2" xfId="13771" xr:uid="{00000000-0005-0000-0000-0000CB350000}"/>
    <cellStyle name="Normal 160 6 3" xfId="13772" xr:uid="{00000000-0005-0000-0000-0000CC350000}"/>
    <cellStyle name="Normal 160 7" xfId="13773" xr:uid="{00000000-0005-0000-0000-0000CD350000}"/>
    <cellStyle name="Normal 161" xfId="13774" xr:uid="{00000000-0005-0000-0000-0000CE350000}"/>
    <cellStyle name="Normal 161 2" xfId="13775" xr:uid="{00000000-0005-0000-0000-0000CF350000}"/>
    <cellStyle name="Normal 161 2 2" xfId="13776" xr:uid="{00000000-0005-0000-0000-0000D0350000}"/>
    <cellStyle name="Normal 161 2 2 2" xfId="13777" xr:uid="{00000000-0005-0000-0000-0000D1350000}"/>
    <cellStyle name="Normal 161 2 3" xfId="13778" xr:uid="{00000000-0005-0000-0000-0000D2350000}"/>
    <cellStyle name="Normal 161 2 3 2" xfId="13779" xr:uid="{00000000-0005-0000-0000-0000D3350000}"/>
    <cellStyle name="Normal 161 2 3 2 2" xfId="13780" xr:uid="{00000000-0005-0000-0000-0000D4350000}"/>
    <cellStyle name="Normal 161 2 3 3" xfId="13781" xr:uid="{00000000-0005-0000-0000-0000D5350000}"/>
    <cellStyle name="Normal 161 2 4" xfId="13782" xr:uid="{00000000-0005-0000-0000-0000D6350000}"/>
    <cellStyle name="Normal 161 2 4 2" xfId="13783" xr:uid="{00000000-0005-0000-0000-0000D7350000}"/>
    <cellStyle name="Normal 161 2 4 2 2" xfId="13784" xr:uid="{00000000-0005-0000-0000-0000D8350000}"/>
    <cellStyle name="Normal 161 2 4 3" xfId="13785" xr:uid="{00000000-0005-0000-0000-0000D9350000}"/>
    <cellStyle name="Normal 161 2 5" xfId="13786" xr:uid="{00000000-0005-0000-0000-0000DA350000}"/>
    <cellStyle name="Normal 161 3" xfId="13787" xr:uid="{00000000-0005-0000-0000-0000DB350000}"/>
    <cellStyle name="Normal 161 3 2" xfId="13788" xr:uid="{00000000-0005-0000-0000-0000DC350000}"/>
    <cellStyle name="Normal 161 3 2 2" xfId="13789" xr:uid="{00000000-0005-0000-0000-0000DD350000}"/>
    <cellStyle name="Normal 161 3 2 2 2" xfId="13790" xr:uid="{00000000-0005-0000-0000-0000DE350000}"/>
    <cellStyle name="Normal 161 3 2 3" xfId="13791" xr:uid="{00000000-0005-0000-0000-0000DF350000}"/>
    <cellStyle name="Normal 161 3 2 3 2" xfId="13792" xr:uid="{00000000-0005-0000-0000-0000E0350000}"/>
    <cellStyle name="Normal 161 3 2 3 2 2" xfId="13793" xr:uid="{00000000-0005-0000-0000-0000E1350000}"/>
    <cellStyle name="Normal 161 3 2 3 3" xfId="13794" xr:uid="{00000000-0005-0000-0000-0000E2350000}"/>
    <cellStyle name="Normal 161 3 2 4" xfId="13795" xr:uid="{00000000-0005-0000-0000-0000E3350000}"/>
    <cellStyle name="Normal 161 3 3" xfId="13796" xr:uid="{00000000-0005-0000-0000-0000E4350000}"/>
    <cellStyle name="Normal 161 3 3 2" xfId="13797" xr:uid="{00000000-0005-0000-0000-0000E5350000}"/>
    <cellStyle name="Normal 161 3 3 2 2" xfId="13798" xr:uid="{00000000-0005-0000-0000-0000E6350000}"/>
    <cellStyle name="Normal 161 3 3 3" xfId="13799" xr:uid="{00000000-0005-0000-0000-0000E7350000}"/>
    <cellStyle name="Normal 161 3 4" xfId="13800" xr:uid="{00000000-0005-0000-0000-0000E8350000}"/>
    <cellStyle name="Normal 161 3 4 2" xfId="13801" xr:uid="{00000000-0005-0000-0000-0000E9350000}"/>
    <cellStyle name="Normal 161 3 4 2 2" xfId="13802" xr:uid="{00000000-0005-0000-0000-0000EA350000}"/>
    <cellStyle name="Normal 161 3 4 3" xfId="13803" xr:uid="{00000000-0005-0000-0000-0000EB350000}"/>
    <cellStyle name="Normal 161 3 5" xfId="13804" xr:uid="{00000000-0005-0000-0000-0000EC350000}"/>
    <cellStyle name="Normal 161 3 5 2" xfId="13805" xr:uid="{00000000-0005-0000-0000-0000ED350000}"/>
    <cellStyle name="Normal 161 3 5 2 2" xfId="13806" xr:uid="{00000000-0005-0000-0000-0000EE350000}"/>
    <cellStyle name="Normal 161 3 5 3" xfId="13807" xr:uid="{00000000-0005-0000-0000-0000EF350000}"/>
    <cellStyle name="Normal 161 3 6" xfId="13808" xr:uid="{00000000-0005-0000-0000-0000F0350000}"/>
    <cellStyle name="Normal 161 4" xfId="13809" xr:uid="{00000000-0005-0000-0000-0000F1350000}"/>
    <cellStyle name="Normal 161 4 2" xfId="13810" xr:uid="{00000000-0005-0000-0000-0000F2350000}"/>
    <cellStyle name="Normal 161 4 2 2" xfId="13811" xr:uid="{00000000-0005-0000-0000-0000F3350000}"/>
    <cellStyle name="Normal 161 4 3" xfId="13812" xr:uid="{00000000-0005-0000-0000-0000F4350000}"/>
    <cellStyle name="Normal 161 5" xfId="13813" xr:uid="{00000000-0005-0000-0000-0000F5350000}"/>
    <cellStyle name="Normal 161 5 2" xfId="13814" xr:uid="{00000000-0005-0000-0000-0000F6350000}"/>
    <cellStyle name="Normal 161 5 2 2" xfId="13815" xr:uid="{00000000-0005-0000-0000-0000F7350000}"/>
    <cellStyle name="Normal 161 5 3" xfId="13816" xr:uid="{00000000-0005-0000-0000-0000F8350000}"/>
    <cellStyle name="Normal 161 6" xfId="13817" xr:uid="{00000000-0005-0000-0000-0000F9350000}"/>
    <cellStyle name="Normal 161 6 2" xfId="13818" xr:uid="{00000000-0005-0000-0000-0000FA350000}"/>
    <cellStyle name="Normal 161 6 2 2" xfId="13819" xr:uid="{00000000-0005-0000-0000-0000FB350000}"/>
    <cellStyle name="Normal 161 6 3" xfId="13820" xr:uid="{00000000-0005-0000-0000-0000FC350000}"/>
    <cellStyle name="Normal 161 7" xfId="13821" xr:uid="{00000000-0005-0000-0000-0000FD350000}"/>
    <cellStyle name="Normal 162" xfId="13822" xr:uid="{00000000-0005-0000-0000-0000FE350000}"/>
    <cellStyle name="Normal 162 2" xfId="13823" xr:uid="{00000000-0005-0000-0000-0000FF350000}"/>
    <cellStyle name="Normal 162 2 2" xfId="13824" xr:uid="{00000000-0005-0000-0000-000000360000}"/>
    <cellStyle name="Normal 162 2 2 2" xfId="13825" xr:uid="{00000000-0005-0000-0000-000001360000}"/>
    <cellStyle name="Normal 162 2 3" xfId="13826" xr:uid="{00000000-0005-0000-0000-000002360000}"/>
    <cellStyle name="Normal 162 2 3 2" xfId="13827" xr:uid="{00000000-0005-0000-0000-000003360000}"/>
    <cellStyle name="Normal 162 2 3 2 2" xfId="13828" xr:uid="{00000000-0005-0000-0000-000004360000}"/>
    <cellStyle name="Normal 162 2 3 3" xfId="13829" xr:uid="{00000000-0005-0000-0000-000005360000}"/>
    <cellStyle name="Normal 162 2 4" xfId="13830" xr:uid="{00000000-0005-0000-0000-000006360000}"/>
    <cellStyle name="Normal 162 2 4 2" xfId="13831" xr:uid="{00000000-0005-0000-0000-000007360000}"/>
    <cellStyle name="Normal 162 2 4 2 2" xfId="13832" xr:uid="{00000000-0005-0000-0000-000008360000}"/>
    <cellStyle name="Normal 162 2 4 3" xfId="13833" xr:uid="{00000000-0005-0000-0000-000009360000}"/>
    <cellStyle name="Normal 162 2 5" xfId="13834" xr:uid="{00000000-0005-0000-0000-00000A360000}"/>
    <cellStyle name="Normal 162 3" xfId="13835" xr:uid="{00000000-0005-0000-0000-00000B360000}"/>
    <cellStyle name="Normal 162 3 2" xfId="13836" xr:uid="{00000000-0005-0000-0000-00000C360000}"/>
    <cellStyle name="Normal 162 3 2 2" xfId="13837" xr:uid="{00000000-0005-0000-0000-00000D360000}"/>
    <cellStyle name="Normal 162 3 2 2 2" xfId="13838" xr:uid="{00000000-0005-0000-0000-00000E360000}"/>
    <cellStyle name="Normal 162 3 2 3" xfId="13839" xr:uid="{00000000-0005-0000-0000-00000F360000}"/>
    <cellStyle name="Normal 162 3 2 3 2" xfId="13840" xr:uid="{00000000-0005-0000-0000-000010360000}"/>
    <cellStyle name="Normal 162 3 2 3 2 2" xfId="13841" xr:uid="{00000000-0005-0000-0000-000011360000}"/>
    <cellStyle name="Normal 162 3 2 3 3" xfId="13842" xr:uid="{00000000-0005-0000-0000-000012360000}"/>
    <cellStyle name="Normal 162 3 2 4" xfId="13843" xr:uid="{00000000-0005-0000-0000-000013360000}"/>
    <cellStyle name="Normal 162 3 3" xfId="13844" xr:uid="{00000000-0005-0000-0000-000014360000}"/>
    <cellStyle name="Normal 162 3 3 2" xfId="13845" xr:uid="{00000000-0005-0000-0000-000015360000}"/>
    <cellStyle name="Normal 162 3 3 2 2" xfId="13846" xr:uid="{00000000-0005-0000-0000-000016360000}"/>
    <cellStyle name="Normal 162 3 3 3" xfId="13847" xr:uid="{00000000-0005-0000-0000-000017360000}"/>
    <cellStyle name="Normal 162 3 4" xfId="13848" xr:uid="{00000000-0005-0000-0000-000018360000}"/>
    <cellStyle name="Normal 162 3 4 2" xfId="13849" xr:uid="{00000000-0005-0000-0000-000019360000}"/>
    <cellStyle name="Normal 162 3 4 2 2" xfId="13850" xr:uid="{00000000-0005-0000-0000-00001A360000}"/>
    <cellStyle name="Normal 162 3 4 3" xfId="13851" xr:uid="{00000000-0005-0000-0000-00001B360000}"/>
    <cellStyle name="Normal 162 3 5" xfId="13852" xr:uid="{00000000-0005-0000-0000-00001C360000}"/>
    <cellStyle name="Normal 162 3 5 2" xfId="13853" xr:uid="{00000000-0005-0000-0000-00001D360000}"/>
    <cellStyle name="Normal 162 3 5 2 2" xfId="13854" xr:uid="{00000000-0005-0000-0000-00001E360000}"/>
    <cellStyle name="Normal 162 3 5 3" xfId="13855" xr:uid="{00000000-0005-0000-0000-00001F360000}"/>
    <cellStyle name="Normal 162 3 6" xfId="13856" xr:uid="{00000000-0005-0000-0000-000020360000}"/>
    <cellStyle name="Normal 162 4" xfId="13857" xr:uid="{00000000-0005-0000-0000-000021360000}"/>
    <cellStyle name="Normal 162 4 2" xfId="13858" xr:uid="{00000000-0005-0000-0000-000022360000}"/>
    <cellStyle name="Normal 162 4 2 2" xfId="13859" xr:uid="{00000000-0005-0000-0000-000023360000}"/>
    <cellStyle name="Normal 162 4 3" xfId="13860" xr:uid="{00000000-0005-0000-0000-000024360000}"/>
    <cellStyle name="Normal 162 5" xfId="13861" xr:uid="{00000000-0005-0000-0000-000025360000}"/>
    <cellStyle name="Normal 162 5 2" xfId="13862" xr:uid="{00000000-0005-0000-0000-000026360000}"/>
    <cellStyle name="Normal 162 5 2 2" xfId="13863" xr:uid="{00000000-0005-0000-0000-000027360000}"/>
    <cellStyle name="Normal 162 5 3" xfId="13864" xr:uid="{00000000-0005-0000-0000-000028360000}"/>
    <cellStyle name="Normal 162 6" xfId="13865" xr:uid="{00000000-0005-0000-0000-000029360000}"/>
    <cellStyle name="Normal 162 6 2" xfId="13866" xr:uid="{00000000-0005-0000-0000-00002A360000}"/>
    <cellStyle name="Normal 162 6 2 2" xfId="13867" xr:uid="{00000000-0005-0000-0000-00002B360000}"/>
    <cellStyle name="Normal 162 6 3" xfId="13868" xr:uid="{00000000-0005-0000-0000-00002C360000}"/>
    <cellStyle name="Normal 162 7" xfId="13869" xr:uid="{00000000-0005-0000-0000-00002D360000}"/>
    <cellStyle name="Normal 163" xfId="13870" xr:uid="{00000000-0005-0000-0000-00002E360000}"/>
    <cellStyle name="Normal 163 2" xfId="13871" xr:uid="{00000000-0005-0000-0000-00002F360000}"/>
    <cellStyle name="Normal 163 2 2" xfId="13872" xr:uid="{00000000-0005-0000-0000-000030360000}"/>
    <cellStyle name="Normal 163 2 2 2" xfId="13873" xr:uid="{00000000-0005-0000-0000-000031360000}"/>
    <cellStyle name="Normal 163 2 3" xfId="13874" xr:uid="{00000000-0005-0000-0000-000032360000}"/>
    <cellStyle name="Normal 163 2 3 2" xfId="13875" xr:uid="{00000000-0005-0000-0000-000033360000}"/>
    <cellStyle name="Normal 163 2 3 2 2" xfId="13876" xr:uid="{00000000-0005-0000-0000-000034360000}"/>
    <cellStyle name="Normal 163 2 3 3" xfId="13877" xr:uid="{00000000-0005-0000-0000-000035360000}"/>
    <cellStyle name="Normal 163 2 4" xfId="13878" xr:uid="{00000000-0005-0000-0000-000036360000}"/>
    <cellStyle name="Normal 163 2 4 2" xfId="13879" xr:uid="{00000000-0005-0000-0000-000037360000}"/>
    <cellStyle name="Normal 163 2 4 2 2" xfId="13880" xr:uid="{00000000-0005-0000-0000-000038360000}"/>
    <cellStyle name="Normal 163 2 4 3" xfId="13881" xr:uid="{00000000-0005-0000-0000-000039360000}"/>
    <cellStyle name="Normal 163 2 5" xfId="13882" xr:uid="{00000000-0005-0000-0000-00003A360000}"/>
    <cellStyle name="Normal 163 3" xfId="13883" xr:uid="{00000000-0005-0000-0000-00003B360000}"/>
    <cellStyle name="Normal 163 3 2" xfId="13884" xr:uid="{00000000-0005-0000-0000-00003C360000}"/>
    <cellStyle name="Normal 163 3 2 2" xfId="13885" xr:uid="{00000000-0005-0000-0000-00003D360000}"/>
    <cellStyle name="Normal 163 3 2 2 2" xfId="13886" xr:uid="{00000000-0005-0000-0000-00003E360000}"/>
    <cellStyle name="Normal 163 3 2 3" xfId="13887" xr:uid="{00000000-0005-0000-0000-00003F360000}"/>
    <cellStyle name="Normal 163 3 2 3 2" xfId="13888" xr:uid="{00000000-0005-0000-0000-000040360000}"/>
    <cellStyle name="Normal 163 3 2 3 2 2" xfId="13889" xr:uid="{00000000-0005-0000-0000-000041360000}"/>
    <cellStyle name="Normal 163 3 2 3 3" xfId="13890" xr:uid="{00000000-0005-0000-0000-000042360000}"/>
    <cellStyle name="Normal 163 3 2 4" xfId="13891" xr:uid="{00000000-0005-0000-0000-000043360000}"/>
    <cellStyle name="Normal 163 3 3" xfId="13892" xr:uid="{00000000-0005-0000-0000-000044360000}"/>
    <cellStyle name="Normal 163 3 3 2" xfId="13893" xr:uid="{00000000-0005-0000-0000-000045360000}"/>
    <cellStyle name="Normal 163 3 3 2 2" xfId="13894" xr:uid="{00000000-0005-0000-0000-000046360000}"/>
    <cellStyle name="Normal 163 3 3 3" xfId="13895" xr:uid="{00000000-0005-0000-0000-000047360000}"/>
    <cellStyle name="Normal 163 3 4" xfId="13896" xr:uid="{00000000-0005-0000-0000-000048360000}"/>
    <cellStyle name="Normal 163 3 4 2" xfId="13897" xr:uid="{00000000-0005-0000-0000-000049360000}"/>
    <cellStyle name="Normal 163 3 4 2 2" xfId="13898" xr:uid="{00000000-0005-0000-0000-00004A360000}"/>
    <cellStyle name="Normal 163 3 4 3" xfId="13899" xr:uid="{00000000-0005-0000-0000-00004B360000}"/>
    <cellStyle name="Normal 163 3 5" xfId="13900" xr:uid="{00000000-0005-0000-0000-00004C360000}"/>
    <cellStyle name="Normal 163 3 5 2" xfId="13901" xr:uid="{00000000-0005-0000-0000-00004D360000}"/>
    <cellStyle name="Normal 163 3 5 2 2" xfId="13902" xr:uid="{00000000-0005-0000-0000-00004E360000}"/>
    <cellStyle name="Normal 163 3 5 3" xfId="13903" xr:uid="{00000000-0005-0000-0000-00004F360000}"/>
    <cellStyle name="Normal 163 3 6" xfId="13904" xr:uid="{00000000-0005-0000-0000-000050360000}"/>
    <cellStyle name="Normal 163 4" xfId="13905" xr:uid="{00000000-0005-0000-0000-000051360000}"/>
    <cellStyle name="Normal 163 4 2" xfId="13906" xr:uid="{00000000-0005-0000-0000-000052360000}"/>
    <cellStyle name="Normal 163 4 2 2" xfId="13907" xr:uid="{00000000-0005-0000-0000-000053360000}"/>
    <cellStyle name="Normal 163 4 3" xfId="13908" xr:uid="{00000000-0005-0000-0000-000054360000}"/>
    <cellStyle name="Normal 163 5" xfId="13909" xr:uid="{00000000-0005-0000-0000-000055360000}"/>
    <cellStyle name="Normal 163 5 2" xfId="13910" xr:uid="{00000000-0005-0000-0000-000056360000}"/>
    <cellStyle name="Normal 163 5 2 2" xfId="13911" xr:uid="{00000000-0005-0000-0000-000057360000}"/>
    <cellStyle name="Normal 163 5 3" xfId="13912" xr:uid="{00000000-0005-0000-0000-000058360000}"/>
    <cellStyle name="Normal 163 6" xfId="13913" xr:uid="{00000000-0005-0000-0000-000059360000}"/>
    <cellStyle name="Normal 163 6 2" xfId="13914" xr:uid="{00000000-0005-0000-0000-00005A360000}"/>
    <cellStyle name="Normal 163 6 2 2" xfId="13915" xr:uid="{00000000-0005-0000-0000-00005B360000}"/>
    <cellStyle name="Normal 163 6 3" xfId="13916" xr:uid="{00000000-0005-0000-0000-00005C360000}"/>
    <cellStyle name="Normal 163 7" xfId="13917" xr:uid="{00000000-0005-0000-0000-00005D360000}"/>
    <cellStyle name="Normal 164" xfId="13918" xr:uid="{00000000-0005-0000-0000-00005E360000}"/>
    <cellStyle name="Normal 164 2" xfId="13919" xr:uid="{00000000-0005-0000-0000-00005F360000}"/>
    <cellStyle name="Normal 164 2 2" xfId="13920" xr:uid="{00000000-0005-0000-0000-000060360000}"/>
    <cellStyle name="Normal 164 2 2 2" xfId="13921" xr:uid="{00000000-0005-0000-0000-000061360000}"/>
    <cellStyle name="Normal 164 2 3" xfId="13922" xr:uid="{00000000-0005-0000-0000-000062360000}"/>
    <cellStyle name="Normal 164 2 3 2" xfId="13923" xr:uid="{00000000-0005-0000-0000-000063360000}"/>
    <cellStyle name="Normal 164 2 3 2 2" xfId="13924" xr:uid="{00000000-0005-0000-0000-000064360000}"/>
    <cellStyle name="Normal 164 2 3 3" xfId="13925" xr:uid="{00000000-0005-0000-0000-000065360000}"/>
    <cellStyle name="Normal 164 2 4" xfId="13926" xr:uid="{00000000-0005-0000-0000-000066360000}"/>
    <cellStyle name="Normal 164 2 4 2" xfId="13927" xr:uid="{00000000-0005-0000-0000-000067360000}"/>
    <cellStyle name="Normal 164 2 4 2 2" xfId="13928" xr:uid="{00000000-0005-0000-0000-000068360000}"/>
    <cellStyle name="Normal 164 2 4 3" xfId="13929" xr:uid="{00000000-0005-0000-0000-000069360000}"/>
    <cellStyle name="Normal 164 2 5" xfId="13930" xr:uid="{00000000-0005-0000-0000-00006A360000}"/>
    <cellStyle name="Normal 164 3" xfId="13931" xr:uid="{00000000-0005-0000-0000-00006B360000}"/>
    <cellStyle name="Normal 164 3 2" xfId="13932" xr:uid="{00000000-0005-0000-0000-00006C360000}"/>
    <cellStyle name="Normal 164 3 2 2" xfId="13933" xr:uid="{00000000-0005-0000-0000-00006D360000}"/>
    <cellStyle name="Normal 164 3 2 2 2" xfId="13934" xr:uid="{00000000-0005-0000-0000-00006E360000}"/>
    <cellStyle name="Normal 164 3 2 3" xfId="13935" xr:uid="{00000000-0005-0000-0000-00006F360000}"/>
    <cellStyle name="Normal 164 3 2 3 2" xfId="13936" xr:uid="{00000000-0005-0000-0000-000070360000}"/>
    <cellStyle name="Normal 164 3 2 3 2 2" xfId="13937" xr:uid="{00000000-0005-0000-0000-000071360000}"/>
    <cellStyle name="Normal 164 3 2 3 3" xfId="13938" xr:uid="{00000000-0005-0000-0000-000072360000}"/>
    <cellStyle name="Normal 164 3 2 4" xfId="13939" xr:uid="{00000000-0005-0000-0000-000073360000}"/>
    <cellStyle name="Normal 164 3 3" xfId="13940" xr:uid="{00000000-0005-0000-0000-000074360000}"/>
    <cellStyle name="Normal 164 3 3 2" xfId="13941" xr:uid="{00000000-0005-0000-0000-000075360000}"/>
    <cellStyle name="Normal 164 3 3 2 2" xfId="13942" xr:uid="{00000000-0005-0000-0000-000076360000}"/>
    <cellStyle name="Normal 164 3 3 3" xfId="13943" xr:uid="{00000000-0005-0000-0000-000077360000}"/>
    <cellStyle name="Normal 164 3 4" xfId="13944" xr:uid="{00000000-0005-0000-0000-000078360000}"/>
    <cellStyle name="Normal 164 3 4 2" xfId="13945" xr:uid="{00000000-0005-0000-0000-000079360000}"/>
    <cellStyle name="Normal 164 3 4 2 2" xfId="13946" xr:uid="{00000000-0005-0000-0000-00007A360000}"/>
    <cellStyle name="Normal 164 3 4 3" xfId="13947" xr:uid="{00000000-0005-0000-0000-00007B360000}"/>
    <cellStyle name="Normal 164 3 5" xfId="13948" xr:uid="{00000000-0005-0000-0000-00007C360000}"/>
    <cellStyle name="Normal 164 3 5 2" xfId="13949" xr:uid="{00000000-0005-0000-0000-00007D360000}"/>
    <cellStyle name="Normal 164 3 5 2 2" xfId="13950" xr:uid="{00000000-0005-0000-0000-00007E360000}"/>
    <cellStyle name="Normal 164 3 5 3" xfId="13951" xr:uid="{00000000-0005-0000-0000-00007F360000}"/>
    <cellStyle name="Normal 164 3 6" xfId="13952" xr:uid="{00000000-0005-0000-0000-000080360000}"/>
    <cellStyle name="Normal 164 4" xfId="13953" xr:uid="{00000000-0005-0000-0000-000081360000}"/>
    <cellStyle name="Normal 164 4 2" xfId="13954" xr:uid="{00000000-0005-0000-0000-000082360000}"/>
    <cellStyle name="Normal 164 4 2 2" xfId="13955" xr:uid="{00000000-0005-0000-0000-000083360000}"/>
    <cellStyle name="Normal 164 4 3" xfId="13956" xr:uid="{00000000-0005-0000-0000-000084360000}"/>
    <cellStyle name="Normal 164 5" xfId="13957" xr:uid="{00000000-0005-0000-0000-000085360000}"/>
    <cellStyle name="Normal 164 5 2" xfId="13958" xr:uid="{00000000-0005-0000-0000-000086360000}"/>
    <cellStyle name="Normal 164 5 2 2" xfId="13959" xr:uid="{00000000-0005-0000-0000-000087360000}"/>
    <cellStyle name="Normal 164 5 3" xfId="13960" xr:uid="{00000000-0005-0000-0000-000088360000}"/>
    <cellStyle name="Normal 164 6" xfId="13961" xr:uid="{00000000-0005-0000-0000-000089360000}"/>
    <cellStyle name="Normal 164 6 2" xfId="13962" xr:uid="{00000000-0005-0000-0000-00008A360000}"/>
    <cellStyle name="Normal 164 6 2 2" xfId="13963" xr:uid="{00000000-0005-0000-0000-00008B360000}"/>
    <cellStyle name="Normal 164 6 3" xfId="13964" xr:uid="{00000000-0005-0000-0000-00008C360000}"/>
    <cellStyle name="Normal 164 7" xfId="13965" xr:uid="{00000000-0005-0000-0000-00008D360000}"/>
    <cellStyle name="Normal 165" xfId="13966" xr:uid="{00000000-0005-0000-0000-00008E360000}"/>
    <cellStyle name="Normal 165 2" xfId="13967" xr:uid="{00000000-0005-0000-0000-00008F360000}"/>
    <cellStyle name="Normal 165 2 2" xfId="13968" xr:uid="{00000000-0005-0000-0000-000090360000}"/>
    <cellStyle name="Normal 165 2 2 2" xfId="13969" xr:uid="{00000000-0005-0000-0000-000091360000}"/>
    <cellStyle name="Normal 165 2 3" xfId="13970" xr:uid="{00000000-0005-0000-0000-000092360000}"/>
    <cellStyle name="Normal 165 2 3 2" xfId="13971" xr:uid="{00000000-0005-0000-0000-000093360000}"/>
    <cellStyle name="Normal 165 2 3 2 2" xfId="13972" xr:uid="{00000000-0005-0000-0000-000094360000}"/>
    <cellStyle name="Normal 165 2 3 3" xfId="13973" xr:uid="{00000000-0005-0000-0000-000095360000}"/>
    <cellStyle name="Normal 165 2 4" xfId="13974" xr:uid="{00000000-0005-0000-0000-000096360000}"/>
    <cellStyle name="Normal 165 2 4 2" xfId="13975" xr:uid="{00000000-0005-0000-0000-000097360000}"/>
    <cellStyle name="Normal 165 2 4 2 2" xfId="13976" xr:uid="{00000000-0005-0000-0000-000098360000}"/>
    <cellStyle name="Normal 165 2 4 3" xfId="13977" xr:uid="{00000000-0005-0000-0000-000099360000}"/>
    <cellStyle name="Normal 165 2 5" xfId="13978" xr:uid="{00000000-0005-0000-0000-00009A360000}"/>
    <cellStyle name="Normal 165 3" xfId="13979" xr:uid="{00000000-0005-0000-0000-00009B360000}"/>
    <cellStyle name="Normal 165 3 2" xfId="13980" xr:uid="{00000000-0005-0000-0000-00009C360000}"/>
    <cellStyle name="Normal 165 3 2 2" xfId="13981" xr:uid="{00000000-0005-0000-0000-00009D360000}"/>
    <cellStyle name="Normal 165 3 2 2 2" xfId="13982" xr:uid="{00000000-0005-0000-0000-00009E360000}"/>
    <cellStyle name="Normal 165 3 2 3" xfId="13983" xr:uid="{00000000-0005-0000-0000-00009F360000}"/>
    <cellStyle name="Normal 165 3 2 3 2" xfId="13984" xr:uid="{00000000-0005-0000-0000-0000A0360000}"/>
    <cellStyle name="Normal 165 3 2 3 2 2" xfId="13985" xr:uid="{00000000-0005-0000-0000-0000A1360000}"/>
    <cellStyle name="Normal 165 3 2 3 3" xfId="13986" xr:uid="{00000000-0005-0000-0000-0000A2360000}"/>
    <cellStyle name="Normal 165 3 2 4" xfId="13987" xr:uid="{00000000-0005-0000-0000-0000A3360000}"/>
    <cellStyle name="Normal 165 3 3" xfId="13988" xr:uid="{00000000-0005-0000-0000-0000A4360000}"/>
    <cellStyle name="Normal 165 3 3 2" xfId="13989" xr:uid="{00000000-0005-0000-0000-0000A5360000}"/>
    <cellStyle name="Normal 165 3 3 2 2" xfId="13990" xr:uid="{00000000-0005-0000-0000-0000A6360000}"/>
    <cellStyle name="Normal 165 3 3 3" xfId="13991" xr:uid="{00000000-0005-0000-0000-0000A7360000}"/>
    <cellStyle name="Normal 165 3 4" xfId="13992" xr:uid="{00000000-0005-0000-0000-0000A8360000}"/>
    <cellStyle name="Normal 165 3 4 2" xfId="13993" xr:uid="{00000000-0005-0000-0000-0000A9360000}"/>
    <cellStyle name="Normal 165 3 4 2 2" xfId="13994" xr:uid="{00000000-0005-0000-0000-0000AA360000}"/>
    <cellStyle name="Normal 165 3 4 3" xfId="13995" xr:uid="{00000000-0005-0000-0000-0000AB360000}"/>
    <cellStyle name="Normal 165 3 5" xfId="13996" xr:uid="{00000000-0005-0000-0000-0000AC360000}"/>
    <cellStyle name="Normal 165 3 5 2" xfId="13997" xr:uid="{00000000-0005-0000-0000-0000AD360000}"/>
    <cellStyle name="Normal 165 3 5 2 2" xfId="13998" xr:uid="{00000000-0005-0000-0000-0000AE360000}"/>
    <cellStyle name="Normal 165 3 5 3" xfId="13999" xr:uid="{00000000-0005-0000-0000-0000AF360000}"/>
    <cellStyle name="Normal 165 3 6" xfId="14000" xr:uid="{00000000-0005-0000-0000-0000B0360000}"/>
    <cellStyle name="Normal 165 4" xfId="14001" xr:uid="{00000000-0005-0000-0000-0000B1360000}"/>
    <cellStyle name="Normal 165 4 2" xfId="14002" xr:uid="{00000000-0005-0000-0000-0000B2360000}"/>
    <cellStyle name="Normal 165 4 2 2" xfId="14003" xr:uid="{00000000-0005-0000-0000-0000B3360000}"/>
    <cellStyle name="Normal 165 4 3" xfId="14004" xr:uid="{00000000-0005-0000-0000-0000B4360000}"/>
    <cellStyle name="Normal 165 5" xfId="14005" xr:uid="{00000000-0005-0000-0000-0000B5360000}"/>
    <cellStyle name="Normal 165 5 2" xfId="14006" xr:uid="{00000000-0005-0000-0000-0000B6360000}"/>
    <cellStyle name="Normal 165 5 2 2" xfId="14007" xr:uid="{00000000-0005-0000-0000-0000B7360000}"/>
    <cellStyle name="Normal 165 5 3" xfId="14008" xr:uid="{00000000-0005-0000-0000-0000B8360000}"/>
    <cellStyle name="Normal 165 6" xfId="14009" xr:uid="{00000000-0005-0000-0000-0000B9360000}"/>
    <cellStyle name="Normal 165 6 2" xfId="14010" xr:uid="{00000000-0005-0000-0000-0000BA360000}"/>
    <cellStyle name="Normal 165 6 2 2" xfId="14011" xr:uid="{00000000-0005-0000-0000-0000BB360000}"/>
    <cellStyle name="Normal 165 6 3" xfId="14012" xr:uid="{00000000-0005-0000-0000-0000BC360000}"/>
    <cellStyle name="Normal 165 7" xfId="14013" xr:uid="{00000000-0005-0000-0000-0000BD360000}"/>
    <cellStyle name="Normal 166" xfId="14014" xr:uid="{00000000-0005-0000-0000-0000BE360000}"/>
    <cellStyle name="Normal 166 2" xfId="14015" xr:uid="{00000000-0005-0000-0000-0000BF360000}"/>
    <cellStyle name="Normal 166 2 2" xfId="14016" xr:uid="{00000000-0005-0000-0000-0000C0360000}"/>
    <cellStyle name="Normal 166 2 2 2" xfId="14017" xr:uid="{00000000-0005-0000-0000-0000C1360000}"/>
    <cellStyle name="Normal 166 2 3" xfId="14018" xr:uid="{00000000-0005-0000-0000-0000C2360000}"/>
    <cellStyle name="Normal 166 2 3 2" xfId="14019" xr:uid="{00000000-0005-0000-0000-0000C3360000}"/>
    <cellStyle name="Normal 166 2 3 2 2" xfId="14020" xr:uid="{00000000-0005-0000-0000-0000C4360000}"/>
    <cellStyle name="Normal 166 2 3 3" xfId="14021" xr:uid="{00000000-0005-0000-0000-0000C5360000}"/>
    <cellStyle name="Normal 166 2 4" xfId="14022" xr:uid="{00000000-0005-0000-0000-0000C6360000}"/>
    <cellStyle name="Normal 166 2 4 2" xfId="14023" xr:uid="{00000000-0005-0000-0000-0000C7360000}"/>
    <cellStyle name="Normal 166 2 4 2 2" xfId="14024" xr:uid="{00000000-0005-0000-0000-0000C8360000}"/>
    <cellStyle name="Normal 166 2 4 3" xfId="14025" xr:uid="{00000000-0005-0000-0000-0000C9360000}"/>
    <cellStyle name="Normal 166 2 5" xfId="14026" xr:uid="{00000000-0005-0000-0000-0000CA360000}"/>
    <cellStyle name="Normal 166 3" xfId="14027" xr:uid="{00000000-0005-0000-0000-0000CB360000}"/>
    <cellStyle name="Normal 166 3 2" xfId="14028" xr:uid="{00000000-0005-0000-0000-0000CC360000}"/>
    <cellStyle name="Normal 166 3 2 2" xfId="14029" xr:uid="{00000000-0005-0000-0000-0000CD360000}"/>
    <cellStyle name="Normal 166 3 2 2 2" xfId="14030" xr:uid="{00000000-0005-0000-0000-0000CE360000}"/>
    <cellStyle name="Normal 166 3 2 3" xfId="14031" xr:uid="{00000000-0005-0000-0000-0000CF360000}"/>
    <cellStyle name="Normal 166 3 2 3 2" xfId="14032" xr:uid="{00000000-0005-0000-0000-0000D0360000}"/>
    <cellStyle name="Normal 166 3 2 3 2 2" xfId="14033" xr:uid="{00000000-0005-0000-0000-0000D1360000}"/>
    <cellStyle name="Normal 166 3 2 3 3" xfId="14034" xr:uid="{00000000-0005-0000-0000-0000D2360000}"/>
    <cellStyle name="Normal 166 3 2 4" xfId="14035" xr:uid="{00000000-0005-0000-0000-0000D3360000}"/>
    <cellStyle name="Normal 166 3 3" xfId="14036" xr:uid="{00000000-0005-0000-0000-0000D4360000}"/>
    <cellStyle name="Normal 166 3 3 2" xfId="14037" xr:uid="{00000000-0005-0000-0000-0000D5360000}"/>
    <cellStyle name="Normal 166 3 3 2 2" xfId="14038" xr:uid="{00000000-0005-0000-0000-0000D6360000}"/>
    <cellStyle name="Normal 166 3 3 3" xfId="14039" xr:uid="{00000000-0005-0000-0000-0000D7360000}"/>
    <cellStyle name="Normal 166 3 4" xfId="14040" xr:uid="{00000000-0005-0000-0000-0000D8360000}"/>
    <cellStyle name="Normal 166 3 4 2" xfId="14041" xr:uid="{00000000-0005-0000-0000-0000D9360000}"/>
    <cellStyle name="Normal 166 3 4 2 2" xfId="14042" xr:uid="{00000000-0005-0000-0000-0000DA360000}"/>
    <cellStyle name="Normal 166 3 4 3" xfId="14043" xr:uid="{00000000-0005-0000-0000-0000DB360000}"/>
    <cellStyle name="Normal 166 3 5" xfId="14044" xr:uid="{00000000-0005-0000-0000-0000DC360000}"/>
    <cellStyle name="Normal 166 3 5 2" xfId="14045" xr:uid="{00000000-0005-0000-0000-0000DD360000}"/>
    <cellStyle name="Normal 166 3 5 2 2" xfId="14046" xr:uid="{00000000-0005-0000-0000-0000DE360000}"/>
    <cellStyle name="Normal 166 3 5 3" xfId="14047" xr:uid="{00000000-0005-0000-0000-0000DF360000}"/>
    <cellStyle name="Normal 166 3 6" xfId="14048" xr:uid="{00000000-0005-0000-0000-0000E0360000}"/>
    <cellStyle name="Normal 166 4" xfId="14049" xr:uid="{00000000-0005-0000-0000-0000E1360000}"/>
    <cellStyle name="Normal 166 4 2" xfId="14050" xr:uid="{00000000-0005-0000-0000-0000E2360000}"/>
    <cellStyle name="Normal 166 4 2 2" xfId="14051" xr:uid="{00000000-0005-0000-0000-0000E3360000}"/>
    <cellStyle name="Normal 166 4 3" xfId="14052" xr:uid="{00000000-0005-0000-0000-0000E4360000}"/>
    <cellStyle name="Normal 166 5" xfId="14053" xr:uid="{00000000-0005-0000-0000-0000E5360000}"/>
    <cellStyle name="Normal 166 5 2" xfId="14054" xr:uid="{00000000-0005-0000-0000-0000E6360000}"/>
    <cellStyle name="Normal 166 5 2 2" xfId="14055" xr:uid="{00000000-0005-0000-0000-0000E7360000}"/>
    <cellStyle name="Normal 166 5 3" xfId="14056" xr:uid="{00000000-0005-0000-0000-0000E8360000}"/>
    <cellStyle name="Normal 166 6" xfId="14057" xr:uid="{00000000-0005-0000-0000-0000E9360000}"/>
    <cellStyle name="Normal 166 6 2" xfId="14058" xr:uid="{00000000-0005-0000-0000-0000EA360000}"/>
    <cellStyle name="Normal 166 6 2 2" xfId="14059" xr:uid="{00000000-0005-0000-0000-0000EB360000}"/>
    <cellStyle name="Normal 166 6 3" xfId="14060" xr:uid="{00000000-0005-0000-0000-0000EC360000}"/>
    <cellStyle name="Normal 166 7" xfId="14061" xr:uid="{00000000-0005-0000-0000-0000ED360000}"/>
    <cellStyle name="Normal 167" xfId="14062" xr:uid="{00000000-0005-0000-0000-0000EE360000}"/>
    <cellStyle name="Normal 167 2" xfId="14063" xr:uid="{00000000-0005-0000-0000-0000EF360000}"/>
    <cellStyle name="Normal 167 2 2" xfId="14064" xr:uid="{00000000-0005-0000-0000-0000F0360000}"/>
    <cellStyle name="Normal 167 2 2 2" xfId="14065" xr:uid="{00000000-0005-0000-0000-0000F1360000}"/>
    <cellStyle name="Normal 167 2 3" xfId="14066" xr:uid="{00000000-0005-0000-0000-0000F2360000}"/>
    <cellStyle name="Normal 167 2 3 2" xfId="14067" xr:uid="{00000000-0005-0000-0000-0000F3360000}"/>
    <cellStyle name="Normal 167 2 3 2 2" xfId="14068" xr:uid="{00000000-0005-0000-0000-0000F4360000}"/>
    <cellStyle name="Normal 167 2 3 3" xfId="14069" xr:uid="{00000000-0005-0000-0000-0000F5360000}"/>
    <cellStyle name="Normal 167 2 4" xfId="14070" xr:uid="{00000000-0005-0000-0000-0000F6360000}"/>
    <cellStyle name="Normal 167 2 4 2" xfId="14071" xr:uid="{00000000-0005-0000-0000-0000F7360000}"/>
    <cellStyle name="Normal 167 2 4 2 2" xfId="14072" xr:uid="{00000000-0005-0000-0000-0000F8360000}"/>
    <cellStyle name="Normal 167 2 4 3" xfId="14073" xr:uid="{00000000-0005-0000-0000-0000F9360000}"/>
    <cellStyle name="Normal 167 2 5" xfId="14074" xr:uid="{00000000-0005-0000-0000-0000FA360000}"/>
    <cellStyle name="Normal 167 3" xfId="14075" xr:uid="{00000000-0005-0000-0000-0000FB360000}"/>
    <cellStyle name="Normal 167 3 2" xfId="14076" xr:uid="{00000000-0005-0000-0000-0000FC360000}"/>
    <cellStyle name="Normal 167 3 2 2" xfId="14077" xr:uid="{00000000-0005-0000-0000-0000FD360000}"/>
    <cellStyle name="Normal 167 3 2 2 2" xfId="14078" xr:uid="{00000000-0005-0000-0000-0000FE360000}"/>
    <cellStyle name="Normal 167 3 2 3" xfId="14079" xr:uid="{00000000-0005-0000-0000-0000FF360000}"/>
    <cellStyle name="Normal 167 3 2 3 2" xfId="14080" xr:uid="{00000000-0005-0000-0000-000000370000}"/>
    <cellStyle name="Normal 167 3 2 3 2 2" xfId="14081" xr:uid="{00000000-0005-0000-0000-000001370000}"/>
    <cellStyle name="Normal 167 3 2 3 3" xfId="14082" xr:uid="{00000000-0005-0000-0000-000002370000}"/>
    <cellStyle name="Normal 167 3 2 4" xfId="14083" xr:uid="{00000000-0005-0000-0000-000003370000}"/>
    <cellStyle name="Normal 167 3 3" xfId="14084" xr:uid="{00000000-0005-0000-0000-000004370000}"/>
    <cellStyle name="Normal 167 3 3 2" xfId="14085" xr:uid="{00000000-0005-0000-0000-000005370000}"/>
    <cellStyle name="Normal 167 3 3 2 2" xfId="14086" xr:uid="{00000000-0005-0000-0000-000006370000}"/>
    <cellStyle name="Normal 167 3 3 3" xfId="14087" xr:uid="{00000000-0005-0000-0000-000007370000}"/>
    <cellStyle name="Normal 167 3 4" xfId="14088" xr:uid="{00000000-0005-0000-0000-000008370000}"/>
    <cellStyle name="Normal 167 3 4 2" xfId="14089" xr:uid="{00000000-0005-0000-0000-000009370000}"/>
    <cellStyle name="Normal 167 3 4 2 2" xfId="14090" xr:uid="{00000000-0005-0000-0000-00000A370000}"/>
    <cellStyle name="Normal 167 3 4 3" xfId="14091" xr:uid="{00000000-0005-0000-0000-00000B370000}"/>
    <cellStyle name="Normal 167 3 5" xfId="14092" xr:uid="{00000000-0005-0000-0000-00000C370000}"/>
    <cellStyle name="Normal 167 3 5 2" xfId="14093" xr:uid="{00000000-0005-0000-0000-00000D370000}"/>
    <cellStyle name="Normal 167 3 5 2 2" xfId="14094" xr:uid="{00000000-0005-0000-0000-00000E370000}"/>
    <cellStyle name="Normal 167 3 5 3" xfId="14095" xr:uid="{00000000-0005-0000-0000-00000F370000}"/>
    <cellStyle name="Normal 167 3 6" xfId="14096" xr:uid="{00000000-0005-0000-0000-000010370000}"/>
    <cellStyle name="Normal 167 4" xfId="14097" xr:uid="{00000000-0005-0000-0000-000011370000}"/>
    <cellStyle name="Normal 167 4 2" xfId="14098" xr:uid="{00000000-0005-0000-0000-000012370000}"/>
    <cellStyle name="Normal 167 4 2 2" xfId="14099" xr:uid="{00000000-0005-0000-0000-000013370000}"/>
    <cellStyle name="Normal 167 4 3" xfId="14100" xr:uid="{00000000-0005-0000-0000-000014370000}"/>
    <cellStyle name="Normal 167 5" xfId="14101" xr:uid="{00000000-0005-0000-0000-000015370000}"/>
    <cellStyle name="Normal 167 5 2" xfId="14102" xr:uid="{00000000-0005-0000-0000-000016370000}"/>
    <cellStyle name="Normal 167 5 2 2" xfId="14103" xr:uid="{00000000-0005-0000-0000-000017370000}"/>
    <cellStyle name="Normal 167 5 3" xfId="14104" xr:uid="{00000000-0005-0000-0000-000018370000}"/>
    <cellStyle name="Normal 167 6" xfId="14105" xr:uid="{00000000-0005-0000-0000-000019370000}"/>
    <cellStyle name="Normal 167 6 2" xfId="14106" xr:uid="{00000000-0005-0000-0000-00001A370000}"/>
    <cellStyle name="Normal 167 6 2 2" xfId="14107" xr:uid="{00000000-0005-0000-0000-00001B370000}"/>
    <cellStyle name="Normal 167 6 3" xfId="14108" xr:uid="{00000000-0005-0000-0000-00001C370000}"/>
    <cellStyle name="Normal 167 7" xfId="14109" xr:uid="{00000000-0005-0000-0000-00001D370000}"/>
    <cellStyle name="Normal 168" xfId="14110" xr:uid="{00000000-0005-0000-0000-00001E370000}"/>
    <cellStyle name="Normal 168 2" xfId="14111" xr:uid="{00000000-0005-0000-0000-00001F370000}"/>
    <cellStyle name="Normal 168 2 2" xfId="14112" xr:uid="{00000000-0005-0000-0000-000020370000}"/>
    <cellStyle name="Normal 168 2 2 2" xfId="14113" xr:uid="{00000000-0005-0000-0000-000021370000}"/>
    <cellStyle name="Normal 168 2 3" xfId="14114" xr:uid="{00000000-0005-0000-0000-000022370000}"/>
    <cellStyle name="Normal 168 2 3 2" xfId="14115" xr:uid="{00000000-0005-0000-0000-000023370000}"/>
    <cellStyle name="Normal 168 2 3 2 2" xfId="14116" xr:uid="{00000000-0005-0000-0000-000024370000}"/>
    <cellStyle name="Normal 168 2 3 3" xfId="14117" xr:uid="{00000000-0005-0000-0000-000025370000}"/>
    <cellStyle name="Normal 168 2 4" xfId="14118" xr:uid="{00000000-0005-0000-0000-000026370000}"/>
    <cellStyle name="Normal 168 2 4 2" xfId="14119" xr:uid="{00000000-0005-0000-0000-000027370000}"/>
    <cellStyle name="Normal 168 2 4 2 2" xfId="14120" xr:uid="{00000000-0005-0000-0000-000028370000}"/>
    <cellStyle name="Normal 168 2 4 3" xfId="14121" xr:uid="{00000000-0005-0000-0000-000029370000}"/>
    <cellStyle name="Normal 168 2 5" xfId="14122" xr:uid="{00000000-0005-0000-0000-00002A370000}"/>
    <cellStyle name="Normal 168 3" xfId="14123" xr:uid="{00000000-0005-0000-0000-00002B370000}"/>
    <cellStyle name="Normal 168 3 2" xfId="14124" xr:uid="{00000000-0005-0000-0000-00002C370000}"/>
    <cellStyle name="Normal 168 3 2 2" xfId="14125" xr:uid="{00000000-0005-0000-0000-00002D370000}"/>
    <cellStyle name="Normal 168 3 2 2 2" xfId="14126" xr:uid="{00000000-0005-0000-0000-00002E370000}"/>
    <cellStyle name="Normal 168 3 2 3" xfId="14127" xr:uid="{00000000-0005-0000-0000-00002F370000}"/>
    <cellStyle name="Normal 168 3 2 3 2" xfId="14128" xr:uid="{00000000-0005-0000-0000-000030370000}"/>
    <cellStyle name="Normal 168 3 2 3 2 2" xfId="14129" xr:uid="{00000000-0005-0000-0000-000031370000}"/>
    <cellStyle name="Normal 168 3 2 3 3" xfId="14130" xr:uid="{00000000-0005-0000-0000-000032370000}"/>
    <cellStyle name="Normal 168 3 2 4" xfId="14131" xr:uid="{00000000-0005-0000-0000-000033370000}"/>
    <cellStyle name="Normal 168 3 3" xfId="14132" xr:uid="{00000000-0005-0000-0000-000034370000}"/>
    <cellStyle name="Normal 168 3 3 2" xfId="14133" xr:uid="{00000000-0005-0000-0000-000035370000}"/>
    <cellStyle name="Normal 168 3 3 2 2" xfId="14134" xr:uid="{00000000-0005-0000-0000-000036370000}"/>
    <cellStyle name="Normal 168 3 3 3" xfId="14135" xr:uid="{00000000-0005-0000-0000-000037370000}"/>
    <cellStyle name="Normal 168 3 4" xfId="14136" xr:uid="{00000000-0005-0000-0000-000038370000}"/>
    <cellStyle name="Normal 168 3 4 2" xfId="14137" xr:uid="{00000000-0005-0000-0000-000039370000}"/>
    <cellStyle name="Normal 168 3 4 2 2" xfId="14138" xr:uid="{00000000-0005-0000-0000-00003A370000}"/>
    <cellStyle name="Normal 168 3 4 3" xfId="14139" xr:uid="{00000000-0005-0000-0000-00003B370000}"/>
    <cellStyle name="Normal 168 3 5" xfId="14140" xr:uid="{00000000-0005-0000-0000-00003C370000}"/>
    <cellStyle name="Normal 168 3 5 2" xfId="14141" xr:uid="{00000000-0005-0000-0000-00003D370000}"/>
    <cellStyle name="Normal 168 3 5 2 2" xfId="14142" xr:uid="{00000000-0005-0000-0000-00003E370000}"/>
    <cellStyle name="Normal 168 3 5 3" xfId="14143" xr:uid="{00000000-0005-0000-0000-00003F370000}"/>
    <cellStyle name="Normal 168 3 6" xfId="14144" xr:uid="{00000000-0005-0000-0000-000040370000}"/>
    <cellStyle name="Normal 168 4" xfId="14145" xr:uid="{00000000-0005-0000-0000-000041370000}"/>
    <cellStyle name="Normal 168 4 2" xfId="14146" xr:uid="{00000000-0005-0000-0000-000042370000}"/>
    <cellStyle name="Normal 168 4 2 2" xfId="14147" xr:uid="{00000000-0005-0000-0000-000043370000}"/>
    <cellStyle name="Normal 168 4 3" xfId="14148" xr:uid="{00000000-0005-0000-0000-000044370000}"/>
    <cellStyle name="Normal 168 5" xfId="14149" xr:uid="{00000000-0005-0000-0000-000045370000}"/>
    <cellStyle name="Normal 168 5 2" xfId="14150" xr:uid="{00000000-0005-0000-0000-000046370000}"/>
    <cellStyle name="Normal 168 5 2 2" xfId="14151" xr:uid="{00000000-0005-0000-0000-000047370000}"/>
    <cellStyle name="Normal 168 5 3" xfId="14152" xr:uid="{00000000-0005-0000-0000-000048370000}"/>
    <cellStyle name="Normal 168 6" xfId="14153" xr:uid="{00000000-0005-0000-0000-000049370000}"/>
    <cellStyle name="Normal 168 6 2" xfId="14154" xr:uid="{00000000-0005-0000-0000-00004A370000}"/>
    <cellStyle name="Normal 168 6 2 2" xfId="14155" xr:uid="{00000000-0005-0000-0000-00004B370000}"/>
    <cellStyle name="Normal 168 6 3" xfId="14156" xr:uid="{00000000-0005-0000-0000-00004C370000}"/>
    <cellStyle name="Normal 168 7" xfId="14157" xr:uid="{00000000-0005-0000-0000-00004D370000}"/>
    <cellStyle name="Normal 169" xfId="14158" xr:uid="{00000000-0005-0000-0000-00004E370000}"/>
    <cellStyle name="Normal 169 2" xfId="14159" xr:uid="{00000000-0005-0000-0000-00004F370000}"/>
    <cellStyle name="Normal 169 2 2" xfId="14160" xr:uid="{00000000-0005-0000-0000-000050370000}"/>
    <cellStyle name="Normal 169 2 2 2" xfId="14161" xr:uid="{00000000-0005-0000-0000-000051370000}"/>
    <cellStyle name="Normal 169 2 3" xfId="14162" xr:uid="{00000000-0005-0000-0000-000052370000}"/>
    <cellStyle name="Normal 169 2 3 2" xfId="14163" xr:uid="{00000000-0005-0000-0000-000053370000}"/>
    <cellStyle name="Normal 169 2 3 2 2" xfId="14164" xr:uid="{00000000-0005-0000-0000-000054370000}"/>
    <cellStyle name="Normal 169 2 3 3" xfId="14165" xr:uid="{00000000-0005-0000-0000-000055370000}"/>
    <cellStyle name="Normal 169 2 4" xfId="14166" xr:uid="{00000000-0005-0000-0000-000056370000}"/>
    <cellStyle name="Normal 169 2 4 2" xfId="14167" xr:uid="{00000000-0005-0000-0000-000057370000}"/>
    <cellStyle name="Normal 169 2 4 2 2" xfId="14168" xr:uid="{00000000-0005-0000-0000-000058370000}"/>
    <cellStyle name="Normal 169 2 4 3" xfId="14169" xr:uid="{00000000-0005-0000-0000-000059370000}"/>
    <cellStyle name="Normal 169 2 5" xfId="14170" xr:uid="{00000000-0005-0000-0000-00005A370000}"/>
    <cellStyle name="Normal 169 3" xfId="14171" xr:uid="{00000000-0005-0000-0000-00005B370000}"/>
    <cellStyle name="Normal 169 3 2" xfId="14172" xr:uid="{00000000-0005-0000-0000-00005C370000}"/>
    <cellStyle name="Normal 169 3 2 2" xfId="14173" xr:uid="{00000000-0005-0000-0000-00005D370000}"/>
    <cellStyle name="Normal 169 3 2 2 2" xfId="14174" xr:uid="{00000000-0005-0000-0000-00005E370000}"/>
    <cellStyle name="Normal 169 3 2 3" xfId="14175" xr:uid="{00000000-0005-0000-0000-00005F370000}"/>
    <cellStyle name="Normal 169 3 2 3 2" xfId="14176" xr:uid="{00000000-0005-0000-0000-000060370000}"/>
    <cellStyle name="Normal 169 3 2 3 2 2" xfId="14177" xr:uid="{00000000-0005-0000-0000-000061370000}"/>
    <cellStyle name="Normal 169 3 2 3 3" xfId="14178" xr:uid="{00000000-0005-0000-0000-000062370000}"/>
    <cellStyle name="Normal 169 3 2 4" xfId="14179" xr:uid="{00000000-0005-0000-0000-000063370000}"/>
    <cellStyle name="Normal 169 3 3" xfId="14180" xr:uid="{00000000-0005-0000-0000-000064370000}"/>
    <cellStyle name="Normal 169 3 3 2" xfId="14181" xr:uid="{00000000-0005-0000-0000-000065370000}"/>
    <cellStyle name="Normal 169 3 3 2 2" xfId="14182" xr:uid="{00000000-0005-0000-0000-000066370000}"/>
    <cellStyle name="Normal 169 3 3 3" xfId="14183" xr:uid="{00000000-0005-0000-0000-000067370000}"/>
    <cellStyle name="Normal 169 3 4" xfId="14184" xr:uid="{00000000-0005-0000-0000-000068370000}"/>
    <cellStyle name="Normal 169 3 4 2" xfId="14185" xr:uid="{00000000-0005-0000-0000-000069370000}"/>
    <cellStyle name="Normal 169 3 4 2 2" xfId="14186" xr:uid="{00000000-0005-0000-0000-00006A370000}"/>
    <cellStyle name="Normal 169 3 4 3" xfId="14187" xr:uid="{00000000-0005-0000-0000-00006B370000}"/>
    <cellStyle name="Normal 169 3 5" xfId="14188" xr:uid="{00000000-0005-0000-0000-00006C370000}"/>
    <cellStyle name="Normal 169 3 5 2" xfId="14189" xr:uid="{00000000-0005-0000-0000-00006D370000}"/>
    <cellStyle name="Normal 169 3 5 2 2" xfId="14190" xr:uid="{00000000-0005-0000-0000-00006E370000}"/>
    <cellStyle name="Normal 169 3 5 3" xfId="14191" xr:uid="{00000000-0005-0000-0000-00006F370000}"/>
    <cellStyle name="Normal 169 3 6" xfId="14192" xr:uid="{00000000-0005-0000-0000-000070370000}"/>
    <cellStyle name="Normal 169 4" xfId="14193" xr:uid="{00000000-0005-0000-0000-000071370000}"/>
    <cellStyle name="Normal 169 4 2" xfId="14194" xr:uid="{00000000-0005-0000-0000-000072370000}"/>
    <cellStyle name="Normal 169 4 2 2" xfId="14195" xr:uid="{00000000-0005-0000-0000-000073370000}"/>
    <cellStyle name="Normal 169 4 3" xfId="14196" xr:uid="{00000000-0005-0000-0000-000074370000}"/>
    <cellStyle name="Normal 169 5" xfId="14197" xr:uid="{00000000-0005-0000-0000-000075370000}"/>
    <cellStyle name="Normal 169 5 2" xfId="14198" xr:uid="{00000000-0005-0000-0000-000076370000}"/>
    <cellStyle name="Normal 169 5 2 2" xfId="14199" xr:uid="{00000000-0005-0000-0000-000077370000}"/>
    <cellStyle name="Normal 169 5 3" xfId="14200" xr:uid="{00000000-0005-0000-0000-000078370000}"/>
    <cellStyle name="Normal 169 6" xfId="14201" xr:uid="{00000000-0005-0000-0000-000079370000}"/>
    <cellStyle name="Normal 169 6 2" xfId="14202" xr:uid="{00000000-0005-0000-0000-00007A370000}"/>
    <cellStyle name="Normal 169 6 2 2" xfId="14203" xr:uid="{00000000-0005-0000-0000-00007B370000}"/>
    <cellStyle name="Normal 169 6 3" xfId="14204" xr:uid="{00000000-0005-0000-0000-00007C370000}"/>
    <cellStyle name="Normal 169 7" xfId="14205" xr:uid="{00000000-0005-0000-0000-00007D370000}"/>
    <cellStyle name="Normal 17" xfId="64" xr:uid="{00000000-0005-0000-0000-000040000000}"/>
    <cellStyle name="Normal 17 2" xfId="14206" xr:uid="{00000000-0005-0000-0000-00007E370000}"/>
    <cellStyle name="Normal 17 2 2" xfId="14207" xr:uid="{00000000-0005-0000-0000-00007F370000}"/>
    <cellStyle name="Normal 17 2 2 2" xfId="14208" xr:uid="{00000000-0005-0000-0000-000080370000}"/>
    <cellStyle name="Normal 17 2 2 2 2" xfId="14209" xr:uid="{00000000-0005-0000-0000-000081370000}"/>
    <cellStyle name="Normal 17 2 2 3" xfId="14210" xr:uid="{00000000-0005-0000-0000-000082370000}"/>
    <cellStyle name="Normal 17 2 2 3 2" xfId="14211" xr:uid="{00000000-0005-0000-0000-000083370000}"/>
    <cellStyle name="Normal 17 2 2 3 2 2" xfId="14212" xr:uid="{00000000-0005-0000-0000-000084370000}"/>
    <cellStyle name="Normal 17 2 2 3 3" xfId="14213" xr:uid="{00000000-0005-0000-0000-000085370000}"/>
    <cellStyle name="Normal 17 2 2 4" xfId="14214" xr:uid="{00000000-0005-0000-0000-000086370000}"/>
    <cellStyle name="Normal 17 2 2 4 2" xfId="14215" xr:uid="{00000000-0005-0000-0000-000087370000}"/>
    <cellStyle name="Normal 17 2 2 4 2 2" xfId="14216" xr:uid="{00000000-0005-0000-0000-000088370000}"/>
    <cellStyle name="Normal 17 2 2 4 3" xfId="14217" xr:uid="{00000000-0005-0000-0000-000089370000}"/>
    <cellStyle name="Normal 17 2 2 5" xfId="14218" xr:uid="{00000000-0005-0000-0000-00008A370000}"/>
    <cellStyle name="Normal 17 2 3" xfId="14219" xr:uid="{00000000-0005-0000-0000-00008B370000}"/>
    <cellStyle name="Normal 17 2 3 2" xfId="14220" xr:uid="{00000000-0005-0000-0000-00008C370000}"/>
    <cellStyle name="Normal 17 2 3 2 2" xfId="14221" xr:uid="{00000000-0005-0000-0000-00008D370000}"/>
    <cellStyle name="Normal 17 2 3 2 2 2" xfId="14222" xr:uid="{00000000-0005-0000-0000-00008E370000}"/>
    <cellStyle name="Normal 17 2 3 2 3" xfId="14223" xr:uid="{00000000-0005-0000-0000-00008F370000}"/>
    <cellStyle name="Normal 17 2 3 2 3 2" xfId="14224" xr:uid="{00000000-0005-0000-0000-000090370000}"/>
    <cellStyle name="Normal 17 2 3 2 3 2 2" xfId="14225" xr:uid="{00000000-0005-0000-0000-000091370000}"/>
    <cellStyle name="Normal 17 2 3 2 3 3" xfId="14226" xr:uid="{00000000-0005-0000-0000-000092370000}"/>
    <cellStyle name="Normal 17 2 3 2 4" xfId="14227" xr:uid="{00000000-0005-0000-0000-000093370000}"/>
    <cellStyle name="Normal 17 2 3 3" xfId="14228" xr:uid="{00000000-0005-0000-0000-000094370000}"/>
    <cellStyle name="Normal 17 2 3 3 2" xfId="14229" xr:uid="{00000000-0005-0000-0000-000095370000}"/>
    <cellStyle name="Normal 17 2 3 3 2 2" xfId="14230" xr:uid="{00000000-0005-0000-0000-000096370000}"/>
    <cellStyle name="Normal 17 2 3 3 3" xfId="14231" xr:uid="{00000000-0005-0000-0000-000097370000}"/>
    <cellStyle name="Normal 17 2 3 4" xfId="14232" xr:uid="{00000000-0005-0000-0000-000098370000}"/>
    <cellStyle name="Normal 17 2 3 4 2" xfId="14233" xr:uid="{00000000-0005-0000-0000-000099370000}"/>
    <cellStyle name="Normal 17 2 3 4 2 2" xfId="14234" xr:uid="{00000000-0005-0000-0000-00009A370000}"/>
    <cellStyle name="Normal 17 2 3 4 3" xfId="14235" xr:uid="{00000000-0005-0000-0000-00009B370000}"/>
    <cellStyle name="Normal 17 2 3 5" xfId="14236" xr:uid="{00000000-0005-0000-0000-00009C370000}"/>
    <cellStyle name="Normal 17 2 3 5 2" xfId="14237" xr:uid="{00000000-0005-0000-0000-00009D370000}"/>
    <cellStyle name="Normal 17 2 3 5 2 2" xfId="14238" xr:uid="{00000000-0005-0000-0000-00009E370000}"/>
    <cellStyle name="Normal 17 2 3 5 3" xfId="14239" xr:uid="{00000000-0005-0000-0000-00009F370000}"/>
    <cellStyle name="Normal 17 2 3 6" xfId="14240" xr:uid="{00000000-0005-0000-0000-0000A0370000}"/>
    <cellStyle name="Normal 17 2 4" xfId="14241" xr:uid="{00000000-0005-0000-0000-0000A1370000}"/>
    <cellStyle name="Normal 17 3" xfId="14242" xr:uid="{00000000-0005-0000-0000-0000A2370000}"/>
    <cellStyle name="Normal 17 3 2" xfId="14243" xr:uid="{00000000-0005-0000-0000-0000A3370000}"/>
    <cellStyle name="Normal 17 3 2 2" xfId="14244" xr:uid="{00000000-0005-0000-0000-0000A4370000}"/>
    <cellStyle name="Normal 17 3 2 2 2" xfId="14245" xr:uid="{00000000-0005-0000-0000-0000A5370000}"/>
    <cellStyle name="Normal 17 3 2 3" xfId="14246" xr:uid="{00000000-0005-0000-0000-0000A6370000}"/>
    <cellStyle name="Normal 17 3 2 3 2" xfId="14247" xr:uid="{00000000-0005-0000-0000-0000A7370000}"/>
    <cellStyle name="Normal 17 3 2 3 2 2" xfId="14248" xr:uid="{00000000-0005-0000-0000-0000A8370000}"/>
    <cellStyle name="Normal 17 3 2 3 3" xfId="14249" xr:uid="{00000000-0005-0000-0000-0000A9370000}"/>
    <cellStyle name="Normal 17 3 2 4" xfId="14250" xr:uid="{00000000-0005-0000-0000-0000AA370000}"/>
    <cellStyle name="Normal 17 3 2 4 2" xfId="14251" xr:uid="{00000000-0005-0000-0000-0000AB370000}"/>
    <cellStyle name="Normal 17 3 2 4 2 2" xfId="14252" xr:uid="{00000000-0005-0000-0000-0000AC370000}"/>
    <cellStyle name="Normal 17 3 2 4 3" xfId="14253" xr:uid="{00000000-0005-0000-0000-0000AD370000}"/>
    <cellStyle name="Normal 17 3 2 5" xfId="14254" xr:uid="{00000000-0005-0000-0000-0000AE370000}"/>
    <cellStyle name="Normal 17 3 3" xfId="14255" xr:uid="{00000000-0005-0000-0000-0000AF370000}"/>
    <cellStyle name="Normal 17 3 3 2" xfId="14256" xr:uid="{00000000-0005-0000-0000-0000B0370000}"/>
    <cellStyle name="Normal 17 3 3 2 2" xfId="14257" xr:uid="{00000000-0005-0000-0000-0000B1370000}"/>
    <cellStyle name="Normal 17 3 3 3" xfId="14258" xr:uid="{00000000-0005-0000-0000-0000B2370000}"/>
    <cellStyle name="Normal 17 3 4" xfId="14259" xr:uid="{00000000-0005-0000-0000-0000B3370000}"/>
    <cellStyle name="Normal 17 3 4 2" xfId="14260" xr:uid="{00000000-0005-0000-0000-0000B4370000}"/>
    <cellStyle name="Normal 17 3 4 2 2" xfId="14261" xr:uid="{00000000-0005-0000-0000-0000B5370000}"/>
    <cellStyle name="Normal 17 3 4 3" xfId="14262" xr:uid="{00000000-0005-0000-0000-0000B6370000}"/>
    <cellStyle name="Normal 17 3 5" xfId="14263" xr:uid="{00000000-0005-0000-0000-0000B7370000}"/>
    <cellStyle name="Normal 17 3 5 2" xfId="14264" xr:uid="{00000000-0005-0000-0000-0000B8370000}"/>
    <cellStyle name="Normal 17 3 5 2 2" xfId="14265" xr:uid="{00000000-0005-0000-0000-0000B9370000}"/>
    <cellStyle name="Normal 17 3 5 3" xfId="14266" xr:uid="{00000000-0005-0000-0000-0000BA370000}"/>
    <cellStyle name="Normal 17 3 6" xfId="14267" xr:uid="{00000000-0005-0000-0000-0000BB370000}"/>
    <cellStyle name="Normal 17 4" xfId="14268" xr:uid="{00000000-0005-0000-0000-0000BC370000}"/>
    <cellStyle name="Normal 17 4 2" xfId="14269" xr:uid="{00000000-0005-0000-0000-0000BD370000}"/>
    <cellStyle name="Normal 17 4 2 2" xfId="14270" xr:uid="{00000000-0005-0000-0000-0000BE370000}"/>
    <cellStyle name="Normal 17 4 3" xfId="14271" xr:uid="{00000000-0005-0000-0000-0000BF370000}"/>
    <cellStyle name="Normal 17 4 3 2" xfId="14272" xr:uid="{00000000-0005-0000-0000-0000C0370000}"/>
    <cellStyle name="Normal 17 4 3 2 2" xfId="14273" xr:uid="{00000000-0005-0000-0000-0000C1370000}"/>
    <cellStyle name="Normal 17 4 3 3" xfId="14274" xr:uid="{00000000-0005-0000-0000-0000C2370000}"/>
    <cellStyle name="Normal 17 4 4" xfId="14275" xr:uid="{00000000-0005-0000-0000-0000C3370000}"/>
    <cellStyle name="Normal 17 4 4 2" xfId="14276" xr:uid="{00000000-0005-0000-0000-0000C4370000}"/>
    <cellStyle name="Normal 17 4 4 2 2" xfId="14277" xr:uid="{00000000-0005-0000-0000-0000C5370000}"/>
    <cellStyle name="Normal 17 4 4 3" xfId="14278" xr:uid="{00000000-0005-0000-0000-0000C6370000}"/>
    <cellStyle name="Normal 17 4 5" xfId="14279" xr:uid="{00000000-0005-0000-0000-0000C7370000}"/>
    <cellStyle name="Normal 17 5" xfId="14280" xr:uid="{00000000-0005-0000-0000-0000C8370000}"/>
    <cellStyle name="Normal 17 5 2" xfId="14281" xr:uid="{00000000-0005-0000-0000-0000C9370000}"/>
    <cellStyle name="Normal 17 5 2 2" xfId="14282" xr:uid="{00000000-0005-0000-0000-0000CA370000}"/>
    <cellStyle name="Normal 17 5 2 2 2" xfId="14283" xr:uid="{00000000-0005-0000-0000-0000CB370000}"/>
    <cellStyle name="Normal 17 5 2 3" xfId="14284" xr:uid="{00000000-0005-0000-0000-0000CC370000}"/>
    <cellStyle name="Normal 17 5 2 3 2" xfId="14285" xr:uid="{00000000-0005-0000-0000-0000CD370000}"/>
    <cellStyle name="Normal 17 5 2 3 2 2" xfId="14286" xr:uid="{00000000-0005-0000-0000-0000CE370000}"/>
    <cellStyle name="Normal 17 5 2 3 3" xfId="14287" xr:uid="{00000000-0005-0000-0000-0000CF370000}"/>
    <cellStyle name="Normal 17 5 2 4" xfId="14288" xr:uid="{00000000-0005-0000-0000-0000D0370000}"/>
    <cellStyle name="Normal 17 5 3" xfId="14289" xr:uid="{00000000-0005-0000-0000-0000D1370000}"/>
    <cellStyle name="Normal 17 5 3 2" xfId="14290" xr:uid="{00000000-0005-0000-0000-0000D2370000}"/>
    <cellStyle name="Normal 17 5 3 2 2" xfId="14291" xr:uid="{00000000-0005-0000-0000-0000D3370000}"/>
    <cellStyle name="Normal 17 5 3 3" xfId="14292" xr:uid="{00000000-0005-0000-0000-0000D4370000}"/>
    <cellStyle name="Normal 17 5 4" xfId="14293" xr:uid="{00000000-0005-0000-0000-0000D5370000}"/>
    <cellStyle name="Normal 17 5 4 2" xfId="14294" xr:uid="{00000000-0005-0000-0000-0000D6370000}"/>
    <cellStyle name="Normal 17 5 4 2 2" xfId="14295" xr:uid="{00000000-0005-0000-0000-0000D7370000}"/>
    <cellStyle name="Normal 17 5 4 3" xfId="14296" xr:uid="{00000000-0005-0000-0000-0000D8370000}"/>
    <cellStyle name="Normal 17 5 5" xfId="14297" xr:uid="{00000000-0005-0000-0000-0000D9370000}"/>
    <cellStyle name="Normal 17 5 5 2" xfId="14298" xr:uid="{00000000-0005-0000-0000-0000DA370000}"/>
    <cellStyle name="Normal 17 5 5 2 2" xfId="14299" xr:uid="{00000000-0005-0000-0000-0000DB370000}"/>
    <cellStyle name="Normal 17 5 5 3" xfId="14300" xr:uid="{00000000-0005-0000-0000-0000DC370000}"/>
    <cellStyle name="Normal 17 5 6" xfId="14301" xr:uid="{00000000-0005-0000-0000-0000DD370000}"/>
    <cellStyle name="Normal 17 6" xfId="14302" xr:uid="{00000000-0005-0000-0000-0000DE370000}"/>
    <cellStyle name="Normal 17 7" xfId="14303" xr:uid="{00000000-0005-0000-0000-0000DF370000}"/>
    <cellStyle name="Normal 170" xfId="14304" xr:uid="{00000000-0005-0000-0000-0000E0370000}"/>
    <cellStyle name="Normal 170 2" xfId="14305" xr:uid="{00000000-0005-0000-0000-0000E1370000}"/>
    <cellStyle name="Normal 170 2 2" xfId="14306" xr:uid="{00000000-0005-0000-0000-0000E2370000}"/>
    <cellStyle name="Normal 170 2 2 2" xfId="14307" xr:uid="{00000000-0005-0000-0000-0000E3370000}"/>
    <cellStyle name="Normal 170 2 3" xfId="14308" xr:uid="{00000000-0005-0000-0000-0000E4370000}"/>
    <cellStyle name="Normal 170 2 3 2" xfId="14309" xr:uid="{00000000-0005-0000-0000-0000E5370000}"/>
    <cellStyle name="Normal 170 2 3 2 2" xfId="14310" xr:uid="{00000000-0005-0000-0000-0000E6370000}"/>
    <cellStyle name="Normal 170 2 3 3" xfId="14311" xr:uid="{00000000-0005-0000-0000-0000E7370000}"/>
    <cellStyle name="Normal 170 2 4" xfId="14312" xr:uid="{00000000-0005-0000-0000-0000E8370000}"/>
    <cellStyle name="Normal 170 2 4 2" xfId="14313" xr:uid="{00000000-0005-0000-0000-0000E9370000}"/>
    <cellStyle name="Normal 170 2 4 2 2" xfId="14314" xr:uid="{00000000-0005-0000-0000-0000EA370000}"/>
    <cellStyle name="Normal 170 2 4 3" xfId="14315" xr:uid="{00000000-0005-0000-0000-0000EB370000}"/>
    <cellStyle name="Normal 170 2 5" xfId="14316" xr:uid="{00000000-0005-0000-0000-0000EC370000}"/>
    <cellStyle name="Normal 170 3" xfId="14317" xr:uid="{00000000-0005-0000-0000-0000ED370000}"/>
    <cellStyle name="Normal 170 3 2" xfId="14318" xr:uid="{00000000-0005-0000-0000-0000EE370000}"/>
    <cellStyle name="Normal 170 3 2 2" xfId="14319" xr:uid="{00000000-0005-0000-0000-0000EF370000}"/>
    <cellStyle name="Normal 170 3 2 2 2" xfId="14320" xr:uid="{00000000-0005-0000-0000-0000F0370000}"/>
    <cellStyle name="Normal 170 3 2 3" xfId="14321" xr:uid="{00000000-0005-0000-0000-0000F1370000}"/>
    <cellStyle name="Normal 170 3 2 3 2" xfId="14322" xr:uid="{00000000-0005-0000-0000-0000F2370000}"/>
    <cellStyle name="Normal 170 3 2 3 2 2" xfId="14323" xr:uid="{00000000-0005-0000-0000-0000F3370000}"/>
    <cellStyle name="Normal 170 3 2 3 3" xfId="14324" xr:uid="{00000000-0005-0000-0000-0000F4370000}"/>
    <cellStyle name="Normal 170 3 2 4" xfId="14325" xr:uid="{00000000-0005-0000-0000-0000F5370000}"/>
    <cellStyle name="Normal 170 3 3" xfId="14326" xr:uid="{00000000-0005-0000-0000-0000F6370000}"/>
    <cellStyle name="Normal 170 3 3 2" xfId="14327" xr:uid="{00000000-0005-0000-0000-0000F7370000}"/>
    <cellStyle name="Normal 170 3 3 2 2" xfId="14328" xr:uid="{00000000-0005-0000-0000-0000F8370000}"/>
    <cellStyle name="Normal 170 3 3 3" xfId="14329" xr:uid="{00000000-0005-0000-0000-0000F9370000}"/>
    <cellStyle name="Normal 170 3 4" xfId="14330" xr:uid="{00000000-0005-0000-0000-0000FA370000}"/>
    <cellStyle name="Normal 170 3 4 2" xfId="14331" xr:uid="{00000000-0005-0000-0000-0000FB370000}"/>
    <cellStyle name="Normal 170 3 4 2 2" xfId="14332" xr:uid="{00000000-0005-0000-0000-0000FC370000}"/>
    <cellStyle name="Normal 170 3 4 3" xfId="14333" xr:uid="{00000000-0005-0000-0000-0000FD370000}"/>
    <cellStyle name="Normal 170 3 5" xfId="14334" xr:uid="{00000000-0005-0000-0000-0000FE370000}"/>
    <cellStyle name="Normal 170 3 5 2" xfId="14335" xr:uid="{00000000-0005-0000-0000-0000FF370000}"/>
    <cellStyle name="Normal 170 3 5 2 2" xfId="14336" xr:uid="{00000000-0005-0000-0000-000000380000}"/>
    <cellStyle name="Normal 170 3 5 3" xfId="14337" xr:uid="{00000000-0005-0000-0000-000001380000}"/>
    <cellStyle name="Normal 170 3 6" xfId="14338" xr:uid="{00000000-0005-0000-0000-000002380000}"/>
    <cellStyle name="Normal 170 4" xfId="14339" xr:uid="{00000000-0005-0000-0000-000003380000}"/>
    <cellStyle name="Normal 170 4 2" xfId="14340" xr:uid="{00000000-0005-0000-0000-000004380000}"/>
    <cellStyle name="Normal 170 4 2 2" xfId="14341" xr:uid="{00000000-0005-0000-0000-000005380000}"/>
    <cellStyle name="Normal 170 4 3" xfId="14342" xr:uid="{00000000-0005-0000-0000-000006380000}"/>
    <cellStyle name="Normal 170 5" xfId="14343" xr:uid="{00000000-0005-0000-0000-000007380000}"/>
    <cellStyle name="Normal 170 5 2" xfId="14344" xr:uid="{00000000-0005-0000-0000-000008380000}"/>
    <cellStyle name="Normal 170 5 2 2" xfId="14345" xr:uid="{00000000-0005-0000-0000-000009380000}"/>
    <cellStyle name="Normal 170 5 3" xfId="14346" xr:uid="{00000000-0005-0000-0000-00000A380000}"/>
    <cellStyle name="Normal 170 6" xfId="14347" xr:uid="{00000000-0005-0000-0000-00000B380000}"/>
    <cellStyle name="Normal 170 6 2" xfId="14348" xr:uid="{00000000-0005-0000-0000-00000C380000}"/>
    <cellStyle name="Normal 170 6 2 2" xfId="14349" xr:uid="{00000000-0005-0000-0000-00000D380000}"/>
    <cellStyle name="Normal 170 6 3" xfId="14350" xr:uid="{00000000-0005-0000-0000-00000E380000}"/>
    <cellStyle name="Normal 170 7" xfId="14351" xr:uid="{00000000-0005-0000-0000-00000F380000}"/>
    <cellStyle name="Normal 171" xfId="14352" xr:uid="{00000000-0005-0000-0000-000010380000}"/>
    <cellStyle name="Normal 171 2" xfId="14353" xr:uid="{00000000-0005-0000-0000-000011380000}"/>
    <cellStyle name="Normal 171 2 2" xfId="14354" xr:uid="{00000000-0005-0000-0000-000012380000}"/>
    <cellStyle name="Normal 171 2 2 2" xfId="14355" xr:uid="{00000000-0005-0000-0000-000013380000}"/>
    <cellStyle name="Normal 171 2 3" xfId="14356" xr:uid="{00000000-0005-0000-0000-000014380000}"/>
    <cellStyle name="Normal 171 2 3 2" xfId="14357" xr:uid="{00000000-0005-0000-0000-000015380000}"/>
    <cellStyle name="Normal 171 2 3 2 2" xfId="14358" xr:uid="{00000000-0005-0000-0000-000016380000}"/>
    <cellStyle name="Normal 171 2 3 3" xfId="14359" xr:uid="{00000000-0005-0000-0000-000017380000}"/>
    <cellStyle name="Normal 171 2 4" xfId="14360" xr:uid="{00000000-0005-0000-0000-000018380000}"/>
    <cellStyle name="Normal 171 2 4 2" xfId="14361" xr:uid="{00000000-0005-0000-0000-000019380000}"/>
    <cellStyle name="Normal 171 2 4 2 2" xfId="14362" xr:uid="{00000000-0005-0000-0000-00001A380000}"/>
    <cellStyle name="Normal 171 2 4 3" xfId="14363" xr:uid="{00000000-0005-0000-0000-00001B380000}"/>
    <cellStyle name="Normal 171 2 5" xfId="14364" xr:uid="{00000000-0005-0000-0000-00001C380000}"/>
    <cellStyle name="Normal 171 3" xfId="14365" xr:uid="{00000000-0005-0000-0000-00001D380000}"/>
    <cellStyle name="Normal 171 3 2" xfId="14366" xr:uid="{00000000-0005-0000-0000-00001E380000}"/>
    <cellStyle name="Normal 171 3 2 2" xfId="14367" xr:uid="{00000000-0005-0000-0000-00001F380000}"/>
    <cellStyle name="Normal 171 3 2 2 2" xfId="14368" xr:uid="{00000000-0005-0000-0000-000020380000}"/>
    <cellStyle name="Normal 171 3 2 3" xfId="14369" xr:uid="{00000000-0005-0000-0000-000021380000}"/>
    <cellStyle name="Normal 171 3 2 3 2" xfId="14370" xr:uid="{00000000-0005-0000-0000-000022380000}"/>
    <cellStyle name="Normal 171 3 2 3 2 2" xfId="14371" xr:uid="{00000000-0005-0000-0000-000023380000}"/>
    <cellStyle name="Normal 171 3 2 3 3" xfId="14372" xr:uid="{00000000-0005-0000-0000-000024380000}"/>
    <cellStyle name="Normal 171 3 2 4" xfId="14373" xr:uid="{00000000-0005-0000-0000-000025380000}"/>
    <cellStyle name="Normal 171 3 3" xfId="14374" xr:uid="{00000000-0005-0000-0000-000026380000}"/>
    <cellStyle name="Normal 171 3 3 2" xfId="14375" xr:uid="{00000000-0005-0000-0000-000027380000}"/>
    <cellStyle name="Normal 171 3 3 2 2" xfId="14376" xr:uid="{00000000-0005-0000-0000-000028380000}"/>
    <cellStyle name="Normal 171 3 3 3" xfId="14377" xr:uid="{00000000-0005-0000-0000-000029380000}"/>
    <cellStyle name="Normal 171 3 4" xfId="14378" xr:uid="{00000000-0005-0000-0000-00002A380000}"/>
    <cellStyle name="Normal 171 3 4 2" xfId="14379" xr:uid="{00000000-0005-0000-0000-00002B380000}"/>
    <cellStyle name="Normal 171 3 4 2 2" xfId="14380" xr:uid="{00000000-0005-0000-0000-00002C380000}"/>
    <cellStyle name="Normal 171 3 4 3" xfId="14381" xr:uid="{00000000-0005-0000-0000-00002D380000}"/>
    <cellStyle name="Normal 171 3 5" xfId="14382" xr:uid="{00000000-0005-0000-0000-00002E380000}"/>
    <cellStyle name="Normal 171 3 5 2" xfId="14383" xr:uid="{00000000-0005-0000-0000-00002F380000}"/>
    <cellStyle name="Normal 171 3 5 2 2" xfId="14384" xr:uid="{00000000-0005-0000-0000-000030380000}"/>
    <cellStyle name="Normal 171 3 5 3" xfId="14385" xr:uid="{00000000-0005-0000-0000-000031380000}"/>
    <cellStyle name="Normal 171 3 6" xfId="14386" xr:uid="{00000000-0005-0000-0000-000032380000}"/>
    <cellStyle name="Normal 171 4" xfId="14387" xr:uid="{00000000-0005-0000-0000-000033380000}"/>
    <cellStyle name="Normal 171 4 2" xfId="14388" xr:uid="{00000000-0005-0000-0000-000034380000}"/>
    <cellStyle name="Normal 171 4 2 2" xfId="14389" xr:uid="{00000000-0005-0000-0000-000035380000}"/>
    <cellStyle name="Normal 171 4 3" xfId="14390" xr:uid="{00000000-0005-0000-0000-000036380000}"/>
    <cellStyle name="Normal 171 5" xfId="14391" xr:uid="{00000000-0005-0000-0000-000037380000}"/>
    <cellStyle name="Normal 171 5 2" xfId="14392" xr:uid="{00000000-0005-0000-0000-000038380000}"/>
    <cellStyle name="Normal 171 5 2 2" xfId="14393" xr:uid="{00000000-0005-0000-0000-000039380000}"/>
    <cellStyle name="Normal 171 5 3" xfId="14394" xr:uid="{00000000-0005-0000-0000-00003A380000}"/>
    <cellStyle name="Normal 171 6" xfId="14395" xr:uid="{00000000-0005-0000-0000-00003B380000}"/>
    <cellStyle name="Normal 171 6 2" xfId="14396" xr:uid="{00000000-0005-0000-0000-00003C380000}"/>
    <cellStyle name="Normal 171 6 2 2" xfId="14397" xr:uid="{00000000-0005-0000-0000-00003D380000}"/>
    <cellStyle name="Normal 171 6 3" xfId="14398" xr:uid="{00000000-0005-0000-0000-00003E380000}"/>
    <cellStyle name="Normal 171 7" xfId="14399" xr:uid="{00000000-0005-0000-0000-00003F380000}"/>
    <cellStyle name="Normal 172" xfId="14400" xr:uid="{00000000-0005-0000-0000-000040380000}"/>
    <cellStyle name="Normal 172 2" xfId="14401" xr:uid="{00000000-0005-0000-0000-000041380000}"/>
    <cellStyle name="Normal 172 2 2" xfId="14402" xr:uid="{00000000-0005-0000-0000-000042380000}"/>
    <cellStyle name="Normal 172 2 2 2" xfId="14403" xr:uid="{00000000-0005-0000-0000-000043380000}"/>
    <cellStyle name="Normal 172 2 3" xfId="14404" xr:uid="{00000000-0005-0000-0000-000044380000}"/>
    <cellStyle name="Normal 172 2 3 2" xfId="14405" xr:uid="{00000000-0005-0000-0000-000045380000}"/>
    <cellStyle name="Normal 172 2 3 2 2" xfId="14406" xr:uid="{00000000-0005-0000-0000-000046380000}"/>
    <cellStyle name="Normal 172 2 3 3" xfId="14407" xr:uid="{00000000-0005-0000-0000-000047380000}"/>
    <cellStyle name="Normal 172 2 4" xfId="14408" xr:uid="{00000000-0005-0000-0000-000048380000}"/>
    <cellStyle name="Normal 172 2 4 2" xfId="14409" xr:uid="{00000000-0005-0000-0000-000049380000}"/>
    <cellStyle name="Normal 172 2 4 2 2" xfId="14410" xr:uid="{00000000-0005-0000-0000-00004A380000}"/>
    <cellStyle name="Normal 172 2 4 3" xfId="14411" xr:uid="{00000000-0005-0000-0000-00004B380000}"/>
    <cellStyle name="Normal 172 2 5" xfId="14412" xr:uid="{00000000-0005-0000-0000-00004C380000}"/>
    <cellStyle name="Normal 172 3" xfId="14413" xr:uid="{00000000-0005-0000-0000-00004D380000}"/>
    <cellStyle name="Normal 172 3 2" xfId="14414" xr:uid="{00000000-0005-0000-0000-00004E380000}"/>
    <cellStyle name="Normal 172 3 2 2" xfId="14415" xr:uid="{00000000-0005-0000-0000-00004F380000}"/>
    <cellStyle name="Normal 172 3 2 2 2" xfId="14416" xr:uid="{00000000-0005-0000-0000-000050380000}"/>
    <cellStyle name="Normal 172 3 2 3" xfId="14417" xr:uid="{00000000-0005-0000-0000-000051380000}"/>
    <cellStyle name="Normal 172 3 2 3 2" xfId="14418" xr:uid="{00000000-0005-0000-0000-000052380000}"/>
    <cellStyle name="Normal 172 3 2 3 2 2" xfId="14419" xr:uid="{00000000-0005-0000-0000-000053380000}"/>
    <cellStyle name="Normal 172 3 2 3 3" xfId="14420" xr:uid="{00000000-0005-0000-0000-000054380000}"/>
    <cellStyle name="Normal 172 3 2 4" xfId="14421" xr:uid="{00000000-0005-0000-0000-000055380000}"/>
    <cellStyle name="Normal 172 3 3" xfId="14422" xr:uid="{00000000-0005-0000-0000-000056380000}"/>
    <cellStyle name="Normal 172 3 3 2" xfId="14423" xr:uid="{00000000-0005-0000-0000-000057380000}"/>
    <cellStyle name="Normal 172 3 3 2 2" xfId="14424" xr:uid="{00000000-0005-0000-0000-000058380000}"/>
    <cellStyle name="Normal 172 3 3 3" xfId="14425" xr:uid="{00000000-0005-0000-0000-000059380000}"/>
    <cellStyle name="Normal 172 3 4" xfId="14426" xr:uid="{00000000-0005-0000-0000-00005A380000}"/>
    <cellStyle name="Normal 172 3 4 2" xfId="14427" xr:uid="{00000000-0005-0000-0000-00005B380000}"/>
    <cellStyle name="Normal 172 3 4 2 2" xfId="14428" xr:uid="{00000000-0005-0000-0000-00005C380000}"/>
    <cellStyle name="Normal 172 3 4 3" xfId="14429" xr:uid="{00000000-0005-0000-0000-00005D380000}"/>
    <cellStyle name="Normal 172 3 5" xfId="14430" xr:uid="{00000000-0005-0000-0000-00005E380000}"/>
    <cellStyle name="Normal 172 3 5 2" xfId="14431" xr:uid="{00000000-0005-0000-0000-00005F380000}"/>
    <cellStyle name="Normal 172 3 5 2 2" xfId="14432" xr:uid="{00000000-0005-0000-0000-000060380000}"/>
    <cellStyle name="Normal 172 3 5 3" xfId="14433" xr:uid="{00000000-0005-0000-0000-000061380000}"/>
    <cellStyle name="Normal 172 3 6" xfId="14434" xr:uid="{00000000-0005-0000-0000-000062380000}"/>
    <cellStyle name="Normal 172 4" xfId="14435" xr:uid="{00000000-0005-0000-0000-000063380000}"/>
    <cellStyle name="Normal 172 4 2" xfId="14436" xr:uid="{00000000-0005-0000-0000-000064380000}"/>
    <cellStyle name="Normal 172 4 2 2" xfId="14437" xr:uid="{00000000-0005-0000-0000-000065380000}"/>
    <cellStyle name="Normal 172 4 3" xfId="14438" xr:uid="{00000000-0005-0000-0000-000066380000}"/>
    <cellStyle name="Normal 172 5" xfId="14439" xr:uid="{00000000-0005-0000-0000-000067380000}"/>
    <cellStyle name="Normal 172 5 2" xfId="14440" xr:uid="{00000000-0005-0000-0000-000068380000}"/>
    <cellStyle name="Normal 172 5 2 2" xfId="14441" xr:uid="{00000000-0005-0000-0000-000069380000}"/>
    <cellStyle name="Normal 172 5 3" xfId="14442" xr:uid="{00000000-0005-0000-0000-00006A380000}"/>
    <cellStyle name="Normal 172 6" xfId="14443" xr:uid="{00000000-0005-0000-0000-00006B380000}"/>
    <cellStyle name="Normal 172 6 2" xfId="14444" xr:uid="{00000000-0005-0000-0000-00006C380000}"/>
    <cellStyle name="Normal 172 6 2 2" xfId="14445" xr:uid="{00000000-0005-0000-0000-00006D380000}"/>
    <cellStyle name="Normal 172 6 3" xfId="14446" xr:uid="{00000000-0005-0000-0000-00006E380000}"/>
    <cellStyle name="Normal 172 7" xfId="14447" xr:uid="{00000000-0005-0000-0000-00006F380000}"/>
    <cellStyle name="Normal 173" xfId="14448" xr:uid="{00000000-0005-0000-0000-000070380000}"/>
    <cellStyle name="Normal 173 2" xfId="14449" xr:uid="{00000000-0005-0000-0000-000071380000}"/>
    <cellStyle name="Normal 173 2 2" xfId="14450" xr:uid="{00000000-0005-0000-0000-000072380000}"/>
    <cellStyle name="Normal 173 2 2 2" xfId="14451" xr:uid="{00000000-0005-0000-0000-000073380000}"/>
    <cellStyle name="Normal 173 2 3" xfId="14452" xr:uid="{00000000-0005-0000-0000-000074380000}"/>
    <cellStyle name="Normal 173 2 3 2" xfId="14453" xr:uid="{00000000-0005-0000-0000-000075380000}"/>
    <cellStyle name="Normal 173 2 3 2 2" xfId="14454" xr:uid="{00000000-0005-0000-0000-000076380000}"/>
    <cellStyle name="Normal 173 2 3 3" xfId="14455" xr:uid="{00000000-0005-0000-0000-000077380000}"/>
    <cellStyle name="Normal 173 2 4" xfId="14456" xr:uid="{00000000-0005-0000-0000-000078380000}"/>
    <cellStyle name="Normal 173 2 4 2" xfId="14457" xr:uid="{00000000-0005-0000-0000-000079380000}"/>
    <cellStyle name="Normal 173 2 4 2 2" xfId="14458" xr:uid="{00000000-0005-0000-0000-00007A380000}"/>
    <cellStyle name="Normal 173 2 4 3" xfId="14459" xr:uid="{00000000-0005-0000-0000-00007B380000}"/>
    <cellStyle name="Normal 173 2 5" xfId="14460" xr:uid="{00000000-0005-0000-0000-00007C380000}"/>
    <cellStyle name="Normal 173 3" xfId="14461" xr:uid="{00000000-0005-0000-0000-00007D380000}"/>
    <cellStyle name="Normal 173 3 2" xfId="14462" xr:uid="{00000000-0005-0000-0000-00007E380000}"/>
    <cellStyle name="Normal 173 3 2 2" xfId="14463" xr:uid="{00000000-0005-0000-0000-00007F380000}"/>
    <cellStyle name="Normal 173 3 2 2 2" xfId="14464" xr:uid="{00000000-0005-0000-0000-000080380000}"/>
    <cellStyle name="Normal 173 3 2 3" xfId="14465" xr:uid="{00000000-0005-0000-0000-000081380000}"/>
    <cellStyle name="Normal 173 3 2 3 2" xfId="14466" xr:uid="{00000000-0005-0000-0000-000082380000}"/>
    <cellStyle name="Normal 173 3 2 3 2 2" xfId="14467" xr:uid="{00000000-0005-0000-0000-000083380000}"/>
    <cellStyle name="Normal 173 3 2 3 3" xfId="14468" xr:uid="{00000000-0005-0000-0000-000084380000}"/>
    <cellStyle name="Normal 173 3 2 4" xfId="14469" xr:uid="{00000000-0005-0000-0000-000085380000}"/>
    <cellStyle name="Normal 173 3 3" xfId="14470" xr:uid="{00000000-0005-0000-0000-000086380000}"/>
    <cellStyle name="Normal 173 3 3 2" xfId="14471" xr:uid="{00000000-0005-0000-0000-000087380000}"/>
    <cellStyle name="Normal 173 3 3 2 2" xfId="14472" xr:uid="{00000000-0005-0000-0000-000088380000}"/>
    <cellStyle name="Normal 173 3 3 3" xfId="14473" xr:uid="{00000000-0005-0000-0000-000089380000}"/>
    <cellStyle name="Normal 173 3 4" xfId="14474" xr:uid="{00000000-0005-0000-0000-00008A380000}"/>
    <cellStyle name="Normal 173 3 4 2" xfId="14475" xr:uid="{00000000-0005-0000-0000-00008B380000}"/>
    <cellStyle name="Normal 173 3 4 2 2" xfId="14476" xr:uid="{00000000-0005-0000-0000-00008C380000}"/>
    <cellStyle name="Normal 173 3 4 3" xfId="14477" xr:uid="{00000000-0005-0000-0000-00008D380000}"/>
    <cellStyle name="Normal 173 3 5" xfId="14478" xr:uid="{00000000-0005-0000-0000-00008E380000}"/>
    <cellStyle name="Normal 173 3 5 2" xfId="14479" xr:uid="{00000000-0005-0000-0000-00008F380000}"/>
    <cellStyle name="Normal 173 3 5 2 2" xfId="14480" xr:uid="{00000000-0005-0000-0000-000090380000}"/>
    <cellStyle name="Normal 173 3 5 3" xfId="14481" xr:uid="{00000000-0005-0000-0000-000091380000}"/>
    <cellStyle name="Normal 173 3 6" xfId="14482" xr:uid="{00000000-0005-0000-0000-000092380000}"/>
    <cellStyle name="Normal 173 4" xfId="14483" xr:uid="{00000000-0005-0000-0000-000093380000}"/>
    <cellStyle name="Normal 173 4 2" xfId="14484" xr:uid="{00000000-0005-0000-0000-000094380000}"/>
    <cellStyle name="Normal 173 4 2 2" xfId="14485" xr:uid="{00000000-0005-0000-0000-000095380000}"/>
    <cellStyle name="Normal 173 4 3" xfId="14486" xr:uid="{00000000-0005-0000-0000-000096380000}"/>
    <cellStyle name="Normal 173 5" xfId="14487" xr:uid="{00000000-0005-0000-0000-000097380000}"/>
    <cellStyle name="Normal 173 5 2" xfId="14488" xr:uid="{00000000-0005-0000-0000-000098380000}"/>
    <cellStyle name="Normal 173 5 2 2" xfId="14489" xr:uid="{00000000-0005-0000-0000-000099380000}"/>
    <cellStyle name="Normal 173 5 3" xfId="14490" xr:uid="{00000000-0005-0000-0000-00009A380000}"/>
    <cellStyle name="Normal 173 6" xfId="14491" xr:uid="{00000000-0005-0000-0000-00009B380000}"/>
    <cellStyle name="Normal 173 6 2" xfId="14492" xr:uid="{00000000-0005-0000-0000-00009C380000}"/>
    <cellStyle name="Normal 173 6 2 2" xfId="14493" xr:uid="{00000000-0005-0000-0000-00009D380000}"/>
    <cellStyle name="Normal 173 6 3" xfId="14494" xr:uid="{00000000-0005-0000-0000-00009E380000}"/>
    <cellStyle name="Normal 173 7" xfId="14495" xr:uid="{00000000-0005-0000-0000-00009F380000}"/>
    <cellStyle name="Normal 174" xfId="14496" xr:uid="{00000000-0005-0000-0000-0000A0380000}"/>
    <cellStyle name="Normal 174 2" xfId="14497" xr:uid="{00000000-0005-0000-0000-0000A1380000}"/>
    <cellStyle name="Normal 174 2 2" xfId="14498" xr:uid="{00000000-0005-0000-0000-0000A2380000}"/>
    <cellStyle name="Normal 174 2 2 2" xfId="14499" xr:uid="{00000000-0005-0000-0000-0000A3380000}"/>
    <cellStyle name="Normal 174 2 3" xfId="14500" xr:uid="{00000000-0005-0000-0000-0000A4380000}"/>
    <cellStyle name="Normal 174 2 3 2" xfId="14501" xr:uid="{00000000-0005-0000-0000-0000A5380000}"/>
    <cellStyle name="Normal 174 2 3 2 2" xfId="14502" xr:uid="{00000000-0005-0000-0000-0000A6380000}"/>
    <cellStyle name="Normal 174 2 3 3" xfId="14503" xr:uid="{00000000-0005-0000-0000-0000A7380000}"/>
    <cellStyle name="Normal 174 2 4" xfId="14504" xr:uid="{00000000-0005-0000-0000-0000A8380000}"/>
    <cellStyle name="Normal 174 2 4 2" xfId="14505" xr:uid="{00000000-0005-0000-0000-0000A9380000}"/>
    <cellStyle name="Normal 174 2 4 2 2" xfId="14506" xr:uid="{00000000-0005-0000-0000-0000AA380000}"/>
    <cellStyle name="Normal 174 2 4 3" xfId="14507" xr:uid="{00000000-0005-0000-0000-0000AB380000}"/>
    <cellStyle name="Normal 174 2 5" xfId="14508" xr:uid="{00000000-0005-0000-0000-0000AC380000}"/>
    <cellStyle name="Normal 174 3" xfId="14509" xr:uid="{00000000-0005-0000-0000-0000AD380000}"/>
    <cellStyle name="Normal 174 3 2" xfId="14510" xr:uid="{00000000-0005-0000-0000-0000AE380000}"/>
    <cellStyle name="Normal 174 3 2 2" xfId="14511" xr:uid="{00000000-0005-0000-0000-0000AF380000}"/>
    <cellStyle name="Normal 174 3 2 2 2" xfId="14512" xr:uid="{00000000-0005-0000-0000-0000B0380000}"/>
    <cellStyle name="Normal 174 3 2 3" xfId="14513" xr:uid="{00000000-0005-0000-0000-0000B1380000}"/>
    <cellStyle name="Normal 174 3 2 3 2" xfId="14514" xr:uid="{00000000-0005-0000-0000-0000B2380000}"/>
    <cellStyle name="Normal 174 3 2 3 2 2" xfId="14515" xr:uid="{00000000-0005-0000-0000-0000B3380000}"/>
    <cellStyle name="Normal 174 3 2 3 3" xfId="14516" xr:uid="{00000000-0005-0000-0000-0000B4380000}"/>
    <cellStyle name="Normal 174 3 2 4" xfId="14517" xr:uid="{00000000-0005-0000-0000-0000B5380000}"/>
    <cellStyle name="Normal 174 3 3" xfId="14518" xr:uid="{00000000-0005-0000-0000-0000B6380000}"/>
    <cellStyle name="Normal 174 3 3 2" xfId="14519" xr:uid="{00000000-0005-0000-0000-0000B7380000}"/>
    <cellStyle name="Normal 174 3 3 2 2" xfId="14520" xr:uid="{00000000-0005-0000-0000-0000B8380000}"/>
    <cellStyle name="Normal 174 3 3 3" xfId="14521" xr:uid="{00000000-0005-0000-0000-0000B9380000}"/>
    <cellStyle name="Normal 174 3 4" xfId="14522" xr:uid="{00000000-0005-0000-0000-0000BA380000}"/>
    <cellStyle name="Normal 174 3 4 2" xfId="14523" xr:uid="{00000000-0005-0000-0000-0000BB380000}"/>
    <cellStyle name="Normal 174 3 4 2 2" xfId="14524" xr:uid="{00000000-0005-0000-0000-0000BC380000}"/>
    <cellStyle name="Normal 174 3 4 3" xfId="14525" xr:uid="{00000000-0005-0000-0000-0000BD380000}"/>
    <cellStyle name="Normal 174 3 5" xfId="14526" xr:uid="{00000000-0005-0000-0000-0000BE380000}"/>
    <cellStyle name="Normal 174 3 5 2" xfId="14527" xr:uid="{00000000-0005-0000-0000-0000BF380000}"/>
    <cellStyle name="Normal 174 3 5 2 2" xfId="14528" xr:uid="{00000000-0005-0000-0000-0000C0380000}"/>
    <cellStyle name="Normal 174 3 5 3" xfId="14529" xr:uid="{00000000-0005-0000-0000-0000C1380000}"/>
    <cellStyle name="Normal 174 3 6" xfId="14530" xr:uid="{00000000-0005-0000-0000-0000C2380000}"/>
    <cellStyle name="Normal 174 4" xfId="14531" xr:uid="{00000000-0005-0000-0000-0000C3380000}"/>
    <cellStyle name="Normal 174 4 2" xfId="14532" xr:uid="{00000000-0005-0000-0000-0000C4380000}"/>
    <cellStyle name="Normal 174 4 2 2" xfId="14533" xr:uid="{00000000-0005-0000-0000-0000C5380000}"/>
    <cellStyle name="Normal 174 4 3" xfId="14534" xr:uid="{00000000-0005-0000-0000-0000C6380000}"/>
    <cellStyle name="Normal 174 5" xfId="14535" xr:uid="{00000000-0005-0000-0000-0000C7380000}"/>
    <cellStyle name="Normal 174 5 2" xfId="14536" xr:uid="{00000000-0005-0000-0000-0000C8380000}"/>
    <cellStyle name="Normal 174 5 2 2" xfId="14537" xr:uid="{00000000-0005-0000-0000-0000C9380000}"/>
    <cellStyle name="Normal 174 5 3" xfId="14538" xr:uid="{00000000-0005-0000-0000-0000CA380000}"/>
    <cellStyle name="Normal 174 6" xfId="14539" xr:uid="{00000000-0005-0000-0000-0000CB380000}"/>
    <cellStyle name="Normal 174 6 2" xfId="14540" xr:uid="{00000000-0005-0000-0000-0000CC380000}"/>
    <cellStyle name="Normal 174 6 2 2" xfId="14541" xr:uid="{00000000-0005-0000-0000-0000CD380000}"/>
    <cellStyle name="Normal 174 6 3" xfId="14542" xr:uid="{00000000-0005-0000-0000-0000CE380000}"/>
    <cellStyle name="Normal 174 7" xfId="14543" xr:uid="{00000000-0005-0000-0000-0000CF380000}"/>
    <cellStyle name="Normal 175" xfId="14544" xr:uid="{00000000-0005-0000-0000-0000D0380000}"/>
    <cellStyle name="Normal 175 2" xfId="14545" xr:uid="{00000000-0005-0000-0000-0000D1380000}"/>
    <cellStyle name="Normal 175 2 2" xfId="14546" xr:uid="{00000000-0005-0000-0000-0000D2380000}"/>
    <cellStyle name="Normal 175 2 2 2" xfId="14547" xr:uid="{00000000-0005-0000-0000-0000D3380000}"/>
    <cellStyle name="Normal 175 2 3" xfId="14548" xr:uid="{00000000-0005-0000-0000-0000D4380000}"/>
    <cellStyle name="Normal 175 2 3 2" xfId="14549" xr:uid="{00000000-0005-0000-0000-0000D5380000}"/>
    <cellStyle name="Normal 175 2 3 2 2" xfId="14550" xr:uid="{00000000-0005-0000-0000-0000D6380000}"/>
    <cellStyle name="Normal 175 2 3 3" xfId="14551" xr:uid="{00000000-0005-0000-0000-0000D7380000}"/>
    <cellStyle name="Normal 175 2 4" xfId="14552" xr:uid="{00000000-0005-0000-0000-0000D8380000}"/>
    <cellStyle name="Normal 175 2 4 2" xfId="14553" xr:uid="{00000000-0005-0000-0000-0000D9380000}"/>
    <cellStyle name="Normal 175 2 4 2 2" xfId="14554" xr:uid="{00000000-0005-0000-0000-0000DA380000}"/>
    <cellStyle name="Normal 175 2 4 3" xfId="14555" xr:uid="{00000000-0005-0000-0000-0000DB380000}"/>
    <cellStyle name="Normal 175 2 5" xfId="14556" xr:uid="{00000000-0005-0000-0000-0000DC380000}"/>
    <cellStyle name="Normal 175 3" xfId="14557" xr:uid="{00000000-0005-0000-0000-0000DD380000}"/>
    <cellStyle name="Normal 175 3 2" xfId="14558" xr:uid="{00000000-0005-0000-0000-0000DE380000}"/>
    <cellStyle name="Normal 175 3 2 2" xfId="14559" xr:uid="{00000000-0005-0000-0000-0000DF380000}"/>
    <cellStyle name="Normal 175 3 2 2 2" xfId="14560" xr:uid="{00000000-0005-0000-0000-0000E0380000}"/>
    <cellStyle name="Normal 175 3 2 3" xfId="14561" xr:uid="{00000000-0005-0000-0000-0000E1380000}"/>
    <cellStyle name="Normal 175 3 2 3 2" xfId="14562" xr:uid="{00000000-0005-0000-0000-0000E2380000}"/>
    <cellStyle name="Normal 175 3 2 3 2 2" xfId="14563" xr:uid="{00000000-0005-0000-0000-0000E3380000}"/>
    <cellStyle name="Normal 175 3 2 3 3" xfId="14564" xr:uid="{00000000-0005-0000-0000-0000E4380000}"/>
    <cellStyle name="Normal 175 3 2 4" xfId="14565" xr:uid="{00000000-0005-0000-0000-0000E5380000}"/>
    <cellStyle name="Normal 175 3 3" xfId="14566" xr:uid="{00000000-0005-0000-0000-0000E6380000}"/>
    <cellStyle name="Normal 175 3 3 2" xfId="14567" xr:uid="{00000000-0005-0000-0000-0000E7380000}"/>
    <cellStyle name="Normal 175 3 3 2 2" xfId="14568" xr:uid="{00000000-0005-0000-0000-0000E8380000}"/>
    <cellStyle name="Normal 175 3 3 3" xfId="14569" xr:uid="{00000000-0005-0000-0000-0000E9380000}"/>
    <cellStyle name="Normal 175 3 4" xfId="14570" xr:uid="{00000000-0005-0000-0000-0000EA380000}"/>
    <cellStyle name="Normal 175 3 4 2" xfId="14571" xr:uid="{00000000-0005-0000-0000-0000EB380000}"/>
    <cellStyle name="Normal 175 3 4 2 2" xfId="14572" xr:uid="{00000000-0005-0000-0000-0000EC380000}"/>
    <cellStyle name="Normal 175 3 4 3" xfId="14573" xr:uid="{00000000-0005-0000-0000-0000ED380000}"/>
    <cellStyle name="Normal 175 3 5" xfId="14574" xr:uid="{00000000-0005-0000-0000-0000EE380000}"/>
    <cellStyle name="Normal 175 3 5 2" xfId="14575" xr:uid="{00000000-0005-0000-0000-0000EF380000}"/>
    <cellStyle name="Normal 175 3 5 2 2" xfId="14576" xr:uid="{00000000-0005-0000-0000-0000F0380000}"/>
    <cellStyle name="Normal 175 3 5 3" xfId="14577" xr:uid="{00000000-0005-0000-0000-0000F1380000}"/>
    <cellStyle name="Normal 175 3 6" xfId="14578" xr:uid="{00000000-0005-0000-0000-0000F2380000}"/>
    <cellStyle name="Normal 175 4" xfId="14579" xr:uid="{00000000-0005-0000-0000-0000F3380000}"/>
    <cellStyle name="Normal 175 4 2" xfId="14580" xr:uid="{00000000-0005-0000-0000-0000F4380000}"/>
    <cellStyle name="Normal 175 4 2 2" xfId="14581" xr:uid="{00000000-0005-0000-0000-0000F5380000}"/>
    <cellStyle name="Normal 175 4 3" xfId="14582" xr:uid="{00000000-0005-0000-0000-0000F6380000}"/>
    <cellStyle name="Normal 175 5" xfId="14583" xr:uid="{00000000-0005-0000-0000-0000F7380000}"/>
    <cellStyle name="Normal 175 5 2" xfId="14584" xr:uid="{00000000-0005-0000-0000-0000F8380000}"/>
    <cellStyle name="Normal 175 5 2 2" xfId="14585" xr:uid="{00000000-0005-0000-0000-0000F9380000}"/>
    <cellStyle name="Normal 175 5 3" xfId="14586" xr:uid="{00000000-0005-0000-0000-0000FA380000}"/>
    <cellStyle name="Normal 175 6" xfId="14587" xr:uid="{00000000-0005-0000-0000-0000FB380000}"/>
    <cellStyle name="Normal 175 6 2" xfId="14588" xr:uid="{00000000-0005-0000-0000-0000FC380000}"/>
    <cellStyle name="Normal 175 6 2 2" xfId="14589" xr:uid="{00000000-0005-0000-0000-0000FD380000}"/>
    <cellStyle name="Normal 175 6 3" xfId="14590" xr:uid="{00000000-0005-0000-0000-0000FE380000}"/>
    <cellStyle name="Normal 175 7" xfId="14591" xr:uid="{00000000-0005-0000-0000-0000FF380000}"/>
    <cellStyle name="Normal 176" xfId="14592" xr:uid="{00000000-0005-0000-0000-000000390000}"/>
    <cellStyle name="Normal 176 2" xfId="14593" xr:uid="{00000000-0005-0000-0000-000001390000}"/>
    <cellStyle name="Normal 176 2 2" xfId="14594" xr:uid="{00000000-0005-0000-0000-000002390000}"/>
    <cellStyle name="Normal 176 2 2 2" xfId="14595" xr:uid="{00000000-0005-0000-0000-000003390000}"/>
    <cellStyle name="Normal 176 2 3" xfId="14596" xr:uid="{00000000-0005-0000-0000-000004390000}"/>
    <cellStyle name="Normal 176 2 3 2" xfId="14597" xr:uid="{00000000-0005-0000-0000-000005390000}"/>
    <cellStyle name="Normal 176 2 3 2 2" xfId="14598" xr:uid="{00000000-0005-0000-0000-000006390000}"/>
    <cellStyle name="Normal 176 2 3 3" xfId="14599" xr:uid="{00000000-0005-0000-0000-000007390000}"/>
    <cellStyle name="Normal 176 2 4" xfId="14600" xr:uid="{00000000-0005-0000-0000-000008390000}"/>
    <cellStyle name="Normal 176 2 4 2" xfId="14601" xr:uid="{00000000-0005-0000-0000-000009390000}"/>
    <cellStyle name="Normal 176 2 4 2 2" xfId="14602" xr:uid="{00000000-0005-0000-0000-00000A390000}"/>
    <cellStyle name="Normal 176 2 4 3" xfId="14603" xr:uid="{00000000-0005-0000-0000-00000B390000}"/>
    <cellStyle name="Normal 176 2 5" xfId="14604" xr:uid="{00000000-0005-0000-0000-00000C390000}"/>
    <cellStyle name="Normal 176 3" xfId="14605" xr:uid="{00000000-0005-0000-0000-00000D390000}"/>
    <cellStyle name="Normal 176 3 2" xfId="14606" xr:uid="{00000000-0005-0000-0000-00000E390000}"/>
    <cellStyle name="Normal 176 3 2 2" xfId="14607" xr:uid="{00000000-0005-0000-0000-00000F390000}"/>
    <cellStyle name="Normal 176 3 2 2 2" xfId="14608" xr:uid="{00000000-0005-0000-0000-000010390000}"/>
    <cellStyle name="Normal 176 3 2 3" xfId="14609" xr:uid="{00000000-0005-0000-0000-000011390000}"/>
    <cellStyle name="Normal 176 3 2 3 2" xfId="14610" xr:uid="{00000000-0005-0000-0000-000012390000}"/>
    <cellStyle name="Normal 176 3 2 3 2 2" xfId="14611" xr:uid="{00000000-0005-0000-0000-000013390000}"/>
    <cellStyle name="Normal 176 3 2 3 3" xfId="14612" xr:uid="{00000000-0005-0000-0000-000014390000}"/>
    <cellStyle name="Normal 176 3 2 4" xfId="14613" xr:uid="{00000000-0005-0000-0000-000015390000}"/>
    <cellStyle name="Normal 176 3 3" xfId="14614" xr:uid="{00000000-0005-0000-0000-000016390000}"/>
    <cellStyle name="Normal 176 3 3 2" xfId="14615" xr:uid="{00000000-0005-0000-0000-000017390000}"/>
    <cellStyle name="Normal 176 3 3 2 2" xfId="14616" xr:uid="{00000000-0005-0000-0000-000018390000}"/>
    <cellStyle name="Normal 176 3 3 3" xfId="14617" xr:uid="{00000000-0005-0000-0000-000019390000}"/>
    <cellStyle name="Normal 176 3 4" xfId="14618" xr:uid="{00000000-0005-0000-0000-00001A390000}"/>
    <cellStyle name="Normal 176 3 4 2" xfId="14619" xr:uid="{00000000-0005-0000-0000-00001B390000}"/>
    <cellStyle name="Normal 176 3 4 2 2" xfId="14620" xr:uid="{00000000-0005-0000-0000-00001C390000}"/>
    <cellStyle name="Normal 176 3 4 3" xfId="14621" xr:uid="{00000000-0005-0000-0000-00001D390000}"/>
    <cellStyle name="Normal 176 3 5" xfId="14622" xr:uid="{00000000-0005-0000-0000-00001E390000}"/>
    <cellStyle name="Normal 176 3 5 2" xfId="14623" xr:uid="{00000000-0005-0000-0000-00001F390000}"/>
    <cellStyle name="Normal 176 3 5 2 2" xfId="14624" xr:uid="{00000000-0005-0000-0000-000020390000}"/>
    <cellStyle name="Normal 176 3 5 3" xfId="14625" xr:uid="{00000000-0005-0000-0000-000021390000}"/>
    <cellStyle name="Normal 176 3 6" xfId="14626" xr:uid="{00000000-0005-0000-0000-000022390000}"/>
    <cellStyle name="Normal 176 4" xfId="14627" xr:uid="{00000000-0005-0000-0000-000023390000}"/>
    <cellStyle name="Normal 176 4 2" xfId="14628" xr:uid="{00000000-0005-0000-0000-000024390000}"/>
    <cellStyle name="Normal 176 4 2 2" xfId="14629" xr:uid="{00000000-0005-0000-0000-000025390000}"/>
    <cellStyle name="Normal 176 4 3" xfId="14630" xr:uid="{00000000-0005-0000-0000-000026390000}"/>
    <cellStyle name="Normal 176 5" xfId="14631" xr:uid="{00000000-0005-0000-0000-000027390000}"/>
    <cellStyle name="Normal 176 5 2" xfId="14632" xr:uid="{00000000-0005-0000-0000-000028390000}"/>
    <cellStyle name="Normal 176 5 2 2" xfId="14633" xr:uid="{00000000-0005-0000-0000-000029390000}"/>
    <cellStyle name="Normal 176 5 3" xfId="14634" xr:uid="{00000000-0005-0000-0000-00002A390000}"/>
    <cellStyle name="Normal 176 6" xfId="14635" xr:uid="{00000000-0005-0000-0000-00002B390000}"/>
    <cellStyle name="Normal 176 6 2" xfId="14636" xr:uid="{00000000-0005-0000-0000-00002C390000}"/>
    <cellStyle name="Normal 176 6 2 2" xfId="14637" xr:uid="{00000000-0005-0000-0000-00002D390000}"/>
    <cellStyle name="Normal 176 6 3" xfId="14638" xr:uid="{00000000-0005-0000-0000-00002E390000}"/>
    <cellStyle name="Normal 176 7" xfId="14639" xr:uid="{00000000-0005-0000-0000-00002F390000}"/>
    <cellStyle name="Normal 177" xfId="14640" xr:uid="{00000000-0005-0000-0000-000030390000}"/>
    <cellStyle name="Normal 177 2" xfId="14641" xr:uid="{00000000-0005-0000-0000-000031390000}"/>
    <cellStyle name="Normal 177 2 2" xfId="14642" xr:uid="{00000000-0005-0000-0000-000032390000}"/>
    <cellStyle name="Normal 177 2 2 2" xfId="14643" xr:uid="{00000000-0005-0000-0000-000033390000}"/>
    <cellStyle name="Normal 177 2 3" xfId="14644" xr:uid="{00000000-0005-0000-0000-000034390000}"/>
    <cellStyle name="Normal 177 2 3 2" xfId="14645" xr:uid="{00000000-0005-0000-0000-000035390000}"/>
    <cellStyle name="Normal 177 2 3 2 2" xfId="14646" xr:uid="{00000000-0005-0000-0000-000036390000}"/>
    <cellStyle name="Normal 177 2 3 3" xfId="14647" xr:uid="{00000000-0005-0000-0000-000037390000}"/>
    <cellStyle name="Normal 177 2 4" xfId="14648" xr:uid="{00000000-0005-0000-0000-000038390000}"/>
    <cellStyle name="Normal 177 2 4 2" xfId="14649" xr:uid="{00000000-0005-0000-0000-000039390000}"/>
    <cellStyle name="Normal 177 2 4 2 2" xfId="14650" xr:uid="{00000000-0005-0000-0000-00003A390000}"/>
    <cellStyle name="Normal 177 2 4 3" xfId="14651" xr:uid="{00000000-0005-0000-0000-00003B390000}"/>
    <cellStyle name="Normal 177 2 5" xfId="14652" xr:uid="{00000000-0005-0000-0000-00003C390000}"/>
    <cellStyle name="Normal 177 3" xfId="14653" xr:uid="{00000000-0005-0000-0000-00003D390000}"/>
    <cellStyle name="Normal 177 3 2" xfId="14654" xr:uid="{00000000-0005-0000-0000-00003E390000}"/>
    <cellStyle name="Normal 177 3 2 2" xfId="14655" xr:uid="{00000000-0005-0000-0000-00003F390000}"/>
    <cellStyle name="Normal 177 3 2 2 2" xfId="14656" xr:uid="{00000000-0005-0000-0000-000040390000}"/>
    <cellStyle name="Normal 177 3 2 3" xfId="14657" xr:uid="{00000000-0005-0000-0000-000041390000}"/>
    <cellStyle name="Normal 177 3 2 3 2" xfId="14658" xr:uid="{00000000-0005-0000-0000-000042390000}"/>
    <cellStyle name="Normal 177 3 2 3 2 2" xfId="14659" xr:uid="{00000000-0005-0000-0000-000043390000}"/>
    <cellStyle name="Normal 177 3 2 3 3" xfId="14660" xr:uid="{00000000-0005-0000-0000-000044390000}"/>
    <cellStyle name="Normal 177 3 2 4" xfId="14661" xr:uid="{00000000-0005-0000-0000-000045390000}"/>
    <cellStyle name="Normal 177 3 3" xfId="14662" xr:uid="{00000000-0005-0000-0000-000046390000}"/>
    <cellStyle name="Normal 177 3 3 2" xfId="14663" xr:uid="{00000000-0005-0000-0000-000047390000}"/>
    <cellStyle name="Normal 177 3 3 2 2" xfId="14664" xr:uid="{00000000-0005-0000-0000-000048390000}"/>
    <cellStyle name="Normal 177 3 3 3" xfId="14665" xr:uid="{00000000-0005-0000-0000-000049390000}"/>
    <cellStyle name="Normal 177 3 4" xfId="14666" xr:uid="{00000000-0005-0000-0000-00004A390000}"/>
    <cellStyle name="Normal 177 3 4 2" xfId="14667" xr:uid="{00000000-0005-0000-0000-00004B390000}"/>
    <cellStyle name="Normal 177 3 4 2 2" xfId="14668" xr:uid="{00000000-0005-0000-0000-00004C390000}"/>
    <cellStyle name="Normal 177 3 4 3" xfId="14669" xr:uid="{00000000-0005-0000-0000-00004D390000}"/>
    <cellStyle name="Normal 177 3 5" xfId="14670" xr:uid="{00000000-0005-0000-0000-00004E390000}"/>
    <cellStyle name="Normal 177 3 5 2" xfId="14671" xr:uid="{00000000-0005-0000-0000-00004F390000}"/>
    <cellStyle name="Normal 177 3 5 2 2" xfId="14672" xr:uid="{00000000-0005-0000-0000-000050390000}"/>
    <cellStyle name="Normal 177 3 5 3" xfId="14673" xr:uid="{00000000-0005-0000-0000-000051390000}"/>
    <cellStyle name="Normal 177 3 6" xfId="14674" xr:uid="{00000000-0005-0000-0000-000052390000}"/>
    <cellStyle name="Normal 177 4" xfId="14675" xr:uid="{00000000-0005-0000-0000-000053390000}"/>
    <cellStyle name="Normal 177 4 2" xfId="14676" xr:uid="{00000000-0005-0000-0000-000054390000}"/>
    <cellStyle name="Normal 177 4 2 2" xfId="14677" xr:uid="{00000000-0005-0000-0000-000055390000}"/>
    <cellStyle name="Normal 177 4 3" xfId="14678" xr:uid="{00000000-0005-0000-0000-000056390000}"/>
    <cellStyle name="Normal 177 5" xfId="14679" xr:uid="{00000000-0005-0000-0000-000057390000}"/>
    <cellStyle name="Normal 177 5 2" xfId="14680" xr:uid="{00000000-0005-0000-0000-000058390000}"/>
    <cellStyle name="Normal 177 5 2 2" xfId="14681" xr:uid="{00000000-0005-0000-0000-000059390000}"/>
    <cellStyle name="Normal 177 5 3" xfId="14682" xr:uid="{00000000-0005-0000-0000-00005A390000}"/>
    <cellStyle name="Normal 177 6" xfId="14683" xr:uid="{00000000-0005-0000-0000-00005B390000}"/>
    <cellStyle name="Normal 177 6 2" xfId="14684" xr:uid="{00000000-0005-0000-0000-00005C390000}"/>
    <cellStyle name="Normal 177 6 2 2" xfId="14685" xr:uid="{00000000-0005-0000-0000-00005D390000}"/>
    <cellStyle name="Normal 177 6 3" xfId="14686" xr:uid="{00000000-0005-0000-0000-00005E390000}"/>
    <cellStyle name="Normal 177 7" xfId="14687" xr:uid="{00000000-0005-0000-0000-00005F390000}"/>
    <cellStyle name="Normal 178" xfId="14688" xr:uid="{00000000-0005-0000-0000-000060390000}"/>
    <cellStyle name="Normal 178 2" xfId="14689" xr:uid="{00000000-0005-0000-0000-000061390000}"/>
    <cellStyle name="Normal 178 2 2" xfId="14690" xr:uid="{00000000-0005-0000-0000-000062390000}"/>
    <cellStyle name="Normal 178 2 2 2" xfId="14691" xr:uid="{00000000-0005-0000-0000-000063390000}"/>
    <cellStyle name="Normal 178 2 3" xfId="14692" xr:uid="{00000000-0005-0000-0000-000064390000}"/>
    <cellStyle name="Normal 178 2 3 2" xfId="14693" xr:uid="{00000000-0005-0000-0000-000065390000}"/>
    <cellStyle name="Normal 178 2 3 2 2" xfId="14694" xr:uid="{00000000-0005-0000-0000-000066390000}"/>
    <cellStyle name="Normal 178 2 3 3" xfId="14695" xr:uid="{00000000-0005-0000-0000-000067390000}"/>
    <cellStyle name="Normal 178 2 4" xfId="14696" xr:uid="{00000000-0005-0000-0000-000068390000}"/>
    <cellStyle name="Normal 178 2 4 2" xfId="14697" xr:uid="{00000000-0005-0000-0000-000069390000}"/>
    <cellStyle name="Normal 178 2 4 2 2" xfId="14698" xr:uid="{00000000-0005-0000-0000-00006A390000}"/>
    <cellStyle name="Normal 178 2 4 3" xfId="14699" xr:uid="{00000000-0005-0000-0000-00006B390000}"/>
    <cellStyle name="Normal 178 2 5" xfId="14700" xr:uid="{00000000-0005-0000-0000-00006C390000}"/>
    <cellStyle name="Normal 178 3" xfId="14701" xr:uid="{00000000-0005-0000-0000-00006D390000}"/>
    <cellStyle name="Normal 178 3 2" xfId="14702" xr:uid="{00000000-0005-0000-0000-00006E390000}"/>
    <cellStyle name="Normal 178 3 2 2" xfId="14703" xr:uid="{00000000-0005-0000-0000-00006F390000}"/>
    <cellStyle name="Normal 178 3 2 2 2" xfId="14704" xr:uid="{00000000-0005-0000-0000-000070390000}"/>
    <cellStyle name="Normal 178 3 2 3" xfId="14705" xr:uid="{00000000-0005-0000-0000-000071390000}"/>
    <cellStyle name="Normal 178 3 2 3 2" xfId="14706" xr:uid="{00000000-0005-0000-0000-000072390000}"/>
    <cellStyle name="Normal 178 3 2 3 2 2" xfId="14707" xr:uid="{00000000-0005-0000-0000-000073390000}"/>
    <cellStyle name="Normal 178 3 2 3 3" xfId="14708" xr:uid="{00000000-0005-0000-0000-000074390000}"/>
    <cellStyle name="Normal 178 3 2 4" xfId="14709" xr:uid="{00000000-0005-0000-0000-000075390000}"/>
    <cellStyle name="Normal 178 3 3" xfId="14710" xr:uid="{00000000-0005-0000-0000-000076390000}"/>
    <cellStyle name="Normal 178 3 3 2" xfId="14711" xr:uid="{00000000-0005-0000-0000-000077390000}"/>
    <cellStyle name="Normal 178 3 3 2 2" xfId="14712" xr:uid="{00000000-0005-0000-0000-000078390000}"/>
    <cellStyle name="Normal 178 3 3 3" xfId="14713" xr:uid="{00000000-0005-0000-0000-000079390000}"/>
    <cellStyle name="Normal 178 3 4" xfId="14714" xr:uid="{00000000-0005-0000-0000-00007A390000}"/>
    <cellStyle name="Normal 178 3 4 2" xfId="14715" xr:uid="{00000000-0005-0000-0000-00007B390000}"/>
    <cellStyle name="Normal 178 3 4 2 2" xfId="14716" xr:uid="{00000000-0005-0000-0000-00007C390000}"/>
    <cellStyle name="Normal 178 3 4 3" xfId="14717" xr:uid="{00000000-0005-0000-0000-00007D390000}"/>
    <cellStyle name="Normal 178 3 5" xfId="14718" xr:uid="{00000000-0005-0000-0000-00007E390000}"/>
    <cellStyle name="Normal 178 3 5 2" xfId="14719" xr:uid="{00000000-0005-0000-0000-00007F390000}"/>
    <cellStyle name="Normal 178 3 5 2 2" xfId="14720" xr:uid="{00000000-0005-0000-0000-000080390000}"/>
    <cellStyle name="Normal 178 3 5 3" xfId="14721" xr:uid="{00000000-0005-0000-0000-000081390000}"/>
    <cellStyle name="Normal 178 3 6" xfId="14722" xr:uid="{00000000-0005-0000-0000-000082390000}"/>
    <cellStyle name="Normal 178 4" xfId="14723" xr:uid="{00000000-0005-0000-0000-000083390000}"/>
    <cellStyle name="Normal 178 4 2" xfId="14724" xr:uid="{00000000-0005-0000-0000-000084390000}"/>
    <cellStyle name="Normal 178 4 2 2" xfId="14725" xr:uid="{00000000-0005-0000-0000-000085390000}"/>
    <cellStyle name="Normal 178 4 3" xfId="14726" xr:uid="{00000000-0005-0000-0000-000086390000}"/>
    <cellStyle name="Normal 178 5" xfId="14727" xr:uid="{00000000-0005-0000-0000-000087390000}"/>
    <cellStyle name="Normal 178 5 2" xfId="14728" xr:uid="{00000000-0005-0000-0000-000088390000}"/>
    <cellStyle name="Normal 178 5 2 2" xfId="14729" xr:uid="{00000000-0005-0000-0000-000089390000}"/>
    <cellStyle name="Normal 178 5 3" xfId="14730" xr:uid="{00000000-0005-0000-0000-00008A390000}"/>
    <cellStyle name="Normal 178 6" xfId="14731" xr:uid="{00000000-0005-0000-0000-00008B390000}"/>
    <cellStyle name="Normal 178 6 2" xfId="14732" xr:uid="{00000000-0005-0000-0000-00008C390000}"/>
    <cellStyle name="Normal 178 6 2 2" xfId="14733" xr:uid="{00000000-0005-0000-0000-00008D390000}"/>
    <cellStyle name="Normal 178 6 3" xfId="14734" xr:uid="{00000000-0005-0000-0000-00008E390000}"/>
    <cellStyle name="Normal 178 7" xfId="14735" xr:uid="{00000000-0005-0000-0000-00008F390000}"/>
    <cellStyle name="Normal 179" xfId="14736" xr:uid="{00000000-0005-0000-0000-000090390000}"/>
    <cellStyle name="Normal 179 2" xfId="14737" xr:uid="{00000000-0005-0000-0000-000091390000}"/>
    <cellStyle name="Normal 179 2 2" xfId="14738" xr:uid="{00000000-0005-0000-0000-000092390000}"/>
    <cellStyle name="Normal 179 2 2 2" xfId="14739" xr:uid="{00000000-0005-0000-0000-000093390000}"/>
    <cellStyle name="Normal 179 2 3" xfId="14740" xr:uid="{00000000-0005-0000-0000-000094390000}"/>
    <cellStyle name="Normal 179 2 3 2" xfId="14741" xr:uid="{00000000-0005-0000-0000-000095390000}"/>
    <cellStyle name="Normal 179 2 3 2 2" xfId="14742" xr:uid="{00000000-0005-0000-0000-000096390000}"/>
    <cellStyle name="Normal 179 2 3 3" xfId="14743" xr:uid="{00000000-0005-0000-0000-000097390000}"/>
    <cellStyle name="Normal 179 2 4" xfId="14744" xr:uid="{00000000-0005-0000-0000-000098390000}"/>
    <cellStyle name="Normal 179 2 4 2" xfId="14745" xr:uid="{00000000-0005-0000-0000-000099390000}"/>
    <cellStyle name="Normal 179 2 4 2 2" xfId="14746" xr:uid="{00000000-0005-0000-0000-00009A390000}"/>
    <cellStyle name="Normal 179 2 4 3" xfId="14747" xr:uid="{00000000-0005-0000-0000-00009B390000}"/>
    <cellStyle name="Normal 179 2 5" xfId="14748" xr:uid="{00000000-0005-0000-0000-00009C390000}"/>
    <cellStyle name="Normal 179 3" xfId="14749" xr:uid="{00000000-0005-0000-0000-00009D390000}"/>
    <cellStyle name="Normal 179 3 2" xfId="14750" xr:uid="{00000000-0005-0000-0000-00009E390000}"/>
    <cellStyle name="Normal 179 3 2 2" xfId="14751" xr:uid="{00000000-0005-0000-0000-00009F390000}"/>
    <cellStyle name="Normal 179 3 2 2 2" xfId="14752" xr:uid="{00000000-0005-0000-0000-0000A0390000}"/>
    <cellStyle name="Normal 179 3 2 3" xfId="14753" xr:uid="{00000000-0005-0000-0000-0000A1390000}"/>
    <cellStyle name="Normal 179 3 2 3 2" xfId="14754" xr:uid="{00000000-0005-0000-0000-0000A2390000}"/>
    <cellStyle name="Normal 179 3 2 3 2 2" xfId="14755" xr:uid="{00000000-0005-0000-0000-0000A3390000}"/>
    <cellStyle name="Normal 179 3 2 3 3" xfId="14756" xr:uid="{00000000-0005-0000-0000-0000A4390000}"/>
    <cellStyle name="Normal 179 3 2 4" xfId="14757" xr:uid="{00000000-0005-0000-0000-0000A5390000}"/>
    <cellStyle name="Normal 179 3 3" xfId="14758" xr:uid="{00000000-0005-0000-0000-0000A6390000}"/>
    <cellStyle name="Normal 179 3 3 2" xfId="14759" xr:uid="{00000000-0005-0000-0000-0000A7390000}"/>
    <cellStyle name="Normal 179 3 3 2 2" xfId="14760" xr:uid="{00000000-0005-0000-0000-0000A8390000}"/>
    <cellStyle name="Normal 179 3 3 3" xfId="14761" xr:uid="{00000000-0005-0000-0000-0000A9390000}"/>
    <cellStyle name="Normal 179 3 4" xfId="14762" xr:uid="{00000000-0005-0000-0000-0000AA390000}"/>
    <cellStyle name="Normal 179 3 4 2" xfId="14763" xr:uid="{00000000-0005-0000-0000-0000AB390000}"/>
    <cellStyle name="Normal 179 3 4 2 2" xfId="14764" xr:uid="{00000000-0005-0000-0000-0000AC390000}"/>
    <cellStyle name="Normal 179 3 4 3" xfId="14765" xr:uid="{00000000-0005-0000-0000-0000AD390000}"/>
    <cellStyle name="Normal 179 3 5" xfId="14766" xr:uid="{00000000-0005-0000-0000-0000AE390000}"/>
    <cellStyle name="Normal 179 3 5 2" xfId="14767" xr:uid="{00000000-0005-0000-0000-0000AF390000}"/>
    <cellStyle name="Normal 179 3 5 2 2" xfId="14768" xr:uid="{00000000-0005-0000-0000-0000B0390000}"/>
    <cellStyle name="Normal 179 3 5 3" xfId="14769" xr:uid="{00000000-0005-0000-0000-0000B1390000}"/>
    <cellStyle name="Normal 179 3 6" xfId="14770" xr:uid="{00000000-0005-0000-0000-0000B2390000}"/>
    <cellStyle name="Normal 179 4" xfId="14771" xr:uid="{00000000-0005-0000-0000-0000B3390000}"/>
    <cellStyle name="Normal 179 4 2" xfId="14772" xr:uid="{00000000-0005-0000-0000-0000B4390000}"/>
    <cellStyle name="Normal 179 4 2 2" xfId="14773" xr:uid="{00000000-0005-0000-0000-0000B5390000}"/>
    <cellStyle name="Normal 179 4 3" xfId="14774" xr:uid="{00000000-0005-0000-0000-0000B6390000}"/>
    <cellStyle name="Normal 179 5" xfId="14775" xr:uid="{00000000-0005-0000-0000-0000B7390000}"/>
    <cellStyle name="Normal 179 5 2" xfId="14776" xr:uid="{00000000-0005-0000-0000-0000B8390000}"/>
    <cellStyle name="Normal 179 5 2 2" xfId="14777" xr:uid="{00000000-0005-0000-0000-0000B9390000}"/>
    <cellStyle name="Normal 179 5 3" xfId="14778" xr:uid="{00000000-0005-0000-0000-0000BA390000}"/>
    <cellStyle name="Normal 179 6" xfId="14779" xr:uid="{00000000-0005-0000-0000-0000BB390000}"/>
    <cellStyle name="Normal 179 6 2" xfId="14780" xr:uid="{00000000-0005-0000-0000-0000BC390000}"/>
    <cellStyle name="Normal 179 6 2 2" xfId="14781" xr:uid="{00000000-0005-0000-0000-0000BD390000}"/>
    <cellStyle name="Normal 179 6 3" xfId="14782" xr:uid="{00000000-0005-0000-0000-0000BE390000}"/>
    <cellStyle name="Normal 179 7" xfId="14783" xr:uid="{00000000-0005-0000-0000-0000BF390000}"/>
    <cellStyle name="Normal 18" xfId="14784" xr:uid="{00000000-0005-0000-0000-0000C0390000}"/>
    <cellStyle name="Normal 18 2" xfId="14785" xr:uid="{00000000-0005-0000-0000-0000C1390000}"/>
    <cellStyle name="Normal 18 2 2" xfId="14786" xr:uid="{00000000-0005-0000-0000-0000C2390000}"/>
    <cellStyle name="Normal 18 2 2 2" xfId="14787" xr:uid="{00000000-0005-0000-0000-0000C3390000}"/>
    <cellStyle name="Normal 18 2 2 2 2" xfId="14788" xr:uid="{00000000-0005-0000-0000-0000C4390000}"/>
    <cellStyle name="Normal 18 2 2 3" xfId="14789" xr:uid="{00000000-0005-0000-0000-0000C5390000}"/>
    <cellStyle name="Normal 18 2 2 3 2" xfId="14790" xr:uid="{00000000-0005-0000-0000-0000C6390000}"/>
    <cellStyle name="Normal 18 2 2 3 2 2" xfId="14791" xr:uid="{00000000-0005-0000-0000-0000C7390000}"/>
    <cellStyle name="Normal 18 2 2 3 3" xfId="14792" xr:uid="{00000000-0005-0000-0000-0000C8390000}"/>
    <cellStyle name="Normal 18 2 2 4" xfId="14793" xr:uid="{00000000-0005-0000-0000-0000C9390000}"/>
    <cellStyle name="Normal 18 2 2 4 2" xfId="14794" xr:uid="{00000000-0005-0000-0000-0000CA390000}"/>
    <cellStyle name="Normal 18 2 2 4 2 2" xfId="14795" xr:uid="{00000000-0005-0000-0000-0000CB390000}"/>
    <cellStyle name="Normal 18 2 2 4 3" xfId="14796" xr:uid="{00000000-0005-0000-0000-0000CC390000}"/>
    <cellStyle name="Normal 18 2 2 5" xfId="14797" xr:uid="{00000000-0005-0000-0000-0000CD390000}"/>
    <cellStyle name="Normal 18 2 3" xfId="14798" xr:uid="{00000000-0005-0000-0000-0000CE390000}"/>
    <cellStyle name="Normal 18 2 3 2" xfId="14799" xr:uid="{00000000-0005-0000-0000-0000CF390000}"/>
    <cellStyle name="Normal 18 2 3 2 2" xfId="14800" xr:uid="{00000000-0005-0000-0000-0000D0390000}"/>
    <cellStyle name="Normal 18 2 3 2 2 2" xfId="14801" xr:uid="{00000000-0005-0000-0000-0000D1390000}"/>
    <cellStyle name="Normal 18 2 3 2 3" xfId="14802" xr:uid="{00000000-0005-0000-0000-0000D2390000}"/>
    <cellStyle name="Normal 18 2 3 2 3 2" xfId="14803" xr:uid="{00000000-0005-0000-0000-0000D3390000}"/>
    <cellStyle name="Normal 18 2 3 2 3 2 2" xfId="14804" xr:uid="{00000000-0005-0000-0000-0000D4390000}"/>
    <cellStyle name="Normal 18 2 3 2 3 3" xfId="14805" xr:uid="{00000000-0005-0000-0000-0000D5390000}"/>
    <cellStyle name="Normal 18 2 3 2 4" xfId="14806" xr:uid="{00000000-0005-0000-0000-0000D6390000}"/>
    <cellStyle name="Normal 18 2 3 3" xfId="14807" xr:uid="{00000000-0005-0000-0000-0000D7390000}"/>
    <cellStyle name="Normal 18 2 3 3 2" xfId="14808" xr:uid="{00000000-0005-0000-0000-0000D8390000}"/>
    <cellStyle name="Normal 18 2 3 3 2 2" xfId="14809" xr:uid="{00000000-0005-0000-0000-0000D9390000}"/>
    <cellStyle name="Normal 18 2 3 3 3" xfId="14810" xr:uid="{00000000-0005-0000-0000-0000DA390000}"/>
    <cellStyle name="Normal 18 2 3 4" xfId="14811" xr:uid="{00000000-0005-0000-0000-0000DB390000}"/>
    <cellStyle name="Normal 18 2 3 4 2" xfId="14812" xr:uid="{00000000-0005-0000-0000-0000DC390000}"/>
    <cellStyle name="Normal 18 2 3 4 2 2" xfId="14813" xr:uid="{00000000-0005-0000-0000-0000DD390000}"/>
    <cellStyle name="Normal 18 2 3 4 3" xfId="14814" xr:uid="{00000000-0005-0000-0000-0000DE390000}"/>
    <cellStyle name="Normal 18 2 3 5" xfId="14815" xr:uid="{00000000-0005-0000-0000-0000DF390000}"/>
    <cellStyle name="Normal 18 2 3 5 2" xfId="14816" xr:uid="{00000000-0005-0000-0000-0000E0390000}"/>
    <cellStyle name="Normal 18 2 3 5 2 2" xfId="14817" xr:uid="{00000000-0005-0000-0000-0000E1390000}"/>
    <cellStyle name="Normal 18 2 3 5 3" xfId="14818" xr:uid="{00000000-0005-0000-0000-0000E2390000}"/>
    <cellStyle name="Normal 18 2 3 6" xfId="14819" xr:uid="{00000000-0005-0000-0000-0000E3390000}"/>
    <cellStyle name="Normal 18 2 4" xfId="14820" xr:uid="{00000000-0005-0000-0000-0000E4390000}"/>
    <cellStyle name="Normal 18 2 4 2" xfId="14821" xr:uid="{00000000-0005-0000-0000-0000E5390000}"/>
    <cellStyle name="Normal 18 2 4 2 2" xfId="14822" xr:uid="{00000000-0005-0000-0000-0000E6390000}"/>
    <cellStyle name="Normal 18 2 4 3" xfId="14823" xr:uid="{00000000-0005-0000-0000-0000E7390000}"/>
    <cellStyle name="Normal 18 2 5" xfId="14824" xr:uid="{00000000-0005-0000-0000-0000E8390000}"/>
    <cellStyle name="Normal 18 2 5 2" xfId="14825" xr:uid="{00000000-0005-0000-0000-0000E9390000}"/>
    <cellStyle name="Normal 18 2 5 2 2" xfId="14826" xr:uid="{00000000-0005-0000-0000-0000EA390000}"/>
    <cellStyle name="Normal 18 2 5 3" xfId="14827" xr:uid="{00000000-0005-0000-0000-0000EB390000}"/>
    <cellStyle name="Normal 18 2 6" xfId="14828" xr:uid="{00000000-0005-0000-0000-0000EC390000}"/>
    <cellStyle name="Normal 18 2 6 2" xfId="14829" xr:uid="{00000000-0005-0000-0000-0000ED390000}"/>
    <cellStyle name="Normal 18 2 6 2 2" xfId="14830" xr:uid="{00000000-0005-0000-0000-0000EE390000}"/>
    <cellStyle name="Normal 18 2 6 3" xfId="14831" xr:uid="{00000000-0005-0000-0000-0000EF390000}"/>
    <cellStyle name="Normal 18 2 7" xfId="14832" xr:uid="{00000000-0005-0000-0000-0000F0390000}"/>
    <cellStyle name="Normal 18 3" xfId="14833" xr:uid="{00000000-0005-0000-0000-0000F1390000}"/>
    <cellStyle name="Normal 18 3 2" xfId="14834" xr:uid="{00000000-0005-0000-0000-0000F2390000}"/>
    <cellStyle name="Normal 18 3 2 2" xfId="14835" xr:uid="{00000000-0005-0000-0000-0000F3390000}"/>
    <cellStyle name="Normal 18 3 2 2 2" xfId="14836" xr:uid="{00000000-0005-0000-0000-0000F4390000}"/>
    <cellStyle name="Normal 18 3 2 3" xfId="14837" xr:uid="{00000000-0005-0000-0000-0000F5390000}"/>
    <cellStyle name="Normal 18 3 2 3 2" xfId="14838" xr:uid="{00000000-0005-0000-0000-0000F6390000}"/>
    <cellStyle name="Normal 18 3 2 3 2 2" xfId="14839" xr:uid="{00000000-0005-0000-0000-0000F7390000}"/>
    <cellStyle name="Normal 18 3 2 3 3" xfId="14840" xr:uid="{00000000-0005-0000-0000-0000F8390000}"/>
    <cellStyle name="Normal 18 3 2 4" xfId="14841" xr:uid="{00000000-0005-0000-0000-0000F9390000}"/>
    <cellStyle name="Normal 18 3 2 4 2" xfId="14842" xr:uid="{00000000-0005-0000-0000-0000FA390000}"/>
    <cellStyle name="Normal 18 3 2 4 2 2" xfId="14843" xr:uid="{00000000-0005-0000-0000-0000FB390000}"/>
    <cellStyle name="Normal 18 3 2 4 3" xfId="14844" xr:uid="{00000000-0005-0000-0000-0000FC390000}"/>
    <cellStyle name="Normal 18 3 2 5" xfId="14845" xr:uid="{00000000-0005-0000-0000-0000FD390000}"/>
    <cellStyle name="Normal 18 3 3" xfId="14846" xr:uid="{00000000-0005-0000-0000-0000FE390000}"/>
    <cellStyle name="Normal 18 3 3 2" xfId="14847" xr:uid="{00000000-0005-0000-0000-0000FF390000}"/>
    <cellStyle name="Normal 18 3 3 2 2" xfId="14848" xr:uid="{00000000-0005-0000-0000-0000003A0000}"/>
    <cellStyle name="Normal 18 3 3 3" xfId="14849" xr:uid="{00000000-0005-0000-0000-0000013A0000}"/>
    <cellStyle name="Normal 18 3 4" xfId="14850" xr:uid="{00000000-0005-0000-0000-0000023A0000}"/>
    <cellStyle name="Normal 18 3 4 2" xfId="14851" xr:uid="{00000000-0005-0000-0000-0000033A0000}"/>
    <cellStyle name="Normal 18 3 4 2 2" xfId="14852" xr:uid="{00000000-0005-0000-0000-0000043A0000}"/>
    <cellStyle name="Normal 18 3 4 3" xfId="14853" xr:uid="{00000000-0005-0000-0000-0000053A0000}"/>
    <cellStyle name="Normal 18 3 5" xfId="14854" xr:uid="{00000000-0005-0000-0000-0000063A0000}"/>
    <cellStyle name="Normal 18 3 5 2" xfId="14855" xr:uid="{00000000-0005-0000-0000-0000073A0000}"/>
    <cellStyle name="Normal 18 3 5 2 2" xfId="14856" xr:uid="{00000000-0005-0000-0000-0000083A0000}"/>
    <cellStyle name="Normal 18 3 5 3" xfId="14857" xr:uid="{00000000-0005-0000-0000-0000093A0000}"/>
    <cellStyle name="Normal 18 3 6" xfId="14858" xr:uid="{00000000-0005-0000-0000-00000A3A0000}"/>
    <cellStyle name="Normal 18 4" xfId="14859" xr:uid="{00000000-0005-0000-0000-00000B3A0000}"/>
    <cellStyle name="Normal 18 4 2" xfId="14860" xr:uid="{00000000-0005-0000-0000-00000C3A0000}"/>
    <cellStyle name="Normal 18 4 2 2" xfId="14861" xr:uid="{00000000-0005-0000-0000-00000D3A0000}"/>
    <cellStyle name="Normal 18 4 3" xfId="14862" xr:uid="{00000000-0005-0000-0000-00000E3A0000}"/>
    <cellStyle name="Normal 18 4 3 2" xfId="14863" xr:uid="{00000000-0005-0000-0000-00000F3A0000}"/>
    <cellStyle name="Normal 18 4 3 2 2" xfId="14864" xr:uid="{00000000-0005-0000-0000-0000103A0000}"/>
    <cellStyle name="Normal 18 4 3 3" xfId="14865" xr:uid="{00000000-0005-0000-0000-0000113A0000}"/>
    <cellStyle name="Normal 18 4 4" xfId="14866" xr:uid="{00000000-0005-0000-0000-0000123A0000}"/>
    <cellStyle name="Normal 18 4 4 2" xfId="14867" xr:uid="{00000000-0005-0000-0000-0000133A0000}"/>
    <cellStyle name="Normal 18 4 4 2 2" xfId="14868" xr:uid="{00000000-0005-0000-0000-0000143A0000}"/>
    <cellStyle name="Normal 18 4 4 3" xfId="14869" xr:uid="{00000000-0005-0000-0000-0000153A0000}"/>
    <cellStyle name="Normal 18 4 5" xfId="14870" xr:uid="{00000000-0005-0000-0000-0000163A0000}"/>
    <cellStyle name="Normal 18 5" xfId="14871" xr:uid="{00000000-0005-0000-0000-0000173A0000}"/>
    <cellStyle name="Normal 18 5 2" xfId="14872" xr:uid="{00000000-0005-0000-0000-0000183A0000}"/>
    <cellStyle name="Normal 18 5 2 2" xfId="14873" xr:uid="{00000000-0005-0000-0000-0000193A0000}"/>
    <cellStyle name="Normal 18 5 2 2 2" xfId="14874" xr:uid="{00000000-0005-0000-0000-00001A3A0000}"/>
    <cellStyle name="Normal 18 5 2 3" xfId="14875" xr:uid="{00000000-0005-0000-0000-00001B3A0000}"/>
    <cellStyle name="Normal 18 5 2 3 2" xfId="14876" xr:uid="{00000000-0005-0000-0000-00001C3A0000}"/>
    <cellStyle name="Normal 18 5 2 3 2 2" xfId="14877" xr:uid="{00000000-0005-0000-0000-00001D3A0000}"/>
    <cellStyle name="Normal 18 5 2 3 3" xfId="14878" xr:uid="{00000000-0005-0000-0000-00001E3A0000}"/>
    <cellStyle name="Normal 18 5 2 4" xfId="14879" xr:uid="{00000000-0005-0000-0000-00001F3A0000}"/>
    <cellStyle name="Normal 18 5 3" xfId="14880" xr:uid="{00000000-0005-0000-0000-0000203A0000}"/>
    <cellStyle name="Normal 18 5 3 2" xfId="14881" xr:uid="{00000000-0005-0000-0000-0000213A0000}"/>
    <cellStyle name="Normal 18 5 3 2 2" xfId="14882" xr:uid="{00000000-0005-0000-0000-0000223A0000}"/>
    <cellStyle name="Normal 18 5 3 3" xfId="14883" xr:uid="{00000000-0005-0000-0000-0000233A0000}"/>
    <cellStyle name="Normal 18 5 4" xfId="14884" xr:uid="{00000000-0005-0000-0000-0000243A0000}"/>
    <cellStyle name="Normal 18 5 4 2" xfId="14885" xr:uid="{00000000-0005-0000-0000-0000253A0000}"/>
    <cellStyle name="Normal 18 5 4 2 2" xfId="14886" xr:uid="{00000000-0005-0000-0000-0000263A0000}"/>
    <cellStyle name="Normal 18 5 4 3" xfId="14887" xr:uid="{00000000-0005-0000-0000-0000273A0000}"/>
    <cellStyle name="Normal 18 5 5" xfId="14888" xr:uid="{00000000-0005-0000-0000-0000283A0000}"/>
    <cellStyle name="Normal 18 5 5 2" xfId="14889" xr:uid="{00000000-0005-0000-0000-0000293A0000}"/>
    <cellStyle name="Normal 18 5 5 2 2" xfId="14890" xr:uid="{00000000-0005-0000-0000-00002A3A0000}"/>
    <cellStyle name="Normal 18 5 5 3" xfId="14891" xr:uid="{00000000-0005-0000-0000-00002B3A0000}"/>
    <cellStyle name="Normal 18 5 6" xfId="14892" xr:uid="{00000000-0005-0000-0000-00002C3A0000}"/>
    <cellStyle name="Normal 18 6" xfId="14893" xr:uid="{00000000-0005-0000-0000-00002D3A0000}"/>
    <cellStyle name="Normal 18 7" xfId="14894" xr:uid="{00000000-0005-0000-0000-00002E3A0000}"/>
    <cellStyle name="Normal 180" xfId="14895" xr:uid="{00000000-0005-0000-0000-00002F3A0000}"/>
    <cellStyle name="Normal 180 2" xfId="14896" xr:uid="{00000000-0005-0000-0000-0000303A0000}"/>
    <cellStyle name="Normal 180 2 2" xfId="14897" xr:uid="{00000000-0005-0000-0000-0000313A0000}"/>
    <cellStyle name="Normal 180 2 2 2" xfId="14898" xr:uid="{00000000-0005-0000-0000-0000323A0000}"/>
    <cellStyle name="Normal 180 2 3" xfId="14899" xr:uid="{00000000-0005-0000-0000-0000333A0000}"/>
    <cellStyle name="Normal 180 2 3 2" xfId="14900" xr:uid="{00000000-0005-0000-0000-0000343A0000}"/>
    <cellStyle name="Normal 180 2 3 2 2" xfId="14901" xr:uid="{00000000-0005-0000-0000-0000353A0000}"/>
    <cellStyle name="Normal 180 2 3 3" xfId="14902" xr:uid="{00000000-0005-0000-0000-0000363A0000}"/>
    <cellStyle name="Normal 180 2 4" xfId="14903" xr:uid="{00000000-0005-0000-0000-0000373A0000}"/>
    <cellStyle name="Normal 180 2 4 2" xfId="14904" xr:uid="{00000000-0005-0000-0000-0000383A0000}"/>
    <cellStyle name="Normal 180 2 4 2 2" xfId="14905" xr:uid="{00000000-0005-0000-0000-0000393A0000}"/>
    <cellStyle name="Normal 180 2 4 3" xfId="14906" xr:uid="{00000000-0005-0000-0000-00003A3A0000}"/>
    <cellStyle name="Normal 180 2 5" xfId="14907" xr:uid="{00000000-0005-0000-0000-00003B3A0000}"/>
    <cellStyle name="Normal 180 3" xfId="14908" xr:uid="{00000000-0005-0000-0000-00003C3A0000}"/>
    <cellStyle name="Normal 180 3 2" xfId="14909" xr:uid="{00000000-0005-0000-0000-00003D3A0000}"/>
    <cellStyle name="Normal 180 3 2 2" xfId="14910" xr:uid="{00000000-0005-0000-0000-00003E3A0000}"/>
    <cellStyle name="Normal 180 3 2 2 2" xfId="14911" xr:uid="{00000000-0005-0000-0000-00003F3A0000}"/>
    <cellStyle name="Normal 180 3 2 3" xfId="14912" xr:uid="{00000000-0005-0000-0000-0000403A0000}"/>
    <cellStyle name="Normal 180 3 2 3 2" xfId="14913" xr:uid="{00000000-0005-0000-0000-0000413A0000}"/>
    <cellStyle name="Normal 180 3 2 3 2 2" xfId="14914" xr:uid="{00000000-0005-0000-0000-0000423A0000}"/>
    <cellStyle name="Normal 180 3 2 3 3" xfId="14915" xr:uid="{00000000-0005-0000-0000-0000433A0000}"/>
    <cellStyle name="Normal 180 3 2 4" xfId="14916" xr:uid="{00000000-0005-0000-0000-0000443A0000}"/>
    <cellStyle name="Normal 180 3 3" xfId="14917" xr:uid="{00000000-0005-0000-0000-0000453A0000}"/>
    <cellStyle name="Normal 180 3 3 2" xfId="14918" xr:uid="{00000000-0005-0000-0000-0000463A0000}"/>
    <cellStyle name="Normal 180 3 3 2 2" xfId="14919" xr:uid="{00000000-0005-0000-0000-0000473A0000}"/>
    <cellStyle name="Normal 180 3 3 3" xfId="14920" xr:uid="{00000000-0005-0000-0000-0000483A0000}"/>
    <cellStyle name="Normal 180 3 4" xfId="14921" xr:uid="{00000000-0005-0000-0000-0000493A0000}"/>
    <cellStyle name="Normal 180 3 4 2" xfId="14922" xr:uid="{00000000-0005-0000-0000-00004A3A0000}"/>
    <cellStyle name="Normal 180 3 4 2 2" xfId="14923" xr:uid="{00000000-0005-0000-0000-00004B3A0000}"/>
    <cellStyle name="Normal 180 3 4 3" xfId="14924" xr:uid="{00000000-0005-0000-0000-00004C3A0000}"/>
    <cellStyle name="Normal 180 3 5" xfId="14925" xr:uid="{00000000-0005-0000-0000-00004D3A0000}"/>
    <cellStyle name="Normal 180 3 5 2" xfId="14926" xr:uid="{00000000-0005-0000-0000-00004E3A0000}"/>
    <cellStyle name="Normal 180 3 5 2 2" xfId="14927" xr:uid="{00000000-0005-0000-0000-00004F3A0000}"/>
    <cellStyle name="Normal 180 3 5 3" xfId="14928" xr:uid="{00000000-0005-0000-0000-0000503A0000}"/>
    <cellStyle name="Normal 180 3 6" xfId="14929" xr:uid="{00000000-0005-0000-0000-0000513A0000}"/>
    <cellStyle name="Normal 180 4" xfId="14930" xr:uid="{00000000-0005-0000-0000-0000523A0000}"/>
    <cellStyle name="Normal 180 4 2" xfId="14931" xr:uid="{00000000-0005-0000-0000-0000533A0000}"/>
    <cellStyle name="Normal 180 4 2 2" xfId="14932" xr:uid="{00000000-0005-0000-0000-0000543A0000}"/>
    <cellStyle name="Normal 180 4 3" xfId="14933" xr:uid="{00000000-0005-0000-0000-0000553A0000}"/>
    <cellStyle name="Normal 180 5" xfId="14934" xr:uid="{00000000-0005-0000-0000-0000563A0000}"/>
    <cellStyle name="Normal 180 5 2" xfId="14935" xr:uid="{00000000-0005-0000-0000-0000573A0000}"/>
    <cellStyle name="Normal 180 5 2 2" xfId="14936" xr:uid="{00000000-0005-0000-0000-0000583A0000}"/>
    <cellStyle name="Normal 180 5 3" xfId="14937" xr:uid="{00000000-0005-0000-0000-0000593A0000}"/>
    <cellStyle name="Normal 180 6" xfId="14938" xr:uid="{00000000-0005-0000-0000-00005A3A0000}"/>
    <cellStyle name="Normal 180 6 2" xfId="14939" xr:uid="{00000000-0005-0000-0000-00005B3A0000}"/>
    <cellStyle name="Normal 180 6 2 2" xfId="14940" xr:uid="{00000000-0005-0000-0000-00005C3A0000}"/>
    <cellStyle name="Normal 180 6 3" xfId="14941" xr:uid="{00000000-0005-0000-0000-00005D3A0000}"/>
    <cellStyle name="Normal 180 7" xfId="14942" xr:uid="{00000000-0005-0000-0000-00005E3A0000}"/>
    <cellStyle name="Normal 181" xfId="14943" xr:uid="{00000000-0005-0000-0000-00005F3A0000}"/>
    <cellStyle name="Normal 181 2" xfId="14944" xr:uid="{00000000-0005-0000-0000-0000603A0000}"/>
    <cellStyle name="Normal 181 2 2" xfId="14945" xr:uid="{00000000-0005-0000-0000-0000613A0000}"/>
    <cellStyle name="Normal 181 2 2 2" xfId="14946" xr:uid="{00000000-0005-0000-0000-0000623A0000}"/>
    <cellStyle name="Normal 181 2 3" xfId="14947" xr:uid="{00000000-0005-0000-0000-0000633A0000}"/>
    <cellStyle name="Normal 181 2 3 2" xfId="14948" xr:uid="{00000000-0005-0000-0000-0000643A0000}"/>
    <cellStyle name="Normal 181 2 3 2 2" xfId="14949" xr:uid="{00000000-0005-0000-0000-0000653A0000}"/>
    <cellStyle name="Normal 181 2 3 3" xfId="14950" xr:uid="{00000000-0005-0000-0000-0000663A0000}"/>
    <cellStyle name="Normal 181 2 4" xfId="14951" xr:uid="{00000000-0005-0000-0000-0000673A0000}"/>
    <cellStyle name="Normal 181 2 4 2" xfId="14952" xr:uid="{00000000-0005-0000-0000-0000683A0000}"/>
    <cellStyle name="Normal 181 2 4 2 2" xfId="14953" xr:uid="{00000000-0005-0000-0000-0000693A0000}"/>
    <cellStyle name="Normal 181 2 4 3" xfId="14954" xr:uid="{00000000-0005-0000-0000-00006A3A0000}"/>
    <cellStyle name="Normal 181 2 5" xfId="14955" xr:uid="{00000000-0005-0000-0000-00006B3A0000}"/>
    <cellStyle name="Normal 181 3" xfId="14956" xr:uid="{00000000-0005-0000-0000-00006C3A0000}"/>
    <cellStyle name="Normal 181 3 2" xfId="14957" xr:uid="{00000000-0005-0000-0000-00006D3A0000}"/>
    <cellStyle name="Normal 181 3 2 2" xfId="14958" xr:uid="{00000000-0005-0000-0000-00006E3A0000}"/>
    <cellStyle name="Normal 181 3 2 2 2" xfId="14959" xr:uid="{00000000-0005-0000-0000-00006F3A0000}"/>
    <cellStyle name="Normal 181 3 2 3" xfId="14960" xr:uid="{00000000-0005-0000-0000-0000703A0000}"/>
    <cellStyle name="Normal 181 3 2 3 2" xfId="14961" xr:uid="{00000000-0005-0000-0000-0000713A0000}"/>
    <cellStyle name="Normal 181 3 2 3 2 2" xfId="14962" xr:uid="{00000000-0005-0000-0000-0000723A0000}"/>
    <cellStyle name="Normal 181 3 2 3 3" xfId="14963" xr:uid="{00000000-0005-0000-0000-0000733A0000}"/>
    <cellStyle name="Normal 181 3 2 4" xfId="14964" xr:uid="{00000000-0005-0000-0000-0000743A0000}"/>
    <cellStyle name="Normal 181 3 3" xfId="14965" xr:uid="{00000000-0005-0000-0000-0000753A0000}"/>
    <cellStyle name="Normal 181 3 3 2" xfId="14966" xr:uid="{00000000-0005-0000-0000-0000763A0000}"/>
    <cellStyle name="Normal 181 3 3 2 2" xfId="14967" xr:uid="{00000000-0005-0000-0000-0000773A0000}"/>
    <cellStyle name="Normal 181 3 3 3" xfId="14968" xr:uid="{00000000-0005-0000-0000-0000783A0000}"/>
    <cellStyle name="Normal 181 3 4" xfId="14969" xr:uid="{00000000-0005-0000-0000-0000793A0000}"/>
    <cellStyle name="Normal 181 3 4 2" xfId="14970" xr:uid="{00000000-0005-0000-0000-00007A3A0000}"/>
    <cellStyle name="Normal 181 3 4 2 2" xfId="14971" xr:uid="{00000000-0005-0000-0000-00007B3A0000}"/>
    <cellStyle name="Normal 181 3 4 3" xfId="14972" xr:uid="{00000000-0005-0000-0000-00007C3A0000}"/>
    <cellStyle name="Normal 181 3 5" xfId="14973" xr:uid="{00000000-0005-0000-0000-00007D3A0000}"/>
    <cellStyle name="Normal 181 3 5 2" xfId="14974" xr:uid="{00000000-0005-0000-0000-00007E3A0000}"/>
    <cellStyle name="Normal 181 3 5 2 2" xfId="14975" xr:uid="{00000000-0005-0000-0000-00007F3A0000}"/>
    <cellStyle name="Normal 181 3 5 3" xfId="14976" xr:uid="{00000000-0005-0000-0000-0000803A0000}"/>
    <cellStyle name="Normal 181 3 6" xfId="14977" xr:uid="{00000000-0005-0000-0000-0000813A0000}"/>
    <cellStyle name="Normal 181 4" xfId="14978" xr:uid="{00000000-0005-0000-0000-0000823A0000}"/>
    <cellStyle name="Normal 181 4 2" xfId="14979" xr:uid="{00000000-0005-0000-0000-0000833A0000}"/>
    <cellStyle name="Normal 181 4 2 2" xfId="14980" xr:uid="{00000000-0005-0000-0000-0000843A0000}"/>
    <cellStyle name="Normal 181 4 3" xfId="14981" xr:uid="{00000000-0005-0000-0000-0000853A0000}"/>
    <cellStyle name="Normal 181 5" xfId="14982" xr:uid="{00000000-0005-0000-0000-0000863A0000}"/>
    <cellStyle name="Normal 181 5 2" xfId="14983" xr:uid="{00000000-0005-0000-0000-0000873A0000}"/>
    <cellStyle name="Normal 181 5 2 2" xfId="14984" xr:uid="{00000000-0005-0000-0000-0000883A0000}"/>
    <cellStyle name="Normal 181 5 3" xfId="14985" xr:uid="{00000000-0005-0000-0000-0000893A0000}"/>
    <cellStyle name="Normal 181 6" xfId="14986" xr:uid="{00000000-0005-0000-0000-00008A3A0000}"/>
    <cellStyle name="Normal 181 6 2" xfId="14987" xr:uid="{00000000-0005-0000-0000-00008B3A0000}"/>
    <cellStyle name="Normal 181 6 2 2" xfId="14988" xr:uid="{00000000-0005-0000-0000-00008C3A0000}"/>
    <cellStyle name="Normal 181 6 3" xfId="14989" xr:uid="{00000000-0005-0000-0000-00008D3A0000}"/>
    <cellStyle name="Normal 181 7" xfId="14990" xr:uid="{00000000-0005-0000-0000-00008E3A0000}"/>
    <cellStyle name="Normal 182" xfId="14991" xr:uid="{00000000-0005-0000-0000-00008F3A0000}"/>
    <cellStyle name="Normal 182 2" xfId="14992" xr:uid="{00000000-0005-0000-0000-0000903A0000}"/>
    <cellStyle name="Normal 182 2 2" xfId="14993" xr:uid="{00000000-0005-0000-0000-0000913A0000}"/>
    <cellStyle name="Normal 182 2 2 2" xfId="14994" xr:uid="{00000000-0005-0000-0000-0000923A0000}"/>
    <cellStyle name="Normal 182 2 3" xfId="14995" xr:uid="{00000000-0005-0000-0000-0000933A0000}"/>
    <cellStyle name="Normal 182 2 3 2" xfId="14996" xr:uid="{00000000-0005-0000-0000-0000943A0000}"/>
    <cellStyle name="Normal 182 2 3 2 2" xfId="14997" xr:uid="{00000000-0005-0000-0000-0000953A0000}"/>
    <cellStyle name="Normal 182 2 3 3" xfId="14998" xr:uid="{00000000-0005-0000-0000-0000963A0000}"/>
    <cellStyle name="Normal 182 2 4" xfId="14999" xr:uid="{00000000-0005-0000-0000-0000973A0000}"/>
    <cellStyle name="Normal 182 2 4 2" xfId="15000" xr:uid="{00000000-0005-0000-0000-0000983A0000}"/>
    <cellStyle name="Normal 182 2 4 2 2" xfId="15001" xr:uid="{00000000-0005-0000-0000-0000993A0000}"/>
    <cellStyle name="Normal 182 2 4 3" xfId="15002" xr:uid="{00000000-0005-0000-0000-00009A3A0000}"/>
    <cellStyle name="Normal 182 2 5" xfId="15003" xr:uid="{00000000-0005-0000-0000-00009B3A0000}"/>
    <cellStyle name="Normal 182 3" xfId="15004" xr:uid="{00000000-0005-0000-0000-00009C3A0000}"/>
    <cellStyle name="Normal 182 3 2" xfId="15005" xr:uid="{00000000-0005-0000-0000-00009D3A0000}"/>
    <cellStyle name="Normal 182 3 2 2" xfId="15006" xr:uid="{00000000-0005-0000-0000-00009E3A0000}"/>
    <cellStyle name="Normal 182 3 2 2 2" xfId="15007" xr:uid="{00000000-0005-0000-0000-00009F3A0000}"/>
    <cellStyle name="Normal 182 3 2 3" xfId="15008" xr:uid="{00000000-0005-0000-0000-0000A03A0000}"/>
    <cellStyle name="Normal 182 3 2 3 2" xfId="15009" xr:uid="{00000000-0005-0000-0000-0000A13A0000}"/>
    <cellStyle name="Normal 182 3 2 3 2 2" xfId="15010" xr:uid="{00000000-0005-0000-0000-0000A23A0000}"/>
    <cellStyle name="Normal 182 3 2 3 3" xfId="15011" xr:uid="{00000000-0005-0000-0000-0000A33A0000}"/>
    <cellStyle name="Normal 182 3 2 4" xfId="15012" xr:uid="{00000000-0005-0000-0000-0000A43A0000}"/>
    <cellStyle name="Normal 182 3 3" xfId="15013" xr:uid="{00000000-0005-0000-0000-0000A53A0000}"/>
    <cellStyle name="Normal 182 3 3 2" xfId="15014" xr:uid="{00000000-0005-0000-0000-0000A63A0000}"/>
    <cellStyle name="Normal 182 3 3 2 2" xfId="15015" xr:uid="{00000000-0005-0000-0000-0000A73A0000}"/>
    <cellStyle name="Normal 182 3 3 3" xfId="15016" xr:uid="{00000000-0005-0000-0000-0000A83A0000}"/>
    <cellStyle name="Normal 182 3 4" xfId="15017" xr:uid="{00000000-0005-0000-0000-0000A93A0000}"/>
    <cellStyle name="Normal 182 3 4 2" xfId="15018" xr:uid="{00000000-0005-0000-0000-0000AA3A0000}"/>
    <cellStyle name="Normal 182 3 4 2 2" xfId="15019" xr:uid="{00000000-0005-0000-0000-0000AB3A0000}"/>
    <cellStyle name="Normal 182 3 4 3" xfId="15020" xr:uid="{00000000-0005-0000-0000-0000AC3A0000}"/>
    <cellStyle name="Normal 182 3 5" xfId="15021" xr:uid="{00000000-0005-0000-0000-0000AD3A0000}"/>
    <cellStyle name="Normal 182 3 5 2" xfId="15022" xr:uid="{00000000-0005-0000-0000-0000AE3A0000}"/>
    <cellStyle name="Normal 182 3 5 2 2" xfId="15023" xr:uid="{00000000-0005-0000-0000-0000AF3A0000}"/>
    <cellStyle name="Normal 182 3 5 3" xfId="15024" xr:uid="{00000000-0005-0000-0000-0000B03A0000}"/>
    <cellStyle name="Normal 182 3 6" xfId="15025" xr:uid="{00000000-0005-0000-0000-0000B13A0000}"/>
    <cellStyle name="Normal 182 4" xfId="15026" xr:uid="{00000000-0005-0000-0000-0000B23A0000}"/>
    <cellStyle name="Normal 182 4 2" xfId="15027" xr:uid="{00000000-0005-0000-0000-0000B33A0000}"/>
    <cellStyle name="Normal 182 4 2 2" xfId="15028" xr:uid="{00000000-0005-0000-0000-0000B43A0000}"/>
    <cellStyle name="Normal 182 4 3" xfId="15029" xr:uid="{00000000-0005-0000-0000-0000B53A0000}"/>
    <cellStyle name="Normal 182 5" xfId="15030" xr:uid="{00000000-0005-0000-0000-0000B63A0000}"/>
    <cellStyle name="Normal 182 5 2" xfId="15031" xr:uid="{00000000-0005-0000-0000-0000B73A0000}"/>
    <cellStyle name="Normal 182 5 2 2" xfId="15032" xr:uid="{00000000-0005-0000-0000-0000B83A0000}"/>
    <cellStyle name="Normal 182 5 3" xfId="15033" xr:uid="{00000000-0005-0000-0000-0000B93A0000}"/>
    <cellStyle name="Normal 182 6" xfId="15034" xr:uid="{00000000-0005-0000-0000-0000BA3A0000}"/>
    <cellStyle name="Normal 182 6 2" xfId="15035" xr:uid="{00000000-0005-0000-0000-0000BB3A0000}"/>
    <cellStyle name="Normal 182 6 2 2" xfId="15036" xr:uid="{00000000-0005-0000-0000-0000BC3A0000}"/>
    <cellStyle name="Normal 182 6 3" xfId="15037" xr:uid="{00000000-0005-0000-0000-0000BD3A0000}"/>
    <cellStyle name="Normal 182 7" xfId="15038" xr:uid="{00000000-0005-0000-0000-0000BE3A0000}"/>
    <cellStyle name="Normal 183" xfId="15039" xr:uid="{00000000-0005-0000-0000-0000BF3A0000}"/>
    <cellStyle name="Normal 183 2" xfId="15040" xr:uid="{00000000-0005-0000-0000-0000C03A0000}"/>
    <cellStyle name="Normal 183 2 2" xfId="15041" xr:uid="{00000000-0005-0000-0000-0000C13A0000}"/>
    <cellStyle name="Normal 183 2 2 2" xfId="15042" xr:uid="{00000000-0005-0000-0000-0000C23A0000}"/>
    <cellStyle name="Normal 183 2 3" xfId="15043" xr:uid="{00000000-0005-0000-0000-0000C33A0000}"/>
    <cellStyle name="Normal 183 2 3 2" xfId="15044" xr:uid="{00000000-0005-0000-0000-0000C43A0000}"/>
    <cellStyle name="Normal 183 2 3 2 2" xfId="15045" xr:uid="{00000000-0005-0000-0000-0000C53A0000}"/>
    <cellStyle name="Normal 183 2 3 3" xfId="15046" xr:uid="{00000000-0005-0000-0000-0000C63A0000}"/>
    <cellStyle name="Normal 183 2 4" xfId="15047" xr:uid="{00000000-0005-0000-0000-0000C73A0000}"/>
    <cellStyle name="Normal 183 2 4 2" xfId="15048" xr:uid="{00000000-0005-0000-0000-0000C83A0000}"/>
    <cellStyle name="Normal 183 2 4 2 2" xfId="15049" xr:uid="{00000000-0005-0000-0000-0000C93A0000}"/>
    <cellStyle name="Normal 183 2 4 3" xfId="15050" xr:uid="{00000000-0005-0000-0000-0000CA3A0000}"/>
    <cellStyle name="Normal 183 2 5" xfId="15051" xr:uid="{00000000-0005-0000-0000-0000CB3A0000}"/>
    <cellStyle name="Normal 183 3" xfId="15052" xr:uid="{00000000-0005-0000-0000-0000CC3A0000}"/>
    <cellStyle name="Normal 183 3 2" xfId="15053" xr:uid="{00000000-0005-0000-0000-0000CD3A0000}"/>
    <cellStyle name="Normal 183 3 2 2" xfId="15054" xr:uid="{00000000-0005-0000-0000-0000CE3A0000}"/>
    <cellStyle name="Normal 183 3 2 2 2" xfId="15055" xr:uid="{00000000-0005-0000-0000-0000CF3A0000}"/>
    <cellStyle name="Normal 183 3 2 3" xfId="15056" xr:uid="{00000000-0005-0000-0000-0000D03A0000}"/>
    <cellStyle name="Normal 183 3 2 3 2" xfId="15057" xr:uid="{00000000-0005-0000-0000-0000D13A0000}"/>
    <cellStyle name="Normal 183 3 2 3 2 2" xfId="15058" xr:uid="{00000000-0005-0000-0000-0000D23A0000}"/>
    <cellStyle name="Normal 183 3 2 3 3" xfId="15059" xr:uid="{00000000-0005-0000-0000-0000D33A0000}"/>
    <cellStyle name="Normal 183 3 2 4" xfId="15060" xr:uid="{00000000-0005-0000-0000-0000D43A0000}"/>
    <cellStyle name="Normal 183 3 3" xfId="15061" xr:uid="{00000000-0005-0000-0000-0000D53A0000}"/>
    <cellStyle name="Normal 183 3 3 2" xfId="15062" xr:uid="{00000000-0005-0000-0000-0000D63A0000}"/>
    <cellStyle name="Normal 183 3 3 2 2" xfId="15063" xr:uid="{00000000-0005-0000-0000-0000D73A0000}"/>
    <cellStyle name="Normal 183 3 3 3" xfId="15064" xr:uid="{00000000-0005-0000-0000-0000D83A0000}"/>
    <cellStyle name="Normal 183 3 4" xfId="15065" xr:uid="{00000000-0005-0000-0000-0000D93A0000}"/>
    <cellStyle name="Normal 183 3 4 2" xfId="15066" xr:uid="{00000000-0005-0000-0000-0000DA3A0000}"/>
    <cellStyle name="Normal 183 3 4 2 2" xfId="15067" xr:uid="{00000000-0005-0000-0000-0000DB3A0000}"/>
    <cellStyle name="Normal 183 3 4 3" xfId="15068" xr:uid="{00000000-0005-0000-0000-0000DC3A0000}"/>
    <cellStyle name="Normal 183 3 5" xfId="15069" xr:uid="{00000000-0005-0000-0000-0000DD3A0000}"/>
    <cellStyle name="Normal 183 3 5 2" xfId="15070" xr:uid="{00000000-0005-0000-0000-0000DE3A0000}"/>
    <cellStyle name="Normal 183 3 5 2 2" xfId="15071" xr:uid="{00000000-0005-0000-0000-0000DF3A0000}"/>
    <cellStyle name="Normal 183 3 5 3" xfId="15072" xr:uid="{00000000-0005-0000-0000-0000E03A0000}"/>
    <cellStyle name="Normal 183 3 6" xfId="15073" xr:uid="{00000000-0005-0000-0000-0000E13A0000}"/>
    <cellStyle name="Normal 183 4" xfId="15074" xr:uid="{00000000-0005-0000-0000-0000E23A0000}"/>
    <cellStyle name="Normal 183 4 2" xfId="15075" xr:uid="{00000000-0005-0000-0000-0000E33A0000}"/>
    <cellStyle name="Normal 183 4 2 2" xfId="15076" xr:uid="{00000000-0005-0000-0000-0000E43A0000}"/>
    <cellStyle name="Normal 183 4 3" xfId="15077" xr:uid="{00000000-0005-0000-0000-0000E53A0000}"/>
    <cellStyle name="Normal 183 5" xfId="15078" xr:uid="{00000000-0005-0000-0000-0000E63A0000}"/>
    <cellStyle name="Normal 183 5 2" xfId="15079" xr:uid="{00000000-0005-0000-0000-0000E73A0000}"/>
    <cellStyle name="Normal 183 5 2 2" xfId="15080" xr:uid="{00000000-0005-0000-0000-0000E83A0000}"/>
    <cellStyle name="Normal 183 5 3" xfId="15081" xr:uid="{00000000-0005-0000-0000-0000E93A0000}"/>
    <cellStyle name="Normal 183 6" xfId="15082" xr:uid="{00000000-0005-0000-0000-0000EA3A0000}"/>
    <cellStyle name="Normal 183 6 2" xfId="15083" xr:uid="{00000000-0005-0000-0000-0000EB3A0000}"/>
    <cellStyle name="Normal 183 6 2 2" xfId="15084" xr:uid="{00000000-0005-0000-0000-0000EC3A0000}"/>
    <cellStyle name="Normal 183 6 3" xfId="15085" xr:uid="{00000000-0005-0000-0000-0000ED3A0000}"/>
    <cellStyle name="Normal 183 7" xfId="15086" xr:uid="{00000000-0005-0000-0000-0000EE3A0000}"/>
    <cellStyle name="Normal 184" xfId="15087" xr:uid="{00000000-0005-0000-0000-0000EF3A0000}"/>
    <cellStyle name="Normal 184 2" xfId="15088" xr:uid="{00000000-0005-0000-0000-0000F03A0000}"/>
    <cellStyle name="Normal 184 2 2" xfId="15089" xr:uid="{00000000-0005-0000-0000-0000F13A0000}"/>
    <cellStyle name="Normal 184 2 2 2" xfId="15090" xr:uid="{00000000-0005-0000-0000-0000F23A0000}"/>
    <cellStyle name="Normal 184 2 3" xfId="15091" xr:uid="{00000000-0005-0000-0000-0000F33A0000}"/>
    <cellStyle name="Normal 184 2 3 2" xfId="15092" xr:uid="{00000000-0005-0000-0000-0000F43A0000}"/>
    <cellStyle name="Normal 184 2 3 2 2" xfId="15093" xr:uid="{00000000-0005-0000-0000-0000F53A0000}"/>
    <cellStyle name="Normal 184 2 3 3" xfId="15094" xr:uid="{00000000-0005-0000-0000-0000F63A0000}"/>
    <cellStyle name="Normal 184 2 4" xfId="15095" xr:uid="{00000000-0005-0000-0000-0000F73A0000}"/>
    <cellStyle name="Normal 184 2 4 2" xfId="15096" xr:uid="{00000000-0005-0000-0000-0000F83A0000}"/>
    <cellStyle name="Normal 184 2 4 2 2" xfId="15097" xr:uid="{00000000-0005-0000-0000-0000F93A0000}"/>
    <cellStyle name="Normal 184 2 4 3" xfId="15098" xr:uid="{00000000-0005-0000-0000-0000FA3A0000}"/>
    <cellStyle name="Normal 184 2 5" xfId="15099" xr:uid="{00000000-0005-0000-0000-0000FB3A0000}"/>
    <cellStyle name="Normal 184 3" xfId="15100" xr:uid="{00000000-0005-0000-0000-0000FC3A0000}"/>
    <cellStyle name="Normal 184 3 2" xfId="15101" xr:uid="{00000000-0005-0000-0000-0000FD3A0000}"/>
    <cellStyle name="Normal 184 3 2 2" xfId="15102" xr:uid="{00000000-0005-0000-0000-0000FE3A0000}"/>
    <cellStyle name="Normal 184 3 2 2 2" xfId="15103" xr:uid="{00000000-0005-0000-0000-0000FF3A0000}"/>
    <cellStyle name="Normal 184 3 2 3" xfId="15104" xr:uid="{00000000-0005-0000-0000-0000003B0000}"/>
    <cellStyle name="Normal 184 3 2 3 2" xfId="15105" xr:uid="{00000000-0005-0000-0000-0000013B0000}"/>
    <cellStyle name="Normal 184 3 2 3 2 2" xfId="15106" xr:uid="{00000000-0005-0000-0000-0000023B0000}"/>
    <cellStyle name="Normal 184 3 2 3 3" xfId="15107" xr:uid="{00000000-0005-0000-0000-0000033B0000}"/>
    <cellStyle name="Normal 184 3 2 4" xfId="15108" xr:uid="{00000000-0005-0000-0000-0000043B0000}"/>
    <cellStyle name="Normal 184 3 3" xfId="15109" xr:uid="{00000000-0005-0000-0000-0000053B0000}"/>
    <cellStyle name="Normal 184 3 3 2" xfId="15110" xr:uid="{00000000-0005-0000-0000-0000063B0000}"/>
    <cellStyle name="Normal 184 3 3 2 2" xfId="15111" xr:uid="{00000000-0005-0000-0000-0000073B0000}"/>
    <cellStyle name="Normal 184 3 3 3" xfId="15112" xr:uid="{00000000-0005-0000-0000-0000083B0000}"/>
    <cellStyle name="Normal 184 3 4" xfId="15113" xr:uid="{00000000-0005-0000-0000-0000093B0000}"/>
    <cellStyle name="Normal 184 3 4 2" xfId="15114" xr:uid="{00000000-0005-0000-0000-00000A3B0000}"/>
    <cellStyle name="Normal 184 3 4 2 2" xfId="15115" xr:uid="{00000000-0005-0000-0000-00000B3B0000}"/>
    <cellStyle name="Normal 184 3 4 3" xfId="15116" xr:uid="{00000000-0005-0000-0000-00000C3B0000}"/>
    <cellStyle name="Normal 184 3 5" xfId="15117" xr:uid="{00000000-0005-0000-0000-00000D3B0000}"/>
    <cellStyle name="Normal 184 3 5 2" xfId="15118" xr:uid="{00000000-0005-0000-0000-00000E3B0000}"/>
    <cellStyle name="Normal 184 3 5 2 2" xfId="15119" xr:uid="{00000000-0005-0000-0000-00000F3B0000}"/>
    <cellStyle name="Normal 184 3 5 3" xfId="15120" xr:uid="{00000000-0005-0000-0000-0000103B0000}"/>
    <cellStyle name="Normal 184 3 6" xfId="15121" xr:uid="{00000000-0005-0000-0000-0000113B0000}"/>
    <cellStyle name="Normal 184 4" xfId="15122" xr:uid="{00000000-0005-0000-0000-0000123B0000}"/>
    <cellStyle name="Normal 184 4 2" xfId="15123" xr:uid="{00000000-0005-0000-0000-0000133B0000}"/>
    <cellStyle name="Normal 184 4 2 2" xfId="15124" xr:uid="{00000000-0005-0000-0000-0000143B0000}"/>
    <cellStyle name="Normal 184 4 3" xfId="15125" xr:uid="{00000000-0005-0000-0000-0000153B0000}"/>
    <cellStyle name="Normal 184 5" xfId="15126" xr:uid="{00000000-0005-0000-0000-0000163B0000}"/>
    <cellStyle name="Normal 184 5 2" xfId="15127" xr:uid="{00000000-0005-0000-0000-0000173B0000}"/>
    <cellStyle name="Normal 184 5 2 2" xfId="15128" xr:uid="{00000000-0005-0000-0000-0000183B0000}"/>
    <cellStyle name="Normal 184 5 3" xfId="15129" xr:uid="{00000000-0005-0000-0000-0000193B0000}"/>
    <cellStyle name="Normal 184 6" xfId="15130" xr:uid="{00000000-0005-0000-0000-00001A3B0000}"/>
    <cellStyle name="Normal 184 6 2" xfId="15131" xr:uid="{00000000-0005-0000-0000-00001B3B0000}"/>
    <cellStyle name="Normal 184 6 2 2" xfId="15132" xr:uid="{00000000-0005-0000-0000-00001C3B0000}"/>
    <cellStyle name="Normal 184 6 3" xfId="15133" xr:uid="{00000000-0005-0000-0000-00001D3B0000}"/>
    <cellStyle name="Normal 184 7" xfId="15134" xr:uid="{00000000-0005-0000-0000-00001E3B0000}"/>
    <cellStyle name="Normal 185" xfId="15135" xr:uid="{00000000-0005-0000-0000-00001F3B0000}"/>
    <cellStyle name="Normal 185 2" xfId="15136" xr:uid="{00000000-0005-0000-0000-0000203B0000}"/>
    <cellStyle name="Normal 185 2 2" xfId="15137" xr:uid="{00000000-0005-0000-0000-0000213B0000}"/>
    <cellStyle name="Normal 185 2 2 2" xfId="15138" xr:uid="{00000000-0005-0000-0000-0000223B0000}"/>
    <cellStyle name="Normal 185 2 3" xfId="15139" xr:uid="{00000000-0005-0000-0000-0000233B0000}"/>
    <cellStyle name="Normal 185 2 3 2" xfId="15140" xr:uid="{00000000-0005-0000-0000-0000243B0000}"/>
    <cellStyle name="Normal 185 2 3 2 2" xfId="15141" xr:uid="{00000000-0005-0000-0000-0000253B0000}"/>
    <cellStyle name="Normal 185 2 3 3" xfId="15142" xr:uid="{00000000-0005-0000-0000-0000263B0000}"/>
    <cellStyle name="Normal 185 2 4" xfId="15143" xr:uid="{00000000-0005-0000-0000-0000273B0000}"/>
    <cellStyle name="Normal 185 2 4 2" xfId="15144" xr:uid="{00000000-0005-0000-0000-0000283B0000}"/>
    <cellStyle name="Normal 185 2 4 2 2" xfId="15145" xr:uid="{00000000-0005-0000-0000-0000293B0000}"/>
    <cellStyle name="Normal 185 2 4 3" xfId="15146" xr:uid="{00000000-0005-0000-0000-00002A3B0000}"/>
    <cellStyle name="Normal 185 2 5" xfId="15147" xr:uid="{00000000-0005-0000-0000-00002B3B0000}"/>
    <cellStyle name="Normal 185 3" xfId="15148" xr:uid="{00000000-0005-0000-0000-00002C3B0000}"/>
    <cellStyle name="Normal 185 3 2" xfId="15149" xr:uid="{00000000-0005-0000-0000-00002D3B0000}"/>
    <cellStyle name="Normal 185 3 2 2" xfId="15150" xr:uid="{00000000-0005-0000-0000-00002E3B0000}"/>
    <cellStyle name="Normal 185 3 2 2 2" xfId="15151" xr:uid="{00000000-0005-0000-0000-00002F3B0000}"/>
    <cellStyle name="Normal 185 3 2 3" xfId="15152" xr:uid="{00000000-0005-0000-0000-0000303B0000}"/>
    <cellStyle name="Normal 185 3 2 3 2" xfId="15153" xr:uid="{00000000-0005-0000-0000-0000313B0000}"/>
    <cellStyle name="Normal 185 3 2 3 2 2" xfId="15154" xr:uid="{00000000-0005-0000-0000-0000323B0000}"/>
    <cellStyle name="Normal 185 3 2 3 3" xfId="15155" xr:uid="{00000000-0005-0000-0000-0000333B0000}"/>
    <cellStyle name="Normal 185 3 2 4" xfId="15156" xr:uid="{00000000-0005-0000-0000-0000343B0000}"/>
    <cellStyle name="Normal 185 3 3" xfId="15157" xr:uid="{00000000-0005-0000-0000-0000353B0000}"/>
    <cellStyle name="Normal 185 3 3 2" xfId="15158" xr:uid="{00000000-0005-0000-0000-0000363B0000}"/>
    <cellStyle name="Normal 185 3 3 2 2" xfId="15159" xr:uid="{00000000-0005-0000-0000-0000373B0000}"/>
    <cellStyle name="Normal 185 3 3 3" xfId="15160" xr:uid="{00000000-0005-0000-0000-0000383B0000}"/>
    <cellStyle name="Normal 185 3 4" xfId="15161" xr:uid="{00000000-0005-0000-0000-0000393B0000}"/>
    <cellStyle name="Normal 185 3 4 2" xfId="15162" xr:uid="{00000000-0005-0000-0000-00003A3B0000}"/>
    <cellStyle name="Normal 185 3 4 2 2" xfId="15163" xr:uid="{00000000-0005-0000-0000-00003B3B0000}"/>
    <cellStyle name="Normal 185 3 4 3" xfId="15164" xr:uid="{00000000-0005-0000-0000-00003C3B0000}"/>
    <cellStyle name="Normal 185 3 5" xfId="15165" xr:uid="{00000000-0005-0000-0000-00003D3B0000}"/>
    <cellStyle name="Normal 185 3 5 2" xfId="15166" xr:uid="{00000000-0005-0000-0000-00003E3B0000}"/>
    <cellStyle name="Normal 185 3 5 2 2" xfId="15167" xr:uid="{00000000-0005-0000-0000-00003F3B0000}"/>
    <cellStyle name="Normal 185 3 5 3" xfId="15168" xr:uid="{00000000-0005-0000-0000-0000403B0000}"/>
    <cellStyle name="Normal 185 3 6" xfId="15169" xr:uid="{00000000-0005-0000-0000-0000413B0000}"/>
    <cellStyle name="Normal 185 4" xfId="15170" xr:uid="{00000000-0005-0000-0000-0000423B0000}"/>
    <cellStyle name="Normal 185 4 2" xfId="15171" xr:uid="{00000000-0005-0000-0000-0000433B0000}"/>
    <cellStyle name="Normal 185 4 2 2" xfId="15172" xr:uid="{00000000-0005-0000-0000-0000443B0000}"/>
    <cellStyle name="Normal 185 4 3" xfId="15173" xr:uid="{00000000-0005-0000-0000-0000453B0000}"/>
    <cellStyle name="Normal 185 5" xfId="15174" xr:uid="{00000000-0005-0000-0000-0000463B0000}"/>
    <cellStyle name="Normal 185 5 2" xfId="15175" xr:uid="{00000000-0005-0000-0000-0000473B0000}"/>
    <cellStyle name="Normal 185 5 2 2" xfId="15176" xr:uid="{00000000-0005-0000-0000-0000483B0000}"/>
    <cellStyle name="Normal 185 5 3" xfId="15177" xr:uid="{00000000-0005-0000-0000-0000493B0000}"/>
    <cellStyle name="Normal 185 6" xfId="15178" xr:uid="{00000000-0005-0000-0000-00004A3B0000}"/>
    <cellStyle name="Normal 185 6 2" xfId="15179" xr:uid="{00000000-0005-0000-0000-00004B3B0000}"/>
    <cellStyle name="Normal 185 6 2 2" xfId="15180" xr:uid="{00000000-0005-0000-0000-00004C3B0000}"/>
    <cellStyle name="Normal 185 6 3" xfId="15181" xr:uid="{00000000-0005-0000-0000-00004D3B0000}"/>
    <cellStyle name="Normal 185 7" xfId="15182" xr:uid="{00000000-0005-0000-0000-00004E3B0000}"/>
    <cellStyle name="Normal 186" xfId="15183" xr:uid="{00000000-0005-0000-0000-00004F3B0000}"/>
    <cellStyle name="Normal 186 2" xfId="15184" xr:uid="{00000000-0005-0000-0000-0000503B0000}"/>
    <cellStyle name="Normal 186 2 2" xfId="15185" xr:uid="{00000000-0005-0000-0000-0000513B0000}"/>
    <cellStyle name="Normal 186 2 2 2" xfId="15186" xr:uid="{00000000-0005-0000-0000-0000523B0000}"/>
    <cellStyle name="Normal 186 2 3" xfId="15187" xr:uid="{00000000-0005-0000-0000-0000533B0000}"/>
    <cellStyle name="Normal 186 2 3 2" xfId="15188" xr:uid="{00000000-0005-0000-0000-0000543B0000}"/>
    <cellStyle name="Normal 186 2 3 2 2" xfId="15189" xr:uid="{00000000-0005-0000-0000-0000553B0000}"/>
    <cellStyle name="Normal 186 2 3 3" xfId="15190" xr:uid="{00000000-0005-0000-0000-0000563B0000}"/>
    <cellStyle name="Normal 186 2 4" xfId="15191" xr:uid="{00000000-0005-0000-0000-0000573B0000}"/>
    <cellStyle name="Normal 186 2 4 2" xfId="15192" xr:uid="{00000000-0005-0000-0000-0000583B0000}"/>
    <cellStyle name="Normal 186 2 4 2 2" xfId="15193" xr:uid="{00000000-0005-0000-0000-0000593B0000}"/>
    <cellStyle name="Normal 186 2 4 3" xfId="15194" xr:uid="{00000000-0005-0000-0000-00005A3B0000}"/>
    <cellStyle name="Normal 186 2 5" xfId="15195" xr:uid="{00000000-0005-0000-0000-00005B3B0000}"/>
    <cellStyle name="Normal 186 3" xfId="15196" xr:uid="{00000000-0005-0000-0000-00005C3B0000}"/>
    <cellStyle name="Normal 186 3 2" xfId="15197" xr:uid="{00000000-0005-0000-0000-00005D3B0000}"/>
    <cellStyle name="Normal 186 3 2 2" xfId="15198" xr:uid="{00000000-0005-0000-0000-00005E3B0000}"/>
    <cellStyle name="Normal 186 3 2 2 2" xfId="15199" xr:uid="{00000000-0005-0000-0000-00005F3B0000}"/>
    <cellStyle name="Normal 186 3 2 3" xfId="15200" xr:uid="{00000000-0005-0000-0000-0000603B0000}"/>
    <cellStyle name="Normal 186 3 2 3 2" xfId="15201" xr:uid="{00000000-0005-0000-0000-0000613B0000}"/>
    <cellStyle name="Normal 186 3 2 3 2 2" xfId="15202" xr:uid="{00000000-0005-0000-0000-0000623B0000}"/>
    <cellStyle name="Normal 186 3 2 3 3" xfId="15203" xr:uid="{00000000-0005-0000-0000-0000633B0000}"/>
    <cellStyle name="Normal 186 3 2 4" xfId="15204" xr:uid="{00000000-0005-0000-0000-0000643B0000}"/>
    <cellStyle name="Normal 186 3 3" xfId="15205" xr:uid="{00000000-0005-0000-0000-0000653B0000}"/>
    <cellStyle name="Normal 186 3 3 2" xfId="15206" xr:uid="{00000000-0005-0000-0000-0000663B0000}"/>
    <cellStyle name="Normal 186 3 3 2 2" xfId="15207" xr:uid="{00000000-0005-0000-0000-0000673B0000}"/>
    <cellStyle name="Normal 186 3 3 3" xfId="15208" xr:uid="{00000000-0005-0000-0000-0000683B0000}"/>
    <cellStyle name="Normal 186 3 4" xfId="15209" xr:uid="{00000000-0005-0000-0000-0000693B0000}"/>
    <cellStyle name="Normal 186 3 4 2" xfId="15210" xr:uid="{00000000-0005-0000-0000-00006A3B0000}"/>
    <cellStyle name="Normal 186 3 4 2 2" xfId="15211" xr:uid="{00000000-0005-0000-0000-00006B3B0000}"/>
    <cellStyle name="Normal 186 3 4 3" xfId="15212" xr:uid="{00000000-0005-0000-0000-00006C3B0000}"/>
    <cellStyle name="Normal 186 3 5" xfId="15213" xr:uid="{00000000-0005-0000-0000-00006D3B0000}"/>
    <cellStyle name="Normal 186 3 5 2" xfId="15214" xr:uid="{00000000-0005-0000-0000-00006E3B0000}"/>
    <cellStyle name="Normal 186 3 5 2 2" xfId="15215" xr:uid="{00000000-0005-0000-0000-00006F3B0000}"/>
    <cellStyle name="Normal 186 3 5 3" xfId="15216" xr:uid="{00000000-0005-0000-0000-0000703B0000}"/>
    <cellStyle name="Normal 186 3 6" xfId="15217" xr:uid="{00000000-0005-0000-0000-0000713B0000}"/>
    <cellStyle name="Normal 186 4" xfId="15218" xr:uid="{00000000-0005-0000-0000-0000723B0000}"/>
    <cellStyle name="Normal 186 4 2" xfId="15219" xr:uid="{00000000-0005-0000-0000-0000733B0000}"/>
    <cellStyle name="Normal 186 4 2 2" xfId="15220" xr:uid="{00000000-0005-0000-0000-0000743B0000}"/>
    <cellStyle name="Normal 186 4 3" xfId="15221" xr:uid="{00000000-0005-0000-0000-0000753B0000}"/>
    <cellStyle name="Normal 186 5" xfId="15222" xr:uid="{00000000-0005-0000-0000-0000763B0000}"/>
    <cellStyle name="Normal 186 5 2" xfId="15223" xr:uid="{00000000-0005-0000-0000-0000773B0000}"/>
    <cellStyle name="Normal 186 5 2 2" xfId="15224" xr:uid="{00000000-0005-0000-0000-0000783B0000}"/>
    <cellStyle name="Normal 186 5 3" xfId="15225" xr:uid="{00000000-0005-0000-0000-0000793B0000}"/>
    <cellStyle name="Normal 186 6" xfId="15226" xr:uid="{00000000-0005-0000-0000-00007A3B0000}"/>
    <cellStyle name="Normal 186 6 2" xfId="15227" xr:uid="{00000000-0005-0000-0000-00007B3B0000}"/>
    <cellStyle name="Normal 186 6 2 2" xfId="15228" xr:uid="{00000000-0005-0000-0000-00007C3B0000}"/>
    <cellStyle name="Normal 186 6 3" xfId="15229" xr:uid="{00000000-0005-0000-0000-00007D3B0000}"/>
    <cellStyle name="Normal 186 7" xfId="15230" xr:uid="{00000000-0005-0000-0000-00007E3B0000}"/>
    <cellStyle name="Normal 187" xfId="15231" xr:uid="{00000000-0005-0000-0000-00007F3B0000}"/>
    <cellStyle name="Normal 187 2" xfId="15232" xr:uid="{00000000-0005-0000-0000-0000803B0000}"/>
    <cellStyle name="Normal 187 2 2" xfId="15233" xr:uid="{00000000-0005-0000-0000-0000813B0000}"/>
    <cellStyle name="Normal 187 2 2 2" xfId="15234" xr:uid="{00000000-0005-0000-0000-0000823B0000}"/>
    <cellStyle name="Normal 187 2 3" xfId="15235" xr:uid="{00000000-0005-0000-0000-0000833B0000}"/>
    <cellStyle name="Normal 187 2 3 2" xfId="15236" xr:uid="{00000000-0005-0000-0000-0000843B0000}"/>
    <cellStyle name="Normal 187 2 3 2 2" xfId="15237" xr:uid="{00000000-0005-0000-0000-0000853B0000}"/>
    <cellStyle name="Normal 187 2 3 3" xfId="15238" xr:uid="{00000000-0005-0000-0000-0000863B0000}"/>
    <cellStyle name="Normal 187 2 4" xfId="15239" xr:uid="{00000000-0005-0000-0000-0000873B0000}"/>
    <cellStyle name="Normal 187 2 4 2" xfId="15240" xr:uid="{00000000-0005-0000-0000-0000883B0000}"/>
    <cellStyle name="Normal 187 2 4 2 2" xfId="15241" xr:uid="{00000000-0005-0000-0000-0000893B0000}"/>
    <cellStyle name="Normal 187 2 4 3" xfId="15242" xr:uid="{00000000-0005-0000-0000-00008A3B0000}"/>
    <cellStyle name="Normal 187 2 5" xfId="15243" xr:uid="{00000000-0005-0000-0000-00008B3B0000}"/>
    <cellStyle name="Normal 187 3" xfId="15244" xr:uid="{00000000-0005-0000-0000-00008C3B0000}"/>
    <cellStyle name="Normal 187 3 2" xfId="15245" xr:uid="{00000000-0005-0000-0000-00008D3B0000}"/>
    <cellStyle name="Normal 187 3 2 2" xfId="15246" xr:uid="{00000000-0005-0000-0000-00008E3B0000}"/>
    <cellStyle name="Normal 187 3 2 2 2" xfId="15247" xr:uid="{00000000-0005-0000-0000-00008F3B0000}"/>
    <cellStyle name="Normal 187 3 2 3" xfId="15248" xr:uid="{00000000-0005-0000-0000-0000903B0000}"/>
    <cellStyle name="Normal 187 3 2 3 2" xfId="15249" xr:uid="{00000000-0005-0000-0000-0000913B0000}"/>
    <cellStyle name="Normal 187 3 2 3 2 2" xfId="15250" xr:uid="{00000000-0005-0000-0000-0000923B0000}"/>
    <cellStyle name="Normal 187 3 2 3 3" xfId="15251" xr:uid="{00000000-0005-0000-0000-0000933B0000}"/>
    <cellStyle name="Normal 187 3 2 4" xfId="15252" xr:uid="{00000000-0005-0000-0000-0000943B0000}"/>
    <cellStyle name="Normal 187 3 3" xfId="15253" xr:uid="{00000000-0005-0000-0000-0000953B0000}"/>
    <cellStyle name="Normal 187 3 3 2" xfId="15254" xr:uid="{00000000-0005-0000-0000-0000963B0000}"/>
    <cellStyle name="Normal 187 3 3 2 2" xfId="15255" xr:uid="{00000000-0005-0000-0000-0000973B0000}"/>
    <cellStyle name="Normal 187 3 3 3" xfId="15256" xr:uid="{00000000-0005-0000-0000-0000983B0000}"/>
    <cellStyle name="Normal 187 3 4" xfId="15257" xr:uid="{00000000-0005-0000-0000-0000993B0000}"/>
    <cellStyle name="Normal 187 3 4 2" xfId="15258" xr:uid="{00000000-0005-0000-0000-00009A3B0000}"/>
    <cellStyle name="Normal 187 3 4 2 2" xfId="15259" xr:uid="{00000000-0005-0000-0000-00009B3B0000}"/>
    <cellStyle name="Normal 187 3 4 3" xfId="15260" xr:uid="{00000000-0005-0000-0000-00009C3B0000}"/>
    <cellStyle name="Normal 187 3 5" xfId="15261" xr:uid="{00000000-0005-0000-0000-00009D3B0000}"/>
    <cellStyle name="Normal 187 3 5 2" xfId="15262" xr:uid="{00000000-0005-0000-0000-00009E3B0000}"/>
    <cellStyle name="Normal 187 3 5 2 2" xfId="15263" xr:uid="{00000000-0005-0000-0000-00009F3B0000}"/>
    <cellStyle name="Normal 187 3 5 3" xfId="15264" xr:uid="{00000000-0005-0000-0000-0000A03B0000}"/>
    <cellStyle name="Normal 187 3 6" xfId="15265" xr:uid="{00000000-0005-0000-0000-0000A13B0000}"/>
    <cellStyle name="Normal 187 4" xfId="15266" xr:uid="{00000000-0005-0000-0000-0000A23B0000}"/>
    <cellStyle name="Normal 187 4 2" xfId="15267" xr:uid="{00000000-0005-0000-0000-0000A33B0000}"/>
    <cellStyle name="Normal 187 4 2 2" xfId="15268" xr:uid="{00000000-0005-0000-0000-0000A43B0000}"/>
    <cellStyle name="Normal 187 4 3" xfId="15269" xr:uid="{00000000-0005-0000-0000-0000A53B0000}"/>
    <cellStyle name="Normal 187 5" xfId="15270" xr:uid="{00000000-0005-0000-0000-0000A63B0000}"/>
    <cellStyle name="Normal 187 5 2" xfId="15271" xr:uid="{00000000-0005-0000-0000-0000A73B0000}"/>
    <cellStyle name="Normal 187 5 2 2" xfId="15272" xr:uid="{00000000-0005-0000-0000-0000A83B0000}"/>
    <cellStyle name="Normal 187 5 3" xfId="15273" xr:uid="{00000000-0005-0000-0000-0000A93B0000}"/>
    <cellStyle name="Normal 187 6" xfId="15274" xr:uid="{00000000-0005-0000-0000-0000AA3B0000}"/>
    <cellStyle name="Normal 187 6 2" xfId="15275" xr:uid="{00000000-0005-0000-0000-0000AB3B0000}"/>
    <cellStyle name="Normal 187 6 2 2" xfId="15276" xr:uid="{00000000-0005-0000-0000-0000AC3B0000}"/>
    <cellStyle name="Normal 187 6 3" xfId="15277" xr:uid="{00000000-0005-0000-0000-0000AD3B0000}"/>
    <cellStyle name="Normal 187 7" xfId="15278" xr:uid="{00000000-0005-0000-0000-0000AE3B0000}"/>
    <cellStyle name="Normal 188" xfId="15279" xr:uid="{00000000-0005-0000-0000-0000AF3B0000}"/>
    <cellStyle name="Normal 188 2" xfId="15280" xr:uid="{00000000-0005-0000-0000-0000B03B0000}"/>
    <cellStyle name="Normal 188 2 2" xfId="15281" xr:uid="{00000000-0005-0000-0000-0000B13B0000}"/>
    <cellStyle name="Normal 188 2 2 2" xfId="15282" xr:uid="{00000000-0005-0000-0000-0000B23B0000}"/>
    <cellStyle name="Normal 188 2 3" xfId="15283" xr:uid="{00000000-0005-0000-0000-0000B33B0000}"/>
    <cellStyle name="Normal 188 2 3 2" xfId="15284" xr:uid="{00000000-0005-0000-0000-0000B43B0000}"/>
    <cellStyle name="Normal 188 2 3 2 2" xfId="15285" xr:uid="{00000000-0005-0000-0000-0000B53B0000}"/>
    <cellStyle name="Normal 188 2 3 3" xfId="15286" xr:uid="{00000000-0005-0000-0000-0000B63B0000}"/>
    <cellStyle name="Normal 188 2 4" xfId="15287" xr:uid="{00000000-0005-0000-0000-0000B73B0000}"/>
    <cellStyle name="Normal 188 2 4 2" xfId="15288" xr:uid="{00000000-0005-0000-0000-0000B83B0000}"/>
    <cellStyle name="Normal 188 2 4 2 2" xfId="15289" xr:uid="{00000000-0005-0000-0000-0000B93B0000}"/>
    <cellStyle name="Normal 188 2 4 3" xfId="15290" xr:uid="{00000000-0005-0000-0000-0000BA3B0000}"/>
    <cellStyle name="Normal 188 2 5" xfId="15291" xr:uid="{00000000-0005-0000-0000-0000BB3B0000}"/>
    <cellStyle name="Normal 188 3" xfId="15292" xr:uid="{00000000-0005-0000-0000-0000BC3B0000}"/>
    <cellStyle name="Normal 188 3 2" xfId="15293" xr:uid="{00000000-0005-0000-0000-0000BD3B0000}"/>
    <cellStyle name="Normal 188 3 2 2" xfId="15294" xr:uid="{00000000-0005-0000-0000-0000BE3B0000}"/>
    <cellStyle name="Normal 188 3 2 2 2" xfId="15295" xr:uid="{00000000-0005-0000-0000-0000BF3B0000}"/>
    <cellStyle name="Normal 188 3 2 3" xfId="15296" xr:uid="{00000000-0005-0000-0000-0000C03B0000}"/>
    <cellStyle name="Normal 188 3 2 3 2" xfId="15297" xr:uid="{00000000-0005-0000-0000-0000C13B0000}"/>
    <cellStyle name="Normal 188 3 2 3 2 2" xfId="15298" xr:uid="{00000000-0005-0000-0000-0000C23B0000}"/>
    <cellStyle name="Normal 188 3 2 3 3" xfId="15299" xr:uid="{00000000-0005-0000-0000-0000C33B0000}"/>
    <cellStyle name="Normal 188 3 2 4" xfId="15300" xr:uid="{00000000-0005-0000-0000-0000C43B0000}"/>
    <cellStyle name="Normal 188 3 3" xfId="15301" xr:uid="{00000000-0005-0000-0000-0000C53B0000}"/>
    <cellStyle name="Normal 188 3 3 2" xfId="15302" xr:uid="{00000000-0005-0000-0000-0000C63B0000}"/>
    <cellStyle name="Normal 188 3 3 2 2" xfId="15303" xr:uid="{00000000-0005-0000-0000-0000C73B0000}"/>
    <cellStyle name="Normal 188 3 3 3" xfId="15304" xr:uid="{00000000-0005-0000-0000-0000C83B0000}"/>
    <cellStyle name="Normal 188 3 4" xfId="15305" xr:uid="{00000000-0005-0000-0000-0000C93B0000}"/>
    <cellStyle name="Normal 188 3 4 2" xfId="15306" xr:uid="{00000000-0005-0000-0000-0000CA3B0000}"/>
    <cellStyle name="Normal 188 3 4 2 2" xfId="15307" xr:uid="{00000000-0005-0000-0000-0000CB3B0000}"/>
    <cellStyle name="Normal 188 3 4 3" xfId="15308" xr:uid="{00000000-0005-0000-0000-0000CC3B0000}"/>
    <cellStyle name="Normal 188 3 5" xfId="15309" xr:uid="{00000000-0005-0000-0000-0000CD3B0000}"/>
    <cellStyle name="Normal 188 3 5 2" xfId="15310" xr:uid="{00000000-0005-0000-0000-0000CE3B0000}"/>
    <cellStyle name="Normal 188 3 5 2 2" xfId="15311" xr:uid="{00000000-0005-0000-0000-0000CF3B0000}"/>
    <cellStyle name="Normal 188 3 5 3" xfId="15312" xr:uid="{00000000-0005-0000-0000-0000D03B0000}"/>
    <cellStyle name="Normal 188 3 6" xfId="15313" xr:uid="{00000000-0005-0000-0000-0000D13B0000}"/>
    <cellStyle name="Normal 188 4" xfId="15314" xr:uid="{00000000-0005-0000-0000-0000D23B0000}"/>
    <cellStyle name="Normal 188 4 2" xfId="15315" xr:uid="{00000000-0005-0000-0000-0000D33B0000}"/>
    <cellStyle name="Normal 188 4 2 2" xfId="15316" xr:uid="{00000000-0005-0000-0000-0000D43B0000}"/>
    <cellStyle name="Normal 188 4 3" xfId="15317" xr:uid="{00000000-0005-0000-0000-0000D53B0000}"/>
    <cellStyle name="Normal 188 5" xfId="15318" xr:uid="{00000000-0005-0000-0000-0000D63B0000}"/>
    <cellStyle name="Normal 188 5 2" xfId="15319" xr:uid="{00000000-0005-0000-0000-0000D73B0000}"/>
    <cellStyle name="Normal 188 5 2 2" xfId="15320" xr:uid="{00000000-0005-0000-0000-0000D83B0000}"/>
    <cellStyle name="Normal 188 5 3" xfId="15321" xr:uid="{00000000-0005-0000-0000-0000D93B0000}"/>
    <cellStyle name="Normal 188 6" xfId="15322" xr:uid="{00000000-0005-0000-0000-0000DA3B0000}"/>
    <cellStyle name="Normal 188 6 2" xfId="15323" xr:uid="{00000000-0005-0000-0000-0000DB3B0000}"/>
    <cellStyle name="Normal 188 6 2 2" xfId="15324" xr:uid="{00000000-0005-0000-0000-0000DC3B0000}"/>
    <cellStyle name="Normal 188 6 3" xfId="15325" xr:uid="{00000000-0005-0000-0000-0000DD3B0000}"/>
    <cellStyle name="Normal 188 7" xfId="15326" xr:uid="{00000000-0005-0000-0000-0000DE3B0000}"/>
    <cellStyle name="Normal 189" xfId="15327" xr:uid="{00000000-0005-0000-0000-0000DF3B0000}"/>
    <cellStyle name="Normal 189 2" xfId="15328" xr:uid="{00000000-0005-0000-0000-0000E03B0000}"/>
    <cellStyle name="Normal 189 2 2" xfId="15329" xr:uid="{00000000-0005-0000-0000-0000E13B0000}"/>
    <cellStyle name="Normal 189 2 2 2" xfId="15330" xr:uid="{00000000-0005-0000-0000-0000E23B0000}"/>
    <cellStyle name="Normal 189 2 3" xfId="15331" xr:uid="{00000000-0005-0000-0000-0000E33B0000}"/>
    <cellStyle name="Normal 189 2 3 2" xfId="15332" xr:uid="{00000000-0005-0000-0000-0000E43B0000}"/>
    <cellStyle name="Normal 189 2 3 2 2" xfId="15333" xr:uid="{00000000-0005-0000-0000-0000E53B0000}"/>
    <cellStyle name="Normal 189 2 3 3" xfId="15334" xr:uid="{00000000-0005-0000-0000-0000E63B0000}"/>
    <cellStyle name="Normal 189 2 4" xfId="15335" xr:uid="{00000000-0005-0000-0000-0000E73B0000}"/>
    <cellStyle name="Normal 189 2 4 2" xfId="15336" xr:uid="{00000000-0005-0000-0000-0000E83B0000}"/>
    <cellStyle name="Normal 189 2 4 2 2" xfId="15337" xr:uid="{00000000-0005-0000-0000-0000E93B0000}"/>
    <cellStyle name="Normal 189 2 4 3" xfId="15338" xr:uid="{00000000-0005-0000-0000-0000EA3B0000}"/>
    <cellStyle name="Normal 189 2 5" xfId="15339" xr:uid="{00000000-0005-0000-0000-0000EB3B0000}"/>
    <cellStyle name="Normal 189 3" xfId="15340" xr:uid="{00000000-0005-0000-0000-0000EC3B0000}"/>
    <cellStyle name="Normal 189 3 2" xfId="15341" xr:uid="{00000000-0005-0000-0000-0000ED3B0000}"/>
    <cellStyle name="Normal 189 3 2 2" xfId="15342" xr:uid="{00000000-0005-0000-0000-0000EE3B0000}"/>
    <cellStyle name="Normal 189 3 2 2 2" xfId="15343" xr:uid="{00000000-0005-0000-0000-0000EF3B0000}"/>
    <cellStyle name="Normal 189 3 2 3" xfId="15344" xr:uid="{00000000-0005-0000-0000-0000F03B0000}"/>
    <cellStyle name="Normal 189 3 2 3 2" xfId="15345" xr:uid="{00000000-0005-0000-0000-0000F13B0000}"/>
    <cellStyle name="Normal 189 3 2 3 2 2" xfId="15346" xr:uid="{00000000-0005-0000-0000-0000F23B0000}"/>
    <cellStyle name="Normal 189 3 2 3 3" xfId="15347" xr:uid="{00000000-0005-0000-0000-0000F33B0000}"/>
    <cellStyle name="Normal 189 3 2 4" xfId="15348" xr:uid="{00000000-0005-0000-0000-0000F43B0000}"/>
    <cellStyle name="Normal 189 3 3" xfId="15349" xr:uid="{00000000-0005-0000-0000-0000F53B0000}"/>
    <cellStyle name="Normal 189 3 3 2" xfId="15350" xr:uid="{00000000-0005-0000-0000-0000F63B0000}"/>
    <cellStyle name="Normal 189 3 3 2 2" xfId="15351" xr:uid="{00000000-0005-0000-0000-0000F73B0000}"/>
    <cellStyle name="Normal 189 3 3 3" xfId="15352" xr:uid="{00000000-0005-0000-0000-0000F83B0000}"/>
    <cellStyle name="Normal 189 3 4" xfId="15353" xr:uid="{00000000-0005-0000-0000-0000F93B0000}"/>
    <cellStyle name="Normal 189 3 4 2" xfId="15354" xr:uid="{00000000-0005-0000-0000-0000FA3B0000}"/>
    <cellStyle name="Normal 189 3 4 2 2" xfId="15355" xr:uid="{00000000-0005-0000-0000-0000FB3B0000}"/>
    <cellStyle name="Normal 189 3 4 3" xfId="15356" xr:uid="{00000000-0005-0000-0000-0000FC3B0000}"/>
    <cellStyle name="Normal 189 3 5" xfId="15357" xr:uid="{00000000-0005-0000-0000-0000FD3B0000}"/>
    <cellStyle name="Normal 189 3 5 2" xfId="15358" xr:uid="{00000000-0005-0000-0000-0000FE3B0000}"/>
    <cellStyle name="Normal 189 3 5 2 2" xfId="15359" xr:uid="{00000000-0005-0000-0000-0000FF3B0000}"/>
    <cellStyle name="Normal 189 3 5 3" xfId="15360" xr:uid="{00000000-0005-0000-0000-0000003C0000}"/>
    <cellStyle name="Normal 189 3 6" xfId="15361" xr:uid="{00000000-0005-0000-0000-0000013C0000}"/>
    <cellStyle name="Normal 189 4" xfId="15362" xr:uid="{00000000-0005-0000-0000-0000023C0000}"/>
    <cellStyle name="Normal 189 4 2" xfId="15363" xr:uid="{00000000-0005-0000-0000-0000033C0000}"/>
    <cellStyle name="Normal 189 4 2 2" xfId="15364" xr:uid="{00000000-0005-0000-0000-0000043C0000}"/>
    <cellStyle name="Normal 189 4 3" xfId="15365" xr:uid="{00000000-0005-0000-0000-0000053C0000}"/>
    <cellStyle name="Normal 189 5" xfId="15366" xr:uid="{00000000-0005-0000-0000-0000063C0000}"/>
    <cellStyle name="Normal 189 5 2" xfId="15367" xr:uid="{00000000-0005-0000-0000-0000073C0000}"/>
    <cellStyle name="Normal 189 5 2 2" xfId="15368" xr:uid="{00000000-0005-0000-0000-0000083C0000}"/>
    <cellStyle name="Normal 189 5 3" xfId="15369" xr:uid="{00000000-0005-0000-0000-0000093C0000}"/>
    <cellStyle name="Normal 189 6" xfId="15370" xr:uid="{00000000-0005-0000-0000-00000A3C0000}"/>
    <cellStyle name="Normal 189 6 2" xfId="15371" xr:uid="{00000000-0005-0000-0000-00000B3C0000}"/>
    <cellStyle name="Normal 189 6 2 2" xfId="15372" xr:uid="{00000000-0005-0000-0000-00000C3C0000}"/>
    <cellStyle name="Normal 189 6 3" xfId="15373" xr:uid="{00000000-0005-0000-0000-00000D3C0000}"/>
    <cellStyle name="Normal 189 7" xfId="15374" xr:uid="{00000000-0005-0000-0000-00000E3C0000}"/>
    <cellStyle name="Normal 19" xfId="15375" xr:uid="{00000000-0005-0000-0000-00000F3C0000}"/>
    <cellStyle name="Normal 19 2" xfId="15376" xr:uid="{00000000-0005-0000-0000-0000103C0000}"/>
    <cellStyle name="Normal 19 2 2" xfId="15377" xr:uid="{00000000-0005-0000-0000-0000113C0000}"/>
    <cellStyle name="Normal 19 2 2 2" xfId="15378" xr:uid="{00000000-0005-0000-0000-0000123C0000}"/>
    <cellStyle name="Normal 19 2 2 2 2" xfId="15379" xr:uid="{00000000-0005-0000-0000-0000133C0000}"/>
    <cellStyle name="Normal 19 2 2 3" xfId="15380" xr:uid="{00000000-0005-0000-0000-0000143C0000}"/>
    <cellStyle name="Normal 19 2 2 3 2" xfId="15381" xr:uid="{00000000-0005-0000-0000-0000153C0000}"/>
    <cellStyle name="Normal 19 2 2 3 2 2" xfId="15382" xr:uid="{00000000-0005-0000-0000-0000163C0000}"/>
    <cellStyle name="Normal 19 2 2 3 3" xfId="15383" xr:uid="{00000000-0005-0000-0000-0000173C0000}"/>
    <cellStyle name="Normal 19 2 2 4" xfId="15384" xr:uid="{00000000-0005-0000-0000-0000183C0000}"/>
    <cellStyle name="Normal 19 2 2 4 2" xfId="15385" xr:uid="{00000000-0005-0000-0000-0000193C0000}"/>
    <cellStyle name="Normal 19 2 2 4 2 2" xfId="15386" xr:uid="{00000000-0005-0000-0000-00001A3C0000}"/>
    <cellStyle name="Normal 19 2 2 4 3" xfId="15387" xr:uid="{00000000-0005-0000-0000-00001B3C0000}"/>
    <cellStyle name="Normal 19 2 2 5" xfId="15388" xr:uid="{00000000-0005-0000-0000-00001C3C0000}"/>
    <cellStyle name="Normal 19 2 3" xfId="15389" xr:uid="{00000000-0005-0000-0000-00001D3C0000}"/>
    <cellStyle name="Normal 19 2 3 2" xfId="15390" xr:uid="{00000000-0005-0000-0000-00001E3C0000}"/>
    <cellStyle name="Normal 19 2 3 2 2" xfId="15391" xr:uid="{00000000-0005-0000-0000-00001F3C0000}"/>
    <cellStyle name="Normal 19 2 3 3" xfId="15392" xr:uid="{00000000-0005-0000-0000-0000203C0000}"/>
    <cellStyle name="Normal 19 2 4" xfId="15393" xr:uid="{00000000-0005-0000-0000-0000213C0000}"/>
    <cellStyle name="Normal 19 2 4 2" xfId="15394" xr:uid="{00000000-0005-0000-0000-0000223C0000}"/>
    <cellStyle name="Normal 19 2 4 2 2" xfId="15395" xr:uid="{00000000-0005-0000-0000-0000233C0000}"/>
    <cellStyle name="Normal 19 2 4 3" xfId="15396" xr:uid="{00000000-0005-0000-0000-0000243C0000}"/>
    <cellStyle name="Normal 19 2 5" xfId="15397" xr:uid="{00000000-0005-0000-0000-0000253C0000}"/>
    <cellStyle name="Normal 19 2 5 2" xfId="15398" xr:uid="{00000000-0005-0000-0000-0000263C0000}"/>
    <cellStyle name="Normal 19 2 5 2 2" xfId="15399" xr:uid="{00000000-0005-0000-0000-0000273C0000}"/>
    <cellStyle name="Normal 19 2 5 3" xfId="15400" xr:uid="{00000000-0005-0000-0000-0000283C0000}"/>
    <cellStyle name="Normal 19 2 6" xfId="15401" xr:uid="{00000000-0005-0000-0000-0000293C0000}"/>
    <cellStyle name="Normal 19 3" xfId="15402" xr:uid="{00000000-0005-0000-0000-00002A3C0000}"/>
    <cellStyle name="Normal 19 3 2" xfId="15403" xr:uid="{00000000-0005-0000-0000-00002B3C0000}"/>
    <cellStyle name="Normal 19 3 2 2" xfId="15404" xr:uid="{00000000-0005-0000-0000-00002C3C0000}"/>
    <cellStyle name="Normal 19 3 3" xfId="15405" xr:uid="{00000000-0005-0000-0000-00002D3C0000}"/>
    <cellStyle name="Normal 19 3 3 2" xfId="15406" xr:uid="{00000000-0005-0000-0000-00002E3C0000}"/>
    <cellStyle name="Normal 19 3 3 2 2" xfId="15407" xr:uid="{00000000-0005-0000-0000-00002F3C0000}"/>
    <cellStyle name="Normal 19 3 3 3" xfId="15408" xr:uid="{00000000-0005-0000-0000-0000303C0000}"/>
    <cellStyle name="Normal 19 3 4" xfId="15409" xr:uid="{00000000-0005-0000-0000-0000313C0000}"/>
    <cellStyle name="Normal 19 3 4 2" xfId="15410" xr:uid="{00000000-0005-0000-0000-0000323C0000}"/>
    <cellStyle name="Normal 19 3 4 2 2" xfId="15411" xr:uid="{00000000-0005-0000-0000-0000333C0000}"/>
    <cellStyle name="Normal 19 3 4 3" xfId="15412" xr:uid="{00000000-0005-0000-0000-0000343C0000}"/>
    <cellStyle name="Normal 19 3 5" xfId="15413" xr:uid="{00000000-0005-0000-0000-0000353C0000}"/>
    <cellStyle name="Normal 19 4" xfId="15414" xr:uid="{00000000-0005-0000-0000-0000363C0000}"/>
    <cellStyle name="Normal 19 4 2" xfId="15415" xr:uid="{00000000-0005-0000-0000-0000373C0000}"/>
    <cellStyle name="Normal 19 4 2 2" xfId="15416" xr:uid="{00000000-0005-0000-0000-0000383C0000}"/>
    <cellStyle name="Normal 19 4 2 2 2" xfId="15417" xr:uid="{00000000-0005-0000-0000-0000393C0000}"/>
    <cellStyle name="Normal 19 4 2 3" xfId="15418" xr:uid="{00000000-0005-0000-0000-00003A3C0000}"/>
    <cellStyle name="Normal 19 4 2 3 2" xfId="15419" xr:uid="{00000000-0005-0000-0000-00003B3C0000}"/>
    <cellStyle name="Normal 19 4 2 3 2 2" xfId="15420" xr:uid="{00000000-0005-0000-0000-00003C3C0000}"/>
    <cellStyle name="Normal 19 4 2 3 3" xfId="15421" xr:uid="{00000000-0005-0000-0000-00003D3C0000}"/>
    <cellStyle name="Normal 19 4 2 4" xfId="15422" xr:uid="{00000000-0005-0000-0000-00003E3C0000}"/>
    <cellStyle name="Normal 19 4 3" xfId="15423" xr:uid="{00000000-0005-0000-0000-00003F3C0000}"/>
    <cellStyle name="Normal 19 4 3 2" xfId="15424" xr:uid="{00000000-0005-0000-0000-0000403C0000}"/>
    <cellStyle name="Normal 19 4 3 2 2" xfId="15425" xr:uid="{00000000-0005-0000-0000-0000413C0000}"/>
    <cellStyle name="Normal 19 4 3 3" xfId="15426" xr:uid="{00000000-0005-0000-0000-0000423C0000}"/>
    <cellStyle name="Normal 19 4 4" xfId="15427" xr:uid="{00000000-0005-0000-0000-0000433C0000}"/>
    <cellStyle name="Normal 19 4 4 2" xfId="15428" xr:uid="{00000000-0005-0000-0000-0000443C0000}"/>
    <cellStyle name="Normal 19 4 4 2 2" xfId="15429" xr:uid="{00000000-0005-0000-0000-0000453C0000}"/>
    <cellStyle name="Normal 19 4 4 3" xfId="15430" xr:uid="{00000000-0005-0000-0000-0000463C0000}"/>
    <cellStyle name="Normal 19 4 5" xfId="15431" xr:uid="{00000000-0005-0000-0000-0000473C0000}"/>
    <cellStyle name="Normal 19 4 5 2" xfId="15432" xr:uid="{00000000-0005-0000-0000-0000483C0000}"/>
    <cellStyle name="Normal 19 4 5 2 2" xfId="15433" xr:uid="{00000000-0005-0000-0000-0000493C0000}"/>
    <cellStyle name="Normal 19 4 5 3" xfId="15434" xr:uid="{00000000-0005-0000-0000-00004A3C0000}"/>
    <cellStyle name="Normal 19 4 6" xfId="15435" xr:uid="{00000000-0005-0000-0000-00004B3C0000}"/>
    <cellStyle name="Normal 19 5" xfId="15436" xr:uid="{00000000-0005-0000-0000-00004C3C0000}"/>
    <cellStyle name="Normal 190" xfId="15437" xr:uid="{00000000-0005-0000-0000-00004D3C0000}"/>
    <cellStyle name="Normal 190 2" xfId="15438" xr:uid="{00000000-0005-0000-0000-00004E3C0000}"/>
    <cellStyle name="Normal 190 2 2" xfId="15439" xr:uid="{00000000-0005-0000-0000-00004F3C0000}"/>
    <cellStyle name="Normal 190 2 2 2" xfId="15440" xr:uid="{00000000-0005-0000-0000-0000503C0000}"/>
    <cellStyle name="Normal 190 2 3" xfId="15441" xr:uid="{00000000-0005-0000-0000-0000513C0000}"/>
    <cellStyle name="Normal 190 2 3 2" xfId="15442" xr:uid="{00000000-0005-0000-0000-0000523C0000}"/>
    <cellStyle name="Normal 190 2 3 2 2" xfId="15443" xr:uid="{00000000-0005-0000-0000-0000533C0000}"/>
    <cellStyle name="Normal 190 2 3 3" xfId="15444" xr:uid="{00000000-0005-0000-0000-0000543C0000}"/>
    <cellStyle name="Normal 190 2 4" xfId="15445" xr:uid="{00000000-0005-0000-0000-0000553C0000}"/>
    <cellStyle name="Normal 190 2 4 2" xfId="15446" xr:uid="{00000000-0005-0000-0000-0000563C0000}"/>
    <cellStyle name="Normal 190 2 4 2 2" xfId="15447" xr:uid="{00000000-0005-0000-0000-0000573C0000}"/>
    <cellStyle name="Normal 190 2 4 3" xfId="15448" xr:uid="{00000000-0005-0000-0000-0000583C0000}"/>
    <cellStyle name="Normal 190 2 5" xfId="15449" xr:uid="{00000000-0005-0000-0000-0000593C0000}"/>
    <cellStyle name="Normal 190 3" xfId="15450" xr:uid="{00000000-0005-0000-0000-00005A3C0000}"/>
    <cellStyle name="Normal 190 3 2" xfId="15451" xr:uid="{00000000-0005-0000-0000-00005B3C0000}"/>
    <cellStyle name="Normal 190 3 2 2" xfId="15452" xr:uid="{00000000-0005-0000-0000-00005C3C0000}"/>
    <cellStyle name="Normal 190 3 2 2 2" xfId="15453" xr:uid="{00000000-0005-0000-0000-00005D3C0000}"/>
    <cellStyle name="Normal 190 3 2 3" xfId="15454" xr:uid="{00000000-0005-0000-0000-00005E3C0000}"/>
    <cellStyle name="Normal 190 3 2 3 2" xfId="15455" xr:uid="{00000000-0005-0000-0000-00005F3C0000}"/>
    <cellStyle name="Normal 190 3 2 3 2 2" xfId="15456" xr:uid="{00000000-0005-0000-0000-0000603C0000}"/>
    <cellStyle name="Normal 190 3 2 3 3" xfId="15457" xr:uid="{00000000-0005-0000-0000-0000613C0000}"/>
    <cellStyle name="Normal 190 3 2 4" xfId="15458" xr:uid="{00000000-0005-0000-0000-0000623C0000}"/>
    <cellStyle name="Normal 190 3 3" xfId="15459" xr:uid="{00000000-0005-0000-0000-0000633C0000}"/>
    <cellStyle name="Normal 190 3 3 2" xfId="15460" xr:uid="{00000000-0005-0000-0000-0000643C0000}"/>
    <cellStyle name="Normal 190 3 3 2 2" xfId="15461" xr:uid="{00000000-0005-0000-0000-0000653C0000}"/>
    <cellStyle name="Normal 190 3 3 3" xfId="15462" xr:uid="{00000000-0005-0000-0000-0000663C0000}"/>
    <cellStyle name="Normal 190 3 4" xfId="15463" xr:uid="{00000000-0005-0000-0000-0000673C0000}"/>
    <cellStyle name="Normal 190 3 4 2" xfId="15464" xr:uid="{00000000-0005-0000-0000-0000683C0000}"/>
    <cellStyle name="Normal 190 3 4 2 2" xfId="15465" xr:uid="{00000000-0005-0000-0000-0000693C0000}"/>
    <cellStyle name="Normal 190 3 4 3" xfId="15466" xr:uid="{00000000-0005-0000-0000-00006A3C0000}"/>
    <cellStyle name="Normal 190 3 5" xfId="15467" xr:uid="{00000000-0005-0000-0000-00006B3C0000}"/>
    <cellStyle name="Normal 190 3 5 2" xfId="15468" xr:uid="{00000000-0005-0000-0000-00006C3C0000}"/>
    <cellStyle name="Normal 190 3 5 2 2" xfId="15469" xr:uid="{00000000-0005-0000-0000-00006D3C0000}"/>
    <cellStyle name="Normal 190 3 5 3" xfId="15470" xr:uid="{00000000-0005-0000-0000-00006E3C0000}"/>
    <cellStyle name="Normal 190 3 6" xfId="15471" xr:uid="{00000000-0005-0000-0000-00006F3C0000}"/>
    <cellStyle name="Normal 190 4" xfId="15472" xr:uid="{00000000-0005-0000-0000-0000703C0000}"/>
    <cellStyle name="Normal 190 4 2" xfId="15473" xr:uid="{00000000-0005-0000-0000-0000713C0000}"/>
    <cellStyle name="Normal 190 4 2 2" xfId="15474" xr:uid="{00000000-0005-0000-0000-0000723C0000}"/>
    <cellStyle name="Normal 190 4 3" xfId="15475" xr:uid="{00000000-0005-0000-0000-0000733C0000}"/>
    <cellStyle name="Normal 190 5" xfId="15476" xr:uid="{00000000-0005-0000-0000-0000743C0000}"/>
    <cellStyle name="Normal 190 5 2" xfId="15477" xr:uid="{00000000-0005-0000-0000-0000753C0000}"/>
    <cellStyle name="Normal 190 5 2 2" xfId="15478" xr:uid="{00000000-0005-0000-0000-0000763C0000}"/>
    <cellStyle name="Normal 190 5 3" xfId="15479" xr:uid="{00000000-0005-0000-0000-0000773C0000}"/>
    <cellStyle name="Normal 190 6" xfId="15480" xr:uid="{00000000-0005-0000-0000-0000783C0000}"/>
    <cellStyle name="Normal 190 6 2" xfId="15481" xr:uid="{00000000-0005-0000-0000-0000793C0000}"/>
    <cellStyle name="Normal 190 6 2 2" xfId="15482" xr:uid="{00000000-0005-0000-0000-00007A3C0000}"/>
    <cellStyle name="Normal 190 6 3" xfId="15483" xr:uid="{00000000-0005-0000-0000-00007B3C0000}"/>
    <cellStyle name="Normal 190 7" xfId="15484" xr:uid="{00000000-0005-0000-0000-00007C3C0000}"/>
    <cellStyle name="Normal 191" xfId="15485" xr:uid="{00000000-0005-0000-0000-00007D3C0000}"/>
    <cellStyle name="Normal 191 2" xfId="15486" xr:uid="{00000000-0005-0000-0000-00007E3C0000}"/>
    <cellStyle name="Normal 191 2 2" xfId="15487" xr:uid="{00000000-0005-0000-0000-00007F3C0000}"/>
    <cellStyle name="Normal 191 2 2 2" xfId="15488" xr:uid="{00000000-0005-0000-0000-0000803C0000}"/>
    <cellStyle name="Normal 191 2 3" xfId="15489" xr:uid="{00000000-0005-0000-0000-0000813C0000}"/>
    <cellStyle name="Normal 191 2 3 2" xfId="15490" xr:uid="{00000000-0005-0000-0000-0000823C0000}"/>
    <cellStyle name="Normal 191 2 3 2 2" xfId="15491" xr:uid="{00000000-0005-0000-0000-0000833C0000}"/>
    <cellStyle name="Normal 191 2 3 3" xfId="15492" xr:uid="{00000000-0005-0000-0000-0000843C0000}"/>
    <cellStyle name="Normal 191 2 4" xfId="15493" xr:uid="{00000000-0005-0000-0000-0000853C0000}"/>
    <cellStyle name="Normal 191 2 4 2" xfId="15494" xr:uid="{00000000-0005-0000-0000-0000863C0000}"/>
    <cellStyle name="Normal 191 2 4 2 2" xfId="15495" xr:uid="{00000000-0005-0000-0000-0000873C0000}"/>
    <cellStyle name="Normal 191 2 4 3" xfId="15496" xr:uid="{00000000-0005-0000-0000-0000883C0000}"/>
    <cellStyle name="Normal 191 2 5" xfId="15497" xr:uid="{00000000-0005-0000-0000-0000893C0000}"/>
    <cellStyle name="Normal 191 3" xfId="15498" xr:uid="{00000000-0005-0000-0000-00008A3C0000}"/>
    <cellStyle name="Normal 191 3 2" xfId="15499" xr:uid="{00000000-0005-0000-0000-00008B3C0000}"/>
    <cellStyle name="Normal 191 3 2 2" xfId="15500" xr:uid="{00000000-0005-0000-0000-00008C3C0000}"/>
    <cellStyle name="Normal 191 3 2 2 2" xfId="15501" xr:uid="{00000000-0005-0000-0000-00008D3C0000}"/>
    <cellStyle name="Normal 191 3 2 3" xfId="15502" xr:uid="{00000000-0005-0000-0000-00008E3C0000}"/>
    <cellStyle name="Normal 191 3 2 3 2" xfId="15503" xr:uid="{00000000-0005-0000-0000-00008F3C0000}"/>
    <cellStyle name="Normal 191 3 2 3 2 2" xfId="15504" xr:uid="{00000000-0005-0000-0000-0000903C0000}"/>
    <cellStyle name="Normal 191 3 2 3 3" xfId="15505" xr:uid="{00000000-0005-0000-0000-0000913C0000}"/>
    <cellStyle name="Normal 191 3 2 4" xfId="15506" xr:uid="{00000000-0005-0000-0000-0000923C0000}"/>
    <cellStyle name="Normal 191 3 3" xfId="15507" xr:uid="{00000000-0005-0000-0000-0000933C0000}"/>
    <cellStyle name="Normal 191 3 3 2" xfId="15508" xr:uid="{00000000-0005-0000-0000-0000943C0000}"/>
    <cellStyle name="Normal 191 3 3 2 2" xfId="15509" xr:uid="{00000000-0005-0000-0000-0000953C0000}"/>
    <cellStyle name="Normal 191 3 3 3" xfId="15510" xr:uid="{00000000-0005-0000-0000-0000963C0000}"/>
    <cellStyle name="Normal 191 3 4" xfId="15511" xr:uid="{00000000-0005-0000-0000-0000973C0000}"/>
    <cellStyle name="Normal 191 3 4 2" xfId="15512" xr:uid="{00000000-0005-0000-0000-0000983C0000}"/>
    <cellStyle name="Normal 191 3 4 2 2" xfId="15513" xr:uid="{00000000-0005-0000-0000-0000993C0000}"/>
    <cellStyle name="Normal 191 3 4 3" xfId="15514" xr:uid="{00000000-0005-0000-0000-00009A3C0000}"/>
    <cellStyle name="Normal 191 3 5" xfId="15515" xr:uid="{00000000-0005-0000-0000-00009B3C0000}"/>
    <cellStyle name="Normal 191 3 5 2" xfId="15516" xr:uid="{00000000-0005-0000-0000-00009C3C0000}"/>
    <cellStyle name="Normal 191 3 5 2 2" xfId="15517" xr:uid="{00000000-0005-0000-0000-00009D3C0000}"/>
    <cellStyle name="Normal 191 3 5 3" xfId="15518" xr:uid="{00000000-0005-0000-0000-00009E3C0000}"/>
    <cellStyle name="Normal 191 3 6" xfId="15519" xr:uid="{00000000-0005-0000-0000-00009F3C0000}"/>
    <cellStyle name="Normal 191 4" xfId="15520" xr:uid="{00000000-0005-0000-0000-0000A03C0000}"/>
    <cellStyle name="Normal 191 4 2" xfId="15521" xr:uid="{00000000-0005-0000-0000-0000A13C0000}"/>
    <cellStyle name="Normal 191 4 2 2" xfId="15522" xr:uid="{00000000-0005-0000-0000-0000A23C0000}"/>
    <cellStyle name="Normal 191 4 3" xfId="15523" xr:uid="{00000000-0005-0000-0000-0000A33C0000}"/>
    <cellStyle name="Normal 191 5" xfId="15524" xr:uid="{00000000-0005-0000-0000-0000A43C0000}"/>
    <cellStyle name="Normal 191 5 2" xfId="15525" xr:uid="{00000000-0005-0000-0000-0000A53C0000}"/>
    <cellStyle name="Normal 191 5 2 2" xfId="15526" xr:uid="{00000000-0005-0000-0000-0000A63C0000}"/>
    <cellStyle name="Normal 191 5 3" xfId="15527" xr:uid="{00000000-0005-0000-0000-0000A73C0000}"/>
    <cellStyle name="Normal 191 6" xfId="15528" xr:uid="{00000000-0005-0000-0000-0000A83C0000}"/>
    <cellStyle name="Normal 191 6 2" xfId="15529" xr:uid="{00000000-0005-0000-0000-0000A93C0000}"/>
    <cellStyle name="Normal 191 6 2 2" xfId="15530" xr:uid="{00000000-0005-0000-0000-0000AA3C0000}"/>
    <cellStyle name="Normal 191 6 3" xfId="15531" xr:uid="{00000000-0005-0000-0000-0000AB3C0000}"/>
    <cellStyle name="Normal 191 7" xfId="15532" xr:uid="{00000000-0005-0000-0000-0000AC3C0000}"/>
    <cellStyle name="Normal 192" xfId="15533" xr:uid="{00000000-0005-0000-0000-0000AD3C0000}"/>
    <cellStyle name="Normal 192 2" xfId="15534" xr:uid="{00000000-0005-0000-0000-0000AE3C0000}"/>
    <cellStyle name="Normal 192 2 2" xfId="15535" xr:uid="{00000000-0005-0000-0000-0000AF3C0000}"/>
    <cellStyle name="Normal 192 2 2 2" xfId="15536" xr:uid="{00000000-0005-0000-0000-0000B03C0000}"/>
    <cellStyle name="Normal 192 2 2 2 2" xfId="15537" xr:uid="{00000000-0005-0000-0000-0000B13C0000}"/>
    <cellStyle name="Normal 192 2 2 3" xfId="15538" xr:uid="{00000000-0005-0000-0000-0000B23C0000}"/>
    <cellStyle name="Normal 192 2 2 3 2" xfId="15539" xr:uid="{00000000-0005-0000-0000-0000B33C0000}"/>
    <cellStyle name="Normal 192 2 2 3 2 2" xfId="15540" xr:uid="{00000000-0005-0000-0000-0000B43C0000}"/>
    <cellStyle name="Normal 192 2 2 3 3" xfId="15541" xr:uid="{00000000-0005-0000-0000-0000B53C0000}"/>
    <cellStyle name="Normal 192 2 2 4" xfId="15542" xr:uid="{00000000-0005-0000-0000-0000B63C0000}"/>
    <cellStyle name="Normal 192 2 2 4 2" xfId="15543" xr:uid="{00000000-0005-0000-0000-0000B73C0000}"/>
    <cellStyle name="Normal 192 2 2 4 2 2" xfId="15544" xr:uid="{00000000-0005-0000-0000-0000B83C0000}"/>
    <cellStyle name="Normal 192 2 2 4 3" xfId="15545" xr:uid="{00000000-0005-0000-0000-0000B93C0000}"/>
    <cellStyle name="Normal 192 2 2 5" xfId="15546" xr:uid="{00000000-0005-0000-0000-0000BA3C0000}"/>
    <cellStyle name="Normal 192 2 3" xfId="15547" xr:uid="{00000000-0005-0000-0000-0000BB3C0000}"/>
    <cellStyle name="Normal 192 2 3 2" xfId="15548" xr:uid="{00000000-0005-0000-0000-0000BC3C0000}"/>
    <cellStyle name="Normal 192 2 3 2 2" xfId="15549" xr:uid="{00000000-0005-0000-0000-0000BD3C0000}"/>
    <cellStyle name="Normal 192 2 3 2 2 2" xfId="15550" xr:uid="{00000000-0005-0000-0000-0000BE3C0000}"/>
    <cellStyle name="Normal 192 2 3 2 3" xfId="15551" xr:uid="{00000000-0005-0000-0000-0000BF3C0000}"/>
    <cellStyle name="Normal 192 2 3 2 3 2" xfId="15552" xr:uid="{00000000-0005-0000-0000-0000C03C0000}"/>
    <cellStyle name="Normal 192 2 3 2 3 2 2" xfId="15553" xr:uid="{00000000-0005-0000-0000-0000C13C0000}"/>
    <cellStyle name="Normal 192 2 3 2 3 3" xfId="15554" xr:uid="{00000000-0005-0000-0000-0000C23C0000}"/>
    <cellStyle name="Normal 192 2 3 2 4" xfId="15555" xr:uid="{00000000-0005-0000-0000-0000C33C0000}"/>
    <cellStyle name="Normal 192 2 3 3" xfId="15556" xr:uid="{00000000-0005-0000-0000-0000C43C0000}"/>
    <cellStyle name="Normal 192 2 3 3 2" xfId="15557" xr:uid="{00000000-0005-0000-0000-0000C53C0000}"/>
    <cellStyle name="Normal 192 2 3 3 2 2" xfId="15558" xr:uid="{00000000-0005-0000-0000-0000C63C0000}"/>
    <cellStyle name="Normal 192 2 3 3 3" xfId="15559" xr:uid="{00000000-0005-0000-0000-0000C73C0000}"/>
    <cellStyle name="Normal 192 2 3 4" xfId="15560" xr:uid="{00000000-0005-0000-0000-0000C83C0000}"/>
    <cellStyle name="Normal 192 2 3 4 2" xfId="15561" xr:uid="{00000000-0005-0000-0000-0000C93C0000}"/>
    <cellStyle name="Normal 192 2 3 4 2 2" xfId="15562" xr:uid="{00000000-0005-0000-0000-0000CA3C0000}"/>
    <cellStyle name="Normal 192 2 3 4 3" xfId="15563" xr:uid="{00000000-0005-0000-0000-0000CB3C0000}"/>
    <cellStyle name="Normal 192 2 3 5" xfId="15564" xr:uid="{00000000-0005-0000-0000-0000CC3C0000}"/>
    <cellStyle name="Normal 192 2 3 5 2" xfId="15565" xr:uid="{00000000-0005-0000-0000-0000CD3C0000}"/>
    <cellStyle name="Normal 192 2 3 5 2 2" xfId="15566" xr:uid="{00000000-0005-0000-0000-0000CE3C0000}"/>
    <cellStyle name="Normal 192 2 3 5 3" xfId="15567" xr:uid="{00000000-0005-0000-0000-0000CF3C0000}"/>
    <cellStyle name="Normal 192 2 3 6" xfId="15568" xr:uid="{00000000-0005-0000-0000-0000D03C0000}"/>
    <cellStyle name="Normal 192 2 4" xfId="15569" xr:uid="{00000000-0005-0000-0000-0000D13C0000}"/>
    <cellStyle name="Normal 192 2 4 2" xfId="15570" xr:uid="{00000000-0005-0000-0000-0000D23C0000}"/>
    <cellStyle name="Normal 192 2 4 2 2" xfId="15571" xr:uid="{00000000-0005-0000-0000-0000D33C0000}"/>
    <cellStyle name="Normal 192 2 4 3" xfId="15572" xr:uid="{00000000-0005-0000-0000-0000D43C0000}"/>
    <cellStyle name="Normal 192 2 5" xfId="15573" xr:uid="{00000000-0005-0000-0000-0000D53C0000}"/>
    <cellStyle name="Normal 192 2 5 2" xfId="15574" xr:uid="{00000000-0005-0000-0000-0000D63C0000}"/>
    <cellStyle name="Normal 192 2 5 2 2" xfId="15575" xr:uid="{00000000-0005-0000-0000-0000D73C0000}"/>
    <cellStyle name="Normal 192 2 5 3" xfId="15576" xr:uid="{00000000-0005-0000-0000-0000D83C0000}"/>
    <cellStyle name="Normal 192 2 6" xfId="15577" xr:uid="{00000000-0005-0000-0000-0000D93C0000}"/>
    <cellStyle name="Normal 192 2 6 2" xfId="15578" xr:uid="{00000000-0005-0000-0000-0000DA3C0000}"/>
    <cellStyle name="Normal 192 2 6 2 2" xfId="15579" xr:uid="{00000000-0005-0000-0000-0000DB3C0000}"/>
    <cellStyle name="Normal 192 2 6 3" xfId="15580" xr:uid="{00000000-0005-0000-0000-0000DC3C0000}"/>
    <cellStyle name="Normal 192 2 7" xfId="15581" xr:uid="{00000000-0005-0000-0000-0000DD3C0000}"/>
    <cellStyle name="Normal 192 3" xfId="15582" xr:uid="{00000000-0005-0000-0000-0000DE3C0000}"/>
    <cellStyle name="Normal 192 3 2" xfId="15583" xr:uid="{00000000-0005-0000-0000-0000DF3C0000}"/>
    <cellStyle name="Normal 192 3 2 2" xfId="15584" xr:uid="{00000000-0005-0000-0000-0000E03C0000}"/>
    <cellStyle name="Normal 192 3 3" xfId="15585" xr:uid="{00000000-0005-0000-0000-0000E13C0000}"/>
    <cellStyle name="Normal 192 3 3 2" xfId="15586" xr:uid="{00000000-0005-0000-0000-0000E23C0000}"/>
    <cellStyle name="Normal 192 3 3 2 2" xfId="15587" xr:uid="{00000000-0005-0000-0000-0000E33C0000}"/>
    <cellStyle name="Normal 192 3 3 3" xfId="15588" xr:uid="{00000000-0005-0000-0000-0000E43C0000}"/>
    <cellStyle name="Normal 192 3 4" xfId="15589" xr:uid="{00000000-0005-0000-0000-0000E53C0000}"/>
    <cellStyle name="Normal 192 3 4 2" xfId="15590" xr:uid="{00000000-0005-0000-0000-0000E63C0000}"/>
    <cellStyle name="Normal 192 3 4 2 2" xfId="15591" xr:uid="{00000000-0005-0000-0000-0000E73C0000}"/>
    <cellStyle name="Normal 192 3 4 3" xfId="15592" xr:uid="{00000000-0005-0000-0000-0000E83C0000}"/>
    <cellStyle name="Normal 192 3 5" xfId="15593" xr:uid="{00000000-0005-0000-0000-0000E93C0000}"/>
    <cellStyle name="Normal 192 4" xfId="15594" xr:uid="{00000000-0005-0000-0000-0000EA3C0000}"/>
    <cellStyle name="Normal 192 4 2" xfId="15595" xr:uid="{00000000-0005-0000-0000-0000EB3C0000}"/>
    <cellStyle name="Normal 192 4 2 2" xfId="15596" xr:uid="{00000000-0005-0000-0000-0000EC3C0000}"/>
    <cellStyle name="Normal 192 4 2 2 2" xfId="15597" xr:uid="{00000000-0005-0000-0000-0000ED3C0000}"/>
    <cellStyle name="Normal 192 4 2 3" xfId="15598" xr:uid="{00000000-0005-0000-0000-0000EE3C0000}"/>
    <cellStyle name="Normal 192 4 2 3 2" xfId="15599" xr:uid="{00000000-0005-0000-0000-0000EF3C0000}"/>
    <cellStyle name="Normal 192 4 2 3 2 2" xfId="15600" xr:uid="{00000000-0005-0000-0000-0000F03C0000}"/>
    <cellStyle name="Normal 192 4 2 3 3" xfId="15601" xr:uid="{00000000-0005-0000-0000-0000F13C0000}"/>
    <cellStyle name="Normal 192 4 2 4" xfId="15602" xr:uid="{00000000-0005-0000-0000-0000F23C0000}"/>
    <cellStyle name="Normal 192 4 3" xfId="15603" xr:uid="{00000000-0005-0000-0000-0000F33C0000}"/>
    <cellStyle name="Normal 192 4 3 2" xfId="15604" xr:uid="{00000000-0005-0000-0000-0000F43C0000}"/>
    <cellStyle name="Normal 192 4 3 2 2" xfId="15605" xr:uid="{00000000-0005-0000-0000-0000F53C0000}"/>
    <cellStyle name="Normal 192 4 3 3" xfId="15606" xr:uid="{00000000-0005-0000-0000-0000F63C0000}"/>
    <cellStyle name="Normal 192 4 4" xfId="15607" xr:uid="{00000000-0005-0000-0000-0000F73C0000}"/>
    <cellStyle name="Normal 192 4 4 2" xfId="15608" xr:uid="{00000000-0005-0000-0000-0000F83C0000}"/>
    <cellStyle name="Normal 192 4 4 2 2" xfId="15609" xr:uid="{00000000-0005-0000-0000-0000F93C0000}"/>
    <cellStyle name="Normal 192 4 4 3" xfId="15610" xr:uid="{00000000-0005-0000-0000-0000FA3C0000}"/>
    <cellStyle name="Normal 192 4 5" xfId="15611" xr:uid="{00000000-0005-0000-0000-0000FB3C0000}"/>
    <cellStyle name="Normal 192 4 5 2" xfId="15612" xr:uid="{00000000-0005-0000-0000-0000FC3C0000}"/>
    <cellStyle name="Normal 192 4 5 2 2" xfId="15613" xr:uid="{00000000-0005-0000-0000-0000FD3C0000}"/>
    <cellStyle name="Normal 192 4 5 3" xfId="15614" xr:uid="{00000000-0005-0000-0000-0000FE3C0000}"/>
    <cellStyle name="Normal 192 4 6" xfId="15615" xr:uid="{00000000-0005-0000-0000-0000FF3C0000}"/>
    <cellStyle name="Normal 192 5" xfId="15616" xr:uid="{00000000-0005-0000-0000-0000003D0000}"/>
    <cellStyle name="Normal 192 5 2" xfId="15617" xr:uid="{00000000-0005-0000-0000-0000013D0000}"/>
    <cellStyle name="Normal 192 5 2 2" xfId="15618" xr:uid="{00000000-0005-0000-0000-0000023D0000}"/>
    <cellStyle name="Normal 192 5 3" xfId="15619" xr:uid="{00000000-0005-0000-0000-0000033D0000}"/>
    <cellStyle name="Normal 192 6" xfId="15620" xr:uid="{00000000-0005-0000-0000-0000043D0000}"/>
    <cellStyle name="Normal 192 6 2" xfId="15621" xr:uid="{00000000-0005-0000-0000-0000053D0000}"/>
    <cellStyle name="Normal 192 6 2 2" xfId="15622" xr:uid="{00000000-0005-0000-0000-0000063D0000}"/>
    <cellStyle name="Normal 192 6 3" xfId="15623" xr:uid="{00000000-0005-0000-0000-0000073D0000}"/>
    <cellStyle name="Normal 192 7" xfId="15624" xr:uid="{00000000-0005-0000-0000-0000083D0000}"/>
    <cellStyle name="Normal 192 7 2" xfId="15625" xr:uid="{00000000-0005-0000-0000-0000093D0000}"/>
    <cellStyle name="Normal 192 7 2 2" xfId="15626" xr:uid="{00000000-0005-0000-0000-00000A3D0000}"/>
    <cellStyle name="Normal 192 7 3" xfId="15627" xr:uid="{00000000-0005-0000-0000-00000B3D0000}"/>
    <cellStyle name="Normal 192 8" xfId="15628" xr:uid="{00000000-0005-0000-0000-00000C3D0000}"/>
    <cellStyle name="Normal 193" xfId="15629" xr:uid="{00000000-0005-0000-0000-00000D3D0000}"/>
    <cellStyle name="Normal 193 2" xfId="15630" xr:uid="{00000000-0005-0000-0000-00000E3D0000}"/>
    <cellStyle name="Normal 193 2 2" xfId="15631" xr:uid="{00000000-0005-0000-0000-00000F3D0000}"/>
    <cellStyle name="Normal 193 2 2 2" xfId="15632" xr:uid="{00000000-0005-0000-0000-0000103D0000}"/>
    <cellStyle name="Normal 193 2 2 2 2" xfId="15633" xr:uid="{00000000-0005-0000-0000-0000113D0000}"/>
    <cellStyle name="Normal 193 2 2 3" xfId="15634" xr:uid="{00000000-0005-0000-0000-0000123D0000}"/>
    <cellStyle name="Normal 193 2 2 3 2" xfId="15635" xr:uid="{00000000-0005-0000-0000-0000133D0000}"/>
    <cellStyle name="Normal 193 2 2 3 2 2" xfId="15636" xr:uid="{00000000-0005-0000-0000-0000143D0000}"/>
    <cellStyle name="Normal 193 2 2 3 3" xfId="15637" xr:uid="{00000000-0005-0000-0000-0000153D0000}"/>
    <cellStyle name="Normal 193 2 2 4" xfId="15638" xr:uid="{00000000-0005-0000-0000-0000163D0000}"/>
    <cellStyle name="Normal 193 2 2 4 2" xfId="15639" xr:uid="{00000000-0005-0000-0000-0000173D0000}"/>
    <cellStyle name="Normal 193 2 2 4 2 2" xfId="15640" xr:uid="{00000000-0005-0000-0000-0000183D0000}"/>
    <cellStyle name="Normal 193 2 2 4 3" xfId="15641" xr:uid="{00000000-0005-0000-0000-0000193D0000}"/>
    <cellStyle name="Normal 193 2 2 5" xfId="15642" xr:uid="{00000000-0005-0000-0000-00001A3D0000}"/>
    <cellStyle name="Normal 193 2 3" xfId="15643" xr:uid="{00000000-0005-0000-0000-00001B3D0000}"/>
    <cellStyle name="Normal 193 2 3 2" xfId="15644" xr:uid="{00000000-0005-0000-0000-00001C3D0000}"/>
    <cellStyle name="Normal 193 2 3 2 2" xfId="15645" xr:uid="{00000000-0005-0000-0000-00001D3D0000}"/>
    <cellStyle name="Normal 193 2 3 2 2 2" xfId="15646" xr:uid="{00000000-0005-0000-0000-00001E3D0000}"/>
    <cellStyle name="Normal 193 2 3 2 3" xfId="15647" xr:uid="{00000000-0005-0000-0000-00001F3D0000}"/>
    <cellStyle name="Normal 193 2 3 2 3 2" xfId="15648" xr:uid="{00000000-0005-0000-0000-0000203D0000}"/>
    <cellStyle name="Normal 193 2 3 2 3 2 2" xfId="15649" xr:uid="{00000000-0005-0000-0000-0000213D0000}"/>
    <cellStyle name="Normal 193 2 3 2 3 3" xfId="15650" xr:uid="{00000000-0005-0000-0000-0000223D0000}"/>
    <cellStyle name="Normal 193 2 3 2 4" xfId="15651" xr:uid="{00000000-0005-0000-0000-0000233D0000}"/>
    <cellStyle name="Normal 193 2 3 3" xfId="15652" xr:uid="{00000000-0005-0000-0000-0000243D0000}"/>
    <cellStyle name="Normal 193 2 3 3 2" xfId="15653" xr:uid="{00000000-0005-0000-0000-0000253D0000}"/>
    <cellStyle name="Normal 193 2 3 3 2 2" xfId="15654" xr:uid="{00000000-0005-0000-0000-0000263D0000}"/>
    <cellStyle name="Normal 193 2 3 3 3" xfId="15655" xr:uid="{00000000-0005-0000-0000-0000273D0000}"/>
    <cellStyle name="Normal 193 2 3 4" xfId="15656" xr:uid="{00000000-0005-0000-0000-0000283D0000}"/>
    <cellStyle name="Normal 193 2 3 4 2" xfId="15657" xr:uid="{00000000-0005-0000-0000-0000293D0000}"/>
    <cellStyle name="Normal 193 2 3 4 2 2" xfId="15658" xr:uid="{00000000-0005-0000-0000-00002A3D0000}"/>
    <cellStyle name="Normal 193 2 3 4 3" xfId="15659" xr:uid="{00000000-0005-0000-0000-00002B3D0000}"/>
    <cellStyle name="Normal 193 2 3 5" xfId="15660" xr:uid="{00000000-0005-0000-0000-00002C3D0000}"/>
    <cellStyle name="Normal 193 2 3 5 2" xfId="15661" xr:uid="{00000000-0005-0000-0000-00002D3D0000}"/>
    <cellStyle name="Normal 193 2 3 5 2 2" xfId="15662" xr:uid="{00000000-0005-0000-0000-00002E3D0000}"/>
    <cellStyle name="Normal 193 2 3 5 3" xfId="15663" xr:uid="{00000000-0005-0000-0000-00002F3D0000}"/>
    <cellStyle name="Normal 193 2 3 6" xfId="15664" xr:uid="{00000000-0005-0000-0000-0000303D0000}"/>
    <cellStyle name="Normal 193 2 4" xfId="15665" xr:uid="{00000000-0005-0000-0000-0000313D0000}"/>
    <cellStyle name="Normal 193 2 4 2" xfId="15666" xr:uid="{00000000-0005-0000-0000-0000323D0000}"/>
    <cellStyle name="Normal 193 2 4 2 2" xfId="15667" xr:uid="{00000000-0005-0000-0000-0000333D0000}"/>
    <cellStyle name="Normal 193 2 4 3" xfId="15668" xr:uid="{00000000-0005-0000-0000-0000343D0000}"/>
    <cellStyle name="Normal 193 2 5" xfId="15669" xr:uid="{00000000-0005-0000-0000-0000353D0000}"/>
    <cellStyle name="Normal 193 2 5 2" xfId="15670" xr:uid="{00000000-0005-0000-0000-0000363D0000}"/>
    <cellStyle name="Normal 193 2 5 2 2" xfId="15671" xr:uid="{00000000-0005-0000-0000-0000373D0000}"/>
    <cellStyle name="Normal 193 2 5 3" xfId="15672" xr:uid="{00000000-0005-0000-0000-0000383D0000}"/>
    <cellStyle name="Normal 193 2 6" xfId="15673" xr:uid="{00000000-0005-0000-0000-0000393D0000}"/>
    <cellStyle name="Normal 193 2 6 2" xfId="15674" xr:uid="{00000000-0005-0000-0000-00003A3D0000}"/>
    <cellStyle name="Normal 193 2 6 2 2" xfId="15675" xr:uid="{00000000-0005-0000-0000-00003B3D0000}"/>
    <cellStyle name="Normal 193 2 6 3" xfId="15676" xr:uid="{00000000-0005-0000-0000-00003C3D0000}"/>
    <cellStyle name="Normal 193 2 7" xfId="15677" xr:uid="{00000000-0005-0000-0000-00003D3D0000}"/>
    <cellStyle name="Normal 193 3" xfId="15678" xr:uid="{00000000-0005-0000-0000-00003E3D0000}"/>
    <cellStyle name="Normal 193 3 2" xfId="15679" xr:uid="{00000000-0005-0000-0000-00003F3D0000}"/>
    <cellStyle name="Normal 193 3 2 2" xfId="15680" xr:uid="{00000000-0005-0000-0000-0000403D0000}"/>
    <cellStyle name="Normal 193 3 3" xfId="15681" xr:uid="{00000000-0005-0000-0000-0000413D0000}"/>
    <cellStyle name="Normal 193 3 3 2" xfId="15682" xr:uid="{00000000-0005-0000-0000-0000423D0000}"/>
    <cellStyle name="Normal 193 3 3 2 2" xfId="15683" xr:uid="{00000000-0005-0000-0000-0000433D0000}"/>
    <cellStyle name="Normal 193 3 3 3" xfId="15684" xr:uid="{00000000-0005-0000-0000-0000443D0000}"/>
    <cellStyle name="Normal 193 3 4" xfId="15685" xr:uid="{00000000-0005-0000-0000-0000453D0000}"/>
    <cellStyle name="Normal 193 3 4 2" xfId="15686" xr:uid="{00000000-0005-0000-0000-0000463D0000}"/>
    <cellStyle name="Normal 193 3 4 2 2" xfId="15687" xr:uid="{00000000-0005-0000-0000-0000473D0000}"/>
    <cellStyle name="Normal 193 3 4 3" xfId="15688" xr:uid="{00000000-0005-0000-0000-0000483D0000}"/>
    <cellStyle name="Normal 193 3 5" xfId="15689" xr:uid="{00000000-0005-0000-0000-0000493D0000}"/>
    <cellStyle name="Normal 193 4" xfId="15690" xr:uid="{00000000-0005-0000-0000-00004A3D0000}"/>
    <cellStyle name="Normal 193 4 2" xfId="15691" xr:uid="{00000000-0005-0000-0000-00004B3D0000}"/>
    <cellStyle name="Normal 193 4 2 2" xfId="15692" xr:uid="{00000000-0005-0000-0000-00004C3D0000}"/>
    <cellStyle name="Normal 193 4 2 2 2" xfId="15693" xr:uid="{00000000-0005-0000-0000-00004D3D0000}"/>
    <cellStyle name="Normal 193 4 2 3" xfId="15694" xr:uid="{00000000-0005-0000-0000-00004E3D0000}"/>
    <cellStyle name="Normal 193 4 2 3 2" xfId="15695" xr:uid="{00000000-0005-0000-0000-00004F3D0000}"/>
    <cellStyle name="Normal 193 4 2 3 2 2" xfId="15696" xr:uid="{00000000-0005-0000-0000-0000503D0000}"/>
    <cellStyle name="Normal 193 4 2 3 3" xfId="15697" xr:uid="{00000000-0005-0000-0000-0000513D0000}"/>
    <cellStyle name="Normal 193 4 2 4" xfId="15698" xr:uid="{00000000-0005-0000-0000-0000523D0000}"/>
    <cellStyle name="Normal 193 4 3" xfId="15699" xr:uid="{00000000-0005-0000-0000-0000533D0000}"/>
    <cellStyle name="Normal 193 4 3 2" xfId="15700" xr:uid="{00000000-0005-0000-0000-0000543D0000}"/>
    <cellStyle name="Normal 193 4 3 2 2" xfId="15701" xr:uid="{00000000-0005-0000-0000-0000553D0000}"/>
    <cellStyle name="Normal 193 4 3 3" xfId="15702" xr:uid="{00000000-0005-0000-0000-0000563D0000}"/>
    <cellStyle name="Normal 193 4 4" xfId="15703" xr:uid="{00000000-0005-0000-0000-0000573D0000}"/>
    <cellStyle name="Normal 193 4 4 2" xfId="15704" xr:uid="{00000000-0005-0000-0000-0000583D0000}"/>
    <cellStyle name="Normal 193 4 4 2 2" xfId="15705" xr:uid="{00000000-0005-0000-0000-0000593D0000}"/>
    <cellStyle name="Normal 193 4 4 3" xfId="15706" xr:uid="{00000000-0005-0000-0000-00005A3D0000}"/>
    <cellStyle name="Normal 193 4 5" xfId="15707" xr:uid="{00000000-0005-0000-0000-00005B3D0000}"/>
    <cellStyle name="Normal 193 4 5 2" xfId="15708" xr:uid="{00000000-0005-0000-0000-00005C3D0000}"/>
    <cellStyle name="Normal 193 4 5 2 2" xfId="15709" xr:uid="{00000000-0005-0000-0000-00005D3D0000}"/>
    <cellStyle name="Normal 193 4 5 3" xfId="15710" xr:uid="{00000000-0005-0000-0000-00005E3D0000}"/>
    <cellStyle name="Normal 193 4 6" xfId="15711" xr:uid="{00000000-0005-0000-0000-00005F3D0000}"/>
    <cellStyle name="Normal 193 5" xfId="15712" xr:uid="{00000000-0005-0000-0000-0000603D0000}"/>
    <cellStyle name="Normal 193 5 2" xfId="15713" xr:uid="{00000000-0005-0000-0000-0000613D0000}"/>
    <cellStyle name="Normal 193 5 2 2" xfId="15714" xr:uid="{00000000-0005-0000-0000-0000623D0000}"/>
    <cellStyle name="Normal 193 5 3" xfId="15715" xr:uid="{00000000-0005-0000-0000-0000633D0000}"/>
    <cellStyle name="Normal 193 6" xfId="15716" xr:uid="{00000000-0005-0000-0000-0000643D0000}"/>
    <cellStyle name="Normal 193 6 2" xfId="15717" xr:uid="{00000000-0005-0000-0000-0000653D0000}"/>
    <cellStyle name="Normal 193 6 2 2" xfId="15718" xr:uid="{00000000-0005-0000-0000-0000663D0000}"/>
    <cellStyle name="Normal 193 6 3" xfId="15719" xr:uid="{00000000-0005-0000-0000-0000673D0000}"/>
    <cellStyle name="Normal 193 7" xfId="15720" xr:uid="{00000000-0005-0000-0000-0000683D0000}"/>
    <cellStyle name="Normal 193 7 2" xfId="15721" xr:uid="{00000000-0005-0000-0000-0000693D0000}"/>
    <cellStyle name="Normal 193 7 2 2" xfId="15722" xr:uid="{00000000-0005-0000-0000-00006A3D0000}"/>
    <cellStyle name="Normal 193 7 3" xfId="15723" xr:uid="{00000000-0005-0000-0000-00006B3D0000}"/>
    <cellStyle name="Normal 193 8" xfId="15724" xr:uid="{00000000-0005-0000-0000-00006C3D0000}"/>
    <cellStyle name="Normal 194" xfId="15725" xr:uid="{00000000-0005-0000-0000-00006D3D0000}"/>
    <cellStyle name="Normal 194 2" xfId="15726" xr:uid="{00000000-0005-0000-0000-00006E3D0000}"/>
    <cellStyle name="Normal 194 2 2" xfId="15727" xr:uid="{00000000-0005-0000-0000-00006F3D0000}"/>
    <cellStyle name="Normal 194 2 2 2" xfId="15728" xr:uid="{00000000-0005-0000-0000-0000703D0000}"/>
    <cellStyle name="Normal 194 2 2 2 2" xfId="15729" xr:uid="{00000000-0005-0000-0000-0000713D0000}"/>
    <cellStyle name="Normal 194 2 2 3" xfId="15730" xr:uid="{00000000-0005-0000-0000-0000723D0000}"/>
    <cellStyle name="Normal 194 2 2 3 2" xfId="15731" xr:uid="{00000000-0005-0000-0000-0000733D0000}"/>
    <cellStyle name="Normal 194 2 2 3 2 2" xfId="15732" xr:uid="{00000000-0005-0000-0000-0000743D0000}"/>
    <cellStyle name="Normal 194 2 2 3 3" xfId="15733" xr:uid="{00000000-0005-0000-0000-0000753D0000}"/>
    <cellStyle name="Normal 194 2 2 4" xfId="15734" xr:uid="{00000000-0005-0000-0000-0000763D0000}"/>
    <cellStyle name="Normal 194 2 2 4 2" xfId="15735" xr:uid="{00000000-0005-0000-0000-0000773D0000}"/>
    <cellStyle name="Normal 194 2 2 4 2 2" xfId="15736" xr:uid="{00000000-0005-0000-0000-0000783D0000}"/>
    <cellStyle name="Normal 194 2 2 4 3" xfId="15737" xr:uid="{00000000-0005-0000-0000-0000793D0000}"/>
    <cellStyle name="Normal 194 2 2 5" xfId="15738" xr:uid="{00000000-0005-0000-0000-00007A3D0000}"/>
    <cellStyle name="Normal 194 2 3" xfId="15739" xr:uid="{00000000-0005-0000-0000-00007B3D0000}"/>
    <cellStyle name="Normal 194 2 3 2" xfId="15740" xr:uid="{00000000-0005-0000-0000-00007C3D0000}"/>
    <cellStyle name="Normal 194 2 3 2 2" xfId="15741" xr:uid="{00000000-0005-0000-0000-00007D3D0000}"/>
    <cellStyle name="Normal 194 2 3 2 2 2" xfId="15742" xr:uid="{00000000-0005-0000-0000-00007E3D0000}"/>
    <cellStyle name="Normal 194 2 3 2 3" xfId="15743" xr:uid="{00000000-0005-0000-0000-00007F3D0000}"/>
    <cellStyle name="Normal 194 2 3 2 3 2" xfId="15744" xr:uid="{00000000-0005-0000-0000-0000803D0000}"/>
    <cellStyle name="Normal 194 2 3 2 3 2 2" xfId="15745" xr:uid="{00000000-0005-0000-0000-0000813D0000}"/>
    <cellStyle name="Normal 194 2 3 2 3 3" xfId="15746" xr:uid="{00000000-0005-0000-0000-0000823D0000}"/>
    <cellStyle name="Normal 194 2 3 2 4" xfId="15747" xr:uid="{00000000-0005-0000-0000-0000833D0000}"/>
    <cellStyle name="Normal 194 2 3 3" xfId="15748" xr:uid="{00000000-0005-0000-0000-0000843D0000}"/>
    <cellStyle name="Normal 194 2 3 3 2" xfId="15749" xr:uid="{00000000-0005-0000-0000-0000853D0000}"/>
    <cellStyle name="Normal 194 2 3 3 2 2" xfId="15750" xr:uid="{00000000-0005-0000-0000-0000863D0000}"/>
    <cellStyle name="Normal 194 2 3 3 3" xfId="15751" xr:uid="{00000000-0005-0000-0000-0000873D0000}"/>
    <cellStyle name="Normal 194 2 3 4" xfId="15752" xr:uid="{00000000-0005-0000-0000-0000883D0000}"/>
    <cellStyle name="Normal 194 2 3 4 2" xfId="15753" xr:uid="{00000000-0005-0000-0000-0000893D0000}"/>
    <cellStyle name="Normal 194 2 3 4 2 2" xfId="15754" xr:uid="{00000000-0005-0000-0000-00008A3D0000}"/>
    <cellStyle name="Normal 194 2 3 4 3" xfId="15755" xr:uid="{00000000-0005-0000-0000-00008B3D0000}"/>
    <cellStyle name="Normal 194 2 3 5" xfId="15756" xr:uid="{00000000-0005-0000-0000-00008C3D0000}"/>
    <cellStyle name="Normal 194 2 3 5 2" xfId="15757" xr:uid="{00000000-0005-0000-0000-00008D3D0000}"/>
    <cellStyle name="Normal 194 2 3 5 2 2" xfId="15758" xr:uid="{00000000-0005-0000-0000-00008E3D0000}"/>
    <cellStyle name="Normal 194 2 3 5 3" xfId="15759" xr:uid="{00000000-0005-0000-0000-00008F3D0000}"/>
    <cellStyle name="Normal 194 2 3 6" xfId="15760" xr:uid="{00000000-0005-0000-0000-0000903D0000}"/>
    <cellStyle name="Normal 194 2 4" xfId="15761" xr:uid="{00000000-0005-0000-0000-0000913D0000}"/>
    <cellStyle name="Normal 194 2 4 2" xfId="15762" xr:uid="{00000000-0005-0000-0000-0000923D0000}"/>
    <cellStyle name="Normal 194 2 4 2 2" xfId="15763" xr:uid="{00000000-0005-0000-0000-0000933D0000}"/>
    <cellStyle name="Normal 194 2 4 3" xfId="15764" xr:uid="{00000000-0005-0000-0000-0000943D0000}"/>
    <cellStyle name="Normal 194 2 5" xfId="15765" xr:uid="{00000000-0005-0000-0000-0000953D0000}"/>
    <cellStyle name="Normal 194 2 5 2" xfId="15766" xr:uid="{00000000-0005-0000-0000-0000963D0000}"/>
    <cellStyle name="Normal 194 2 5 2 2" xfId="15767" xr:uid="{00000000-0005-0000-0000-0000973D0000}"/>
    <cellStyle name="Normal 194 2 5 3" xfId="15768" xr:uid="{00000000-0005-0000-0000-0000983D0000}"/>
    <cellStyle name="Normal 194 2 6" xfId="15769" xr:uid="{00000000-0005-0000-0000-0000993D0000}"/>
    <cellStyle name="Normal 194 2 6 2" xfId="15770" xr:uid="{00000000-0005-0000-0000-00009A3D0000}"/>
    <cellStyle name="Normal 194 2 6 2 2" xfId="15771" xr:uid="{00000000-0005-0000-0000-00009B3D0000}"/>
    <cellStyle name="Normal 194 2 6 3" xfId="15772" xr:uid="{00000000-0005-0000-0000-00009C3D0000}"/>
    <cellStyle name="Normal 194 2 7" xfId="15773" xr:uid="{00000000-0005-0000-0000-00009D3D0000}"/>
    <cellStyle name="Normal 194 3" xfId="15774" xr:uid="{00000000-0005-0000-0000-00009E3D0000}"/>
    <cellStyle name="Normal 194 3 2" xfId="15775" xr:uid="{00000000-0005-0000-0000-00009F3D0000}"/>
    <cellStyle name="Normal 194 3 2 2" xfId="15776" xr:uid="{00000000-0005-0000-0000-0000A03D0000}"/>
    <cellStyle name="Normal 194 3 3" xfId="15777" xr:uid="{00000000-0005-0000-0000-0000A13D0000}"/>
    <cellStyle name="Normal 194 3 3 2" xfId="15778" xr:uid="{00000000-0005-0000-0000-0000A23D0000}"/>
    <cellStyle name="Normal 194 3 3 2 2" xfId="15779" xr:uid="{00000000-0005-0000-0000-0000A33D0000}"/>
    <cellStyle name="Normal 194 3 3 3" xfId="15780" xr:uid="{00000000-0005-0000-0000-0000A43D0000}"/>
    <cellStyle name="Normal 194 3 4" xfId="15781" xr:uid="{00000000-0005-0000-0000-0000A53D0000}"/>
    <cellStyle name="Normal 194 3 4 2" xfId="15782" xr:uid="{00000000-0005-0000-0000-0000A63D0000}"/>
    <cellStyle name="Normal 194 3 4 2 2" xfId="15783" xr:uid="{00000000-0005-0000-0000-0000A73D0000}"/>
    <cellStyle name="Normal 194 3 4 3" xfId="15784" xr:uid="{00000000-0005-0000-0000-0000A83D0000}"/>
    <cellStyle name="Normal 194 3 5" xfId="15785" xr:uid="{00000000-0005-0000-0000-0000A93D0000}"/>
    <cellStyle name="Normal 194 4" xfId="15786" xr:uid="{00000000-0005-0000-0000-0000AA3D0000}"/>
    <cellStyle name="Normal 194 4 2" xfId="15787" xr:uid="{00000000-0005-0000-0000-0000AB3D0000}"/>
    <cellStyle name="Normal 194 4 2 2" xfId="15788" xr:uid="{00000000-0005-0000-0000-0000AC3D0000}"/>
    <cellStyle name="Normal 194 4 2 2 2" xfId="15789" xr:uid="{00000000-0005-0000-0000-0000AD3D0000}"/>
    <cellStyle name="Normal 194 4 2 3" xfId="15790" xr:uid="{00000000-0005-0000-0000-0000AE3D0000}"/>
    <cellStyle name="Normal 194 4 2 3 2" xfId="15791" xr:uid="{00000000-0005-0000-0000-0000AF3D0000}"/>
    <cellStyle name="Normal 194 4 2 3 2 2" xfId="15792" xr:uid="{00000000-0005-0000-0000-0000B03D0000}"/>
    <cellStyle name="Normal 194 4 2 3 3" xfId="15793" xr:uid="{00000000-0005-0000-0000-0000B13D0000}"/>
    <cellStyle name="Normal 194 4 2 4" xfId="15794" xr:uid="{00000000-0005-0000-0000-0000B23D0000}"/>
    <cellStyle name="Normal 194 4 3" xfId="15795" xr:uid="{00000000-0005-0000-0000-0000B33D0000}"/>
    <cellStyle name="Normal 194 4 3 2" xfId="15796" xr:uid="{00000000-0005-0000-0000-0000B43D0000}"/>
    <cellStyle name="Normal 194 4 3 2 2" xfId="15797" xr:uid="{00000000-0005-0000-0000-0000B53D0000}"/>
    <cellStyle name="Normal 194 4 3 3" xfId="15798" xr:uid="{00000000-0005-0000-0000-0000B63D0000}"/>
    <cellStyle name="Normal 194 4 4" xfId="15799" xr:uid="{00000000-0005-0000-0000-0000B73D0000}"/>
    <cellStyle name="Normal 194 4 4 2" xfId="15800" xr:uid="{00000000-0005-0000-0000-0000B83D0000}"/>
    <cellStyle name="Normal 194 4 4 2 2" xfId="15801" xr:uid="{00000000-0005-0000-0000-0000B93D0000}"/>
    <cellStyle name="Normal 194 4 4 3" xfId="15802" xr:uid="{00000000-0005-0000-0000-0000BA3D0000}"/>
    <cellStyle name="Normal 194 4 5" xfId="15803" xr:uid="{00000000-0005-0000-0000-0000BB3D0000}"/>
    <cellStyle name="Normal 194 4 5 2" xfId="15804" xr:uid="{00000000-0005-0000-0000-0000BC3D0000}"/>
    <cellStyle name="Normal 194 4 5 2 2" xfId="15805" xr:uid="{00000000-0005-0000-0000-0000BD3D0000}"/>
    <cellStyle name="Normal 194 4 5 3" xfId="15806" xr:uid="{00000000-0005-0000-0000-0000BE3D0000}"/>
    <cellStyle name="Normal 194 4 6" xfId="15807" xr:uid="{00000000-0005-0000-0000-0000BF3D0000}"/>
    <cellStyle name="Normal 194 5" xfId="15808" xr:uid="{00000000-0005-0000-0000-0000C03D0000}"/>
    <cellStyle name="Normal 194 5 2" xfId="15809" xr:uid="{00000000-0005-0000-0000-0000C13D0000}"/>
    <cellStyle name="Normal 194 5 2 2" xfId="15810" xr:uid="{00000000-0005-0000-0000-0000C23D0000}"/>
    <cellStyle name="Normal 194 5 3" xfId="15811" xr:uid="{00000000-0005-0000-0000-0000C33D0000}"/>
    <cellStyle name="Normal 194 6" xfId="15812" xr:uid="{00000000-0005-0000-0000-0000C43D0000}"/>
    <cellStyle name="Normal 194 6 2" xfId="15813" xr:uid="{00000000-0005-0000-0000-0000C53D0000}"/>
    <cellStyle name="Normal 194 6 2 2" xfId="15814" xr:uid="{00000000-0005-0000-0000-0000C63D0000}"/>
    <cellStyle name="Normal 194 6 3" xfId="15815" xr:uid="{00000000-0005-0000-0000-0000C73D0000}"/>
    <cellStyle name="Normal 194 7" xfId="15816" xr:uid="{00000000-0005-0000-0000-0000C83D0000}"/>
    <cellStyle name="Normal 194 7 2" xfId="15817" xr:uid="{00000000-0005-0000-0000-0000C93D0000}"/>
    <cellStyle name="Normal 194 7 2 2" xfId="15818" xr:uid="{00000000-0005-0000-0000-0000CA3D0000}"/>
    <cellStyle name="Normal 194 7 3" xfId="15819" xr:uid="{00000000-0005-0000-0000-0000CB3D0000}"/>
    <cellStyle name="Normal 194 8" xfId="15820" xr:uid="{00000000-0005-0000-0000-0000CC3D0000}"/>
    <cellStyle name="Normal 195" xfId="15821" xr:uid="{00000000-0005-0000-0000-0000CD3D0000}"/>
    <cellStyle name="Normal 195 2" xfId="15822" xr:uid="{00000000-0005-0000-0000-0000CE3D0000}"/>
    <cellStyle name="Normal 195 2 2" xfId="15823" xr:uid="{00000000-0005-0000-0000-0000CF3D0000}"/>
    <cellStyle name="Normal 195 2 2 2" xfId="15824" xr:uid="{00000000-0005-0000-0000-0000D03D0000}"/>
    <cellStyle name="Normal 195 2 2 2 2" xfId="15825" xr:uid="{00000000-0005-0000-0000-0000D13D0000}"/>
    <cellStyle name="Normal 195 2 2 3" xfId="15826" xr:uid="{00000000-0005-0000-0000-0000D23D0000}"/>
    <cellStyle name="Normal 195 2 2 3 2" xfId="15827" xr:uid="{00000000-0005-0000-0000-0000D33D0000}"/>
    <cellStyle name="Normal 195 2 2 3 2 2" xfId="15828" xr:uid="{00000000-0005-0000-0000-0000D43D0000}"/>
    <cellStyle name="Normal 195 2 2 3 3" xfId="15829" xr:uid="{00000000-0005-0000-0000-0000D53D0000}"/>
    <cellStyle name="Normal 195 2 2 4" xfId="15830" xr:uid="{00000000-0005-0000-0000-0000D63D0000}"/>
    <cellStyle name="Normal 195 2 2 4 2" xfId="15831" xr:uid="{00000000-0005-0000-0000-0000D73D0000}"/>
    <cellStyle name="Normal 195 2 2 4 2 2" xfId="15832" xr:uid="{00000000-0005-0000-0000-0000D83D0000}"/>
    <cellStyle name="Normal 195 2 2 4 3" xfId="15833" xr:uid="{00000000-0005-0000-0000-0000D93D0000}"/>
    <cellStyle name="Normal 195 2 2 5" xfId="15834" xr:uid="{00000000-0005-0000-0000-0000DA3D0000}"/>
    <cellStyle name="Normal 195 2 3" xfId="15835" xr:uid="{00000000-0005-0000-0000-0000DB3D0000}"/>
    <cellStyle name="Normal 195 2 3 2" xfId="15836" xr:uid="{00000000-0005-0000-0000-0000DC3D0000}"/>
    <cellStyle name="Normal 195 2 3 2 2" xfId="15837" xr:uid="{00000000-0005-0000-0000-0000DD3D0000}"/>
    <cellStyle name="Normal 195 2 3 2 2 2" xfId="15838" xr:uid="{00000000-0005-0000-0000-0000DE3D0000}"/>
    <cellStyle name="Normal 195 2 3 2 3" xfId="15839" xr:uid="{00000000-0005-0000-0000-0000DF3D0000}"/>
    <cellStyle name="Normal 195 2 3 2 3 2" xfId="15840" xr:uid="{00000000-0005-0000-0000-0000E03D0000}"/>
    <cellStyle name="Normal 195 2 3 2 3 2 2" xfId="15841" xr:uid="{00000000-0005-0000-0000-0000E13D0000}"/>
    <cellStyle name="Normal 195 2 3 2 3 3" xfId="15842" xr:uid="{00000000-0005-0000-0000-0000E23D0000}"/>
    <cellStyle name="Normal 195 2 3 2 4" xfId="15843" xr:uid="{00000000-0005-0000-0000-0000E33D0000}"/>
    <cellStyle name="Normal 195 2 3 3" xfId="15844" xr:uid="{00000000-0005-0000-0000-0000E43D0000}"/>
    <cellStyle name="Normal 195 2 3 3 2" xfId="15845" xr:uid="{00000000-0005-0000-0000-0000E53D0000}"/>
    <cellStyle name="Normal 195 2 3 3 2 2" xfId="15846" xr:uid="{00000000-0005-0000-0000-0000E63D0000}"/>
    <cellStyle name="Normal 195 2 3 3 3" xfId="15847" xr:uid="{00000000-0005-0000-0000-0000E73D0000}"/>
    <cellStyle name="Normal 195 2 3 4" xfId="15848" xr:uid="{00000000-0005-0000-0000-0000E83D0000}"/>
    <cellStyle name="Normal 195 2 3 4 2" xfId="15849" xr:uid="{00000000-0005-0000-0000-0000E93D0000}"/>
    <cellStyle name="Normal 195 2 3 4 2 2" xfId="15850" xr:uid="{00000000-0005-0000-0000-0000EA3D0000}"/>
    <cellStyle name="Normal 195 2 3 4 3" xfId="15851" xr:uid="{00000000-0005-0000-0000-0000EB3D0000}"/>
    <cellStyle name="Normal 195 2 3 5" xfId="15852" xr:uid="{00000000-0005-0000-0000-0000EC3D0000}"/>
    <cellStyle name="Normal 195 2 3 5 2" xfId="15853" xr:uid="{00000000-0005-0000-0000-0000ED3D0000}"/>
    <cellStyle name="Normal 195 2 3 5 2 2" xfId="15854" xr:uid="{00000000-0005-0000-0000-0000EE3D0000}"/>
    <cellStyle name="Normal 195 2 3 5 3" xfId="15855" xr:uid="{00000000-0005-0000-0000-0000EF3D0000}"/>
    <cellStyle name="Normal 195 2 3 6" xfId="15856" xr:uid="{00000000-0005-0000-0000-0000F03D0000}"/>
    <cellStyle name="Normal 195 2 4" xfId="15857" xr:uid="{00000000-0005-0000-0000-0000F13D0000}"/>
    <cellStyle name="Normal 195 2 4 2" xfId="15858" xr:uid="{00000000-0005-0000-0000-0000F23D0000}"/>
    <cellStyle name="Normal 195 2 4 2 2" xfId="15859" xr:uid="{00000000-0005-0000-0000-0000F33D0000}"/>
    <cellStyle name="Normal 195 2 4 3" xfId="15860" xr:uid="{00000000-0005-0000-0000-0000F43D0000}"/>
    <cellStyle name="Normal 195 2 5" xfId="15861" xr:uid="{00000000-0005-0000-0000-0000F53D0000}"/>
    <cellStyle name="Normal 195 2 5 2" xfId="15862" xr:uid="{00000000-0005-0000-0000-0000F63D0000}"/>
    <cellStyle name="Normal 195 2 5 2 2" xfId="15863" xr:uid="{00000000-0005-0000-0000-0000F73D0000}"/>
    <cellStyle name="Normal 195 2 5 3" xfId="15864" xr:uid="{00000000-0005-0000-0000-0000F83D0000}"/>
    <cellStyle name="Normal 195 2 6" xfId="15865" xr:uid="{00000000-0005-0000-0000-0000F93D0000}"/>
    <cellStyle name="Normal 195 2 6 2" xfId="15866" xr:uid="{00000000-0005-0000-0000-0000FA3D0000}"/>
    <cellStyle name="Normal 195 2 6 2 2" xfId="15867" xr:uid="{00000000-0005-0000-0000-0000FB3D0000}"/>
    <cellStyle name="Normal 195 2 6 3" xfId="15868" xr:uid="{00000000-0005-0000-0000-0000FC3D0000}"/>
    <cellStyle name="Normal 195 2 7" xfId="15869" xr:uid="{00000000-0005-0000-0000-0000FD3D0000}"/>
    <cellStyle name="Normal 195 3" xfId="15870" xr:uid="{00000000-0005-0000-0000-0000FE3D0000}"/>
    <cellStyle name="Normal 195 3 2" xfId="15871" xr:uid="{00000000-0005-0000-0000-0000FF3D0000}"/>
    <cellStyle name="Normal 195 3 2 2" xfId="15872" xr:uid="{00000000-0005-0000-0000-0000003E0000}"/>
    <cellStyle name="Normal 195 3 3" xfId="15873" xr:uid="{00000000-0005-0000-0000-0000013E0000}"/>
    <cellStyle name="Normal 195 3 3 2" xfId="15874" xr:uid="{00000000-0005-0000-0000-0000023E0000}"/>
    <cellStyle name="Normal 195 3 3 2 2" xfId="15875" xr:uid="{00000000-0005-0000-0000-0000033E0000}"/>
    <cellStyle name="Normal 195 3 3 3" xfId="15876" xr:uid="{00000000-0005-0000-0000-0000043E0000}"/>
    <cellStyle name="Normal 195 3 4" xfId="15877" xr:uid="{00000000-0005-0000-0000-0000053E0000}"/>
    <cellStyle name="Normal 195 3 4 2" xfId="15878" xr:uid="{00000000-0005-0000-0000-0000063E0000}"/>
    <cellStyle name="Normal 195 3 4 2 2" xfId="15879" xr:uid="{00000000-0005-0000-0000-0000073E0000}"/>
    <cellStyle name="Normal 195 3 4 3" xfId="15880" xr:uid="{00000000-0005-0000-0000-0000083E0000}"/>
    <cellStyle name="Normal 195 3 5" xfId="15881" xr:uid="{00000000-0005-0000-0000-0000093E0000}"/>
    <cellStyle name="Normal 195 4" xfId="15882" xr:uid="{00000000-0005-0000-0000-00000A3E0000}"/>
    <cellStyle name="Normal 195 4 2" xfId="15883" xr:uid="{00000000-0005-0000-0000-00000B3E0000}"/>
    <cellStyle name="Normal 195 4 2 2" xfId="15884" xr:uid="{00000000-0005-0000-0000-00000C3E0000}"/>
    <cellStyle name="Normal 195 4 2 2 2" xfId="15885" xr:uid="{00000000-0005-0000-0000-00000D3E0000}"/>
    <cellStyle name="Normal 195 4 2 3" xfId="15886" xr:uid="{00000000-0005-0000-0000-00000E3E0000}"/>
    <cellStyle name="Normal 195 4 2 3 2" xfId="15887" xr:uid="{00000000-0005-0000-0000-00000F3E0000}"/>
    <cellStyle name="Normal 195 4 2 3 2 2" xfId="15888" xr:uid="{00000000-0005-0000-0000-0000103E0000}"/>
    <cellStyle name="Normal 195 4 2 3 3" xfId="15889" xr:uid="{00000000-0005-0000-0000-0000113E0000}"/>
    <cellStyle name="Normal 195 4 2 4" xfId="15890" xr:uid="{00000000-0005-0000-0000-0000123E0000}"/>
    <cellStyle name="Normal 195 4 3" xfId="15891" xr:uid="{00000000-0005-0000-0000-0000133E0000}"/>
    <cellStyle name="Normal 195 4 3 2" xfId="15892" xr:uid="{00000000-0005-0000-0000-0000143E0000}"/>
    <cellStyle name="Normal 195 4 3 2 2" xfId="15893" xr:uid="{00000000-0005-0000-0000-0000153E0000}"/>
    <cellStyle name="Normal 195 4 3 3" xfId="15894" xr:uid="{00000000-0005-0000-0000-0000163E0000}"/>
    <cellStyle name="Normal 195 4 4" xfId="15895" xr:uid="{00000000-0005-0000-0000-0000173E0000}"/>
    <cellStyle name="Normal 195 4 4 2" xfId="15896" xr:uid="{00000000-0005-0000-0000-0000183E0000}"/>
    <cellStyle name="Normal 195 4 4 2 2" xfId="15897" xr:uid="{00000000-0005-0000-0000-0000193E0000}"/>
    <cellStyle name="Normal 195 4 4 3" xfId="15898" xr:uid="{00000000-0005-0000-0000-00001A3E0000}"/>
    <cellStyle name="Normal 195 4 5" xfId="15899" xr:uid="{00000000-0005-0000-0000-00001B3E0000}"/>
    <cellStyle name="Normal 195 4 5 2" xfId="15900" xr:uid="{00000000-0005-0000-0000-00001C3E0000}"/>
    <cellStyle name="Normal 195 4 5 2 2" xfId="15901" xr:uid="{00000000-0005-0000-0000-00001D3E0000}"/>
    <cellStyle name="Normal 195 4 5 3" xfId="15902" xr:uid="{00000000-0005-0000-0000-00001E3E0000}"/>
    <cellStyle name="Normal 195 4 6" xfId="15903" xr:uid="{00000000-0005-0000-0000-00001F3E0000}"/>
    <cellStyle name="Normal 195 5" xfId="15904" xr:uid="{00000000-0005-0000-0000-0000203E0000}"/>
    <cellStyle name="Normal 195 5 2" xfId="15905" xr:uid="{00000000-0005-0000-0000-0000213E0000}"/>
    <cellStyle name="Normal 195 5 2 2" xfId="15906" xr:uid="{00000000-0005-0000-0000-0000223E0000}"/>
    <cellStyle name="Normal 195 5 3" xfId="15907" xr:uid="{00000000-0005-0000-0000-0000233E0000}"/>
    <cellStyle name="Normal 195 6" xfId="15908" xr:uid="{00000000-0005-0000-0000-0000243E0000}"/>
    <cellStyle name="Normal 195 6 2" xfId="15909" xr:uid="{00000000-0005-0000-0000-0000253E0000}"/>
    <cellStyle name="Normal 195 6 2 2" xfId="15910" xr:uid="{00000000-0005-0000-0000-0000263E0000}"/>
    <cellStyle name="Normal 195 6 3" xfId="15911" xr:uid="{00000000-0005-0000-0000-0000273E0000}"/>
    <cellStyle name="Normal 195 7" xfId="15912" xr:uid="{00000000-0005-0000-0000-0000283E0000}"/>
    <cellStyle name="Normal 195 7 2" xfId="15913" xr:uid="{00000000-0005-0000-0000-0000293E0000}"/>
    <cellStyle name="Normal 195 7 2 2" xfId="15914" xr:uid="{00000000-0005-0000-0000-00002A3E0000}"/>
    <cellStyle name="Normal 195 7 3" xfId="15915" xr:uid="{00000000-0005-0000-0000-00002B3E0000}"/>
    <cellStyle name="Normal 195 8" xfId="15916" xr:uid="{00000000-0005-0000-0000-00002C3E0000}"/>
    <cellStyle name="Normal 196" xfId="15917" xr:uid="{00000000-0005-0000-0000-00002D3E0000}"/>
    <cellStyle name="Normal 196 2" xfId="15918" xr:uid="{00000000-0005-0000-0000-00002E3E0000}"/>
    <cellStyle name="Normal 196 2 2" xfId="15919" xr:uid="{00000000-0005-0000-0000-00002F3E0000}"/>
    <cellStyle name="Normal 196 2 2 2" xfId="15920" xr:uid="{00000000-0005-0000-0000-0000303E0000}"/>
    <cellStyle name="Normal 196 2 2 2 2" xfId="15921" xr:uid="{00000000-0005-0000-0000-0000313E0000}"/>
    <cellStyle name="Normal 196 2 2 3" xfId="15922" xr:uid="{00000000-0005-0000-0000-0000323E0000}"/>
    <cellStyle name="Normal 196 2 2 3 2" xfId="15923" xr:uid="{00000000-0005-0000-0000-0000333E0000}"/>
    <cellStyle name="Normal 196 2 2 3 2 2" xfId="15924" xr:uid="{00000000-0005-0000-0000-0000343E0000}"/>
    <cellStyle name="Normal 196 2 2 3 3" xfId="15925" xr:uid="{00000000-0005-0000-0000-0000353E0000}"/>
    <cellStyle name="Normal 196 2 2 4" xfId="15926" xr:uid="{00000000-0005-0000-0000-0000363E0000}"/>
    <cellStyle name="Normal 196 2 2 4 2" xfId="15927" xr:uid="{00000000-0005-0000-0000-0000373E0000}"/>
    <cellStyle name="Normal 196 2 2 4 2 2" xfId="15928" xr:uid="{00000000-0005-0000-0000-0000383E0000}"/>
    <cellStyle name="Normal 196 2 2 4 3" xfId="15929" xr:uid="{00000000-0005-0000-0000-0000393E0000}"/>
    <cellStyle name="Normal 196 2 2 5" xfId="15930" xr:uid="{00000000-0005-0000-0000-00003A3E0000}"/>
    <cellStyle name="Normal 196 2 3" xfId="15931" xr:uid="{00000000-0005-0000-0000-00003B3E0000}"/>
    <cellStyle name="Normal 196 2 3 2" xfId="15932" xr:uid="{00000000-0005-0000-0000-00003C3E0000}"/>
    <cellStyle name="Normal 196 2 3 2 2" xfId="15933" xr:uid="{00000000-0005-0000-0000-00003D3E0000}"/>
    <cellStyle name="Normal 196 2 3 2 2 2" xfId="15934" xr:uid="{00000000-0005-0000-0000-00003E3E0000}"/>
    <cellStyle name="Normal 196 2 3 2 3" xfId="15935" xr:uid="{00000000-0005-0000-0000-00003F3E0000}"/>
    <cellStyle name="Normal 196 2 3 2 3 2" xfId="15936" xr:uid="{00000000-0005-0000-0000-0000403E0000}"/>
    <cellStyle name="Normal 196 2 3 2 3 2 2" xfId="15937" xr:uid="{00000000-0005-0000-0000-0000413E0000}"/>
    <cellStyle name="Normal 196 2 3 2 3 3" xfId="15938" xr:uid="{00000000-0005-0000-0000-0000423E0000}"/>
    <cellStyle name="Normal 196 2 3 2 4" xfId="15939" xr:uid="{00000000-0005-0000-0000-0000433E0000}"/>
    <cellStyle name="Normal 196 2 3 3" xfId="15940" xr:uid="{00000000-0005-0000-0000-0000443E0000}"/>
    <cellStyle name="Normal 196 2 3 3 2" xfId="15941" xr:uid="{00000000-0005-0000-0000-0000453E0000}"/>
    <cellStyle name="Normal 196 2 3 3 2 2" xfId="15942" xr:uid="{00000000-0005-0000-0000-0000463E0000}"/>
    <cellStyle name="Normal 196 2 3 3 3" xfId="15943" xr:uid="{00000000-0005-0000-0000-0000473E0000}"/>
    <cellStyle name="Normal 196 2 3 4" xfId="15944" xr:uid="{00000000-0005-0000-0000-0000483E0000}"/>
    <cellStyle name="Normal 196 2 3 4 2" xfId="15945" xr:uid="{00000000-0005-0000-0000-0000493E0000}"/>
    <cellStyle name="Normal 196 2 3 4 2 2" xfId="15946" xr:uid="{00000000-0005-0000-0000-00004A3E0000}"/>
    <cellStyle name="Normal 196 2 3 4 3" xfId="15947" xr:uid="{00000000-0005-0000-0000-00004B3E0000}"/>
    <cellStyle name="Normal 196 2 3 5" xfId="15948" xr:uid="{00000000-0005-0000-0000-00004C3E0000}"/>
    <cellStyle name="Normal 196 2 3 5 2" xfId="15949" xr:uid="{00000000-0005-0000-0000-00004D3E0000}"/>
    <cellStyle name="Normal 196 2 3 5 2 2" xfId="15950" xr:uid="{00000000-0005-0000-0000-00004E3E0000}"/>
    <cellStyle name="Normal 196 2 3 5 3" xfId="15951" xr:uid="{00000000-0005-0000-0000-00004F3E0000}"/>
    <cellStyle name="Normal 196 2 3 6" xfId="15952" xr:uid="{00000000-0005-0000-0000-0000503E0000}"/>
    <cellStyle name="Normal 196 2 4" xfId="15953" xr:uid="{00000000-0005-0000-0000-0000513E0000}"/>
    <cellStyle name="Normal 196 2 4 2" xfId="15954" xr:uid="{00000000-0005-0000-0000-0000523E0000}"/>
    <cellStyle name="Normal 196 2 4 2 2" xfId="15955" xr:uid="{00000000-0005-0000-0000-0000533E0000}"/>
    <cellStyle name="Normal 196 2 4 3" xfId="15956" xr:uid="{00000000-0005-0000-0000-0000543E0000}"/>
    <cellStyle name="Normal 196 2 5" xfId="15957" xr:uid="{00000000-0005-0000-0000-0000553E0000}"/>
    <cellStyle name="Normal 196 2 5 2" xfId="15958" xr:uid="{00000000-0005-0000-0000-0000563E0000}"/>
    <cellStyle name="Normal 196 2 5 2 2" xfId="15959" xr:uid="{00000000-0005-0000-0000-0000573E0000}"/>
    <cellStyle name="Normal 196 2 5 3" xfId="15960" xr:uid="{00000000-0005-0000-0000-0000583E0000}"/>
    <cellStyle name="Normal 196 2 6" xfId="15961" xr:uid="{00000000-0005-0000-0000-0000593E0000}"/>
    <cellStyle name="Normal 196 2 6 2" xfId="15962" xr:uid="{00000000-0005-0000-0000-00005A3E0000}"/>
    <cellStyle name="Normal 196 2 6 2 2" xfId="15963" xr:uid="{00000000-0005-0000-0000-00005B3E0000}"/>
    <cellStyle name="Normal 196 2 6 3" xfId="15964" xr:uid="{00000000-0005-0000-0000-00005C3E0000}"/>
    <cellStyle name="Normal 196 2 7" xfId="15965" xr:uid="{00000000-0005-0000-0000-00005D3E0000}"/>
    <cellStyle name="Normal 196 3" xfId="15966" xr:uid="{00000000-0005-0000-0000-00005E3E0000}"/>
    <cellStyle name="Normal 196 3 2" xfId="15967" xr:uid="{00000000-0005-0000-0000-00005F3E0000}"/>
    <cellStyle name="Normal 196 3 2 2" xfId="15968" xr:uid="{00000000-0005-0000-0000-0000603E0000}"/>
    <cellStyle name="Normal 196 3 3" xfId="15969" xr:uid="{00000000-0005-0000-0000-0000613E0000}"/>
    <cellStyle name="Normal 196 3 3 2" xfId="15970" xr:uid="{00000000-0005-0000-0000-0000623E0000}"/>
    <cellStyle name="Normal 196 3 3 2 2" xfId="15971" xr:uid="{00000000-0005-0000-0000-0000633E0000}"/>
    <cellStyle name="Normal 196 3 3 3" xfId="15972" xr:uid="{00000000-0005-0000-0000-0000643E0000}"/>
    <cellStyle name="Normal 196 3 4" xfId="15973" xr:uid="{00000000-0005-0000-0000-0000653E0000}"/>
    <cellStyle name="Normal 196 3 4 2" xfId="15974" xr:uid="{00000000-0005-0000-0000-0000663E0000}"/>
    <cellStyle name="Normal 196 3 4 2 2" xfId="15975" xr:uid="{00000000-0005-0000-0000-0000673E0000}"/>
    <cellStyle name="Normal 196 3 4 3" xfId="15976" xr:uid="{00000000-0005-0000-0000-0000683E0000}"/>
    <cellStyle name="Normal 196 3 5" xfId="15977" xr:uid="{00000000-0005-0000-0000-0000693E0000}"/>
    <cellStyle name="Normal 196 4" xfId="15978" xr:uid="{00000000-0005-0000-0000-00006A3E0000}"/>
    <cellStyle name="Normal 196 4 2" xfId="15979" xr:uid="{00000000-0005-0000-0000-00006B3E0000}"/>
    <cellStyle name="Normal 196 4 2 2" xfId="15980" xr:uid="{00000000-0005-0000-0000-00006C3E0000}"/>
    <cellStyle name="Normal 196 4 2 2 2" xfId="15981" xr:uid="{00000000-0005-0000-0000-00006D3E0000}"/>
    <cellStyle name="Normal 196 4 2 3" xfId="15982" xr:uid="{00000000-0005-0000-0000-00006E3E0000}"/>
    <cellStyle name="Normal 196 4 2 3 2" xfId="15983" xr:uid="{00000000-0005-0000-0000-00006F3E0000}"/>
    <cellStyle name="Normal 196 4 2 3 2 2" xfId="15984" xr:uid="{00000000-0005-0000-0000-0000703E0000}"/>
    <cellStyle name="Normal 196 4 2 3 3" xfId="15985" xr:uid="{00000000-0005-0000-0000-0000713E0000}"/>
    <cellStyle name="Normal 196 4 2 4" xfId="15986" xr:uid="{00000000-0005-0000-0000-0000723E0000}"/>
    <cellStyle name="Normal 196 4 3" xfId="15987" xr:uid="{00000000-0005-0000-0000-0000733E0000}"/>
    <cellStyle name="Normal 196 4 3 2" xfId="15988" xr:uid="{00000000-0005-0000-0000-0000743E0000}"/>
    <cellStyle name="Normal 196 4 3 2 2" xfId="15989" xr:uid="{00000000-0005-0000-0000-0000753E0000}"/>
    <cellStyle name="Normal 196 4 3 3" xfId="15990" xr:uid="{00000000-0005-0000-0000-0000763E0000}"/>
    <cellStyle name="Normal 196 4 4" xfId="15991" xr:uid="{00000000-0005-0000-0000-0000773E0000}"/>
    <cellStyle name="Normal 196 4 4 2" xfId="15992" xr:uid="{00000000-0005-0000-0000-0000783E0000}"/>
    <cellStyle name="Normal 196 4 4 2 2" xfId="15993" xr:uid="{00000000-0005-0000-0000-0000793E0000}"/>
    <cellStyle name="Normal 196 4 4 3" xfId="15994" xr:uid="{00000000-0005-0000-0000-00007A3E0000}"/>
    <cellStyle name="Normal 196 4 5" xfId="15995" xr:uid="{00000000-0005-0000-0000-00007B3E0000}"/>
    <cellStyle name="Normal 196 4 5 2" xfId="15996" xr:uid="{00000000-0005-0000-0000-00007C3E0000}"/>
    <cellStyle name="Normal 196 4 5 2 2" xfId="15997" xr:uid="{00000000-0005-0000-0000-00007D3E0000}"/>
    <cellStyle name="Normal 196 4 5 3" xfId="15998" xr:uid="{00000000-0005-0000-0000-00007E3E0000}"/>
    <cellStyle name="Normal 196 4 6" xfId="15999" xr:uid="{00000000-0005-0000-0000-00007F3E0000}"/>
    <cellStyle name="Normal 196 5" xfId="16000" xr:uid="{00000000-0005-0000-0000-0000803E0000}"/>
    <cellStyle name="Normal 196 5 2" xfId="16001" xr:uid="{00000000-0005-0000-0000-0000813E0000}"/>
    <cellStyle name="Normal 196 5 2 2" xfId="16002" xr:uid="{00000000-0005-0000-0000-0000823E0000}"/>
    <cellStyle name="Normal 196 5 3" xfId="16003" xr:uid="{00000000-0005-0000-0000-0000833E0000}"/>
    <cellStyle name="Normal 196 6" xfId="16004" xr:uid="{00000000-0005-0000-0000-0000843E0000}"/>
    <cellStyle name="Normal 196 6 2" xfId="16005" xr:uid="{00000000-0005-0000-0000-0000853E0000}"/>
    <cellStyle name="Normal 196 6 2 2" xfId="16006" xr:uid="{00000000-0005-0000-0000-0000863E0000}"/>
    <cellStyle name="Normal 196 6 3" xfId="16007" xr:uid="{00000000-0005-0000-0000-0000873E0000}"/>
    <cellStyle name="Normal 196 7" xfId="16008" xr:uid="{00000000-0005-0000-0000-0000883E0000}"/>
    <cellStyle name="Normal 196 7 2" xfId="16009" xr:uid="{00000000-0005-0000-0000-0000893E0000}"/>
    <cellStyle name="Normal 196 7 2 2" xfId="16010" xr:uid="{00000000-0005-0000-0000-00008A3E0000}"/>
    <cellStyle name="Normal 196 7 3" xfId="16011" xr:uid="{00000000-0005-0000-0000-00008B3E0000}"/>
    <cellStyle name="Normal 196 8" xfId="16012" xr:uid="{00000000-0005-0000-0000-00008C3E0000}"/>
    <cellStyle name="Normal 197" xfId="16013" xr:uid="{00000000-0005-0000-0000-00008D3E0000}"/>
    <cellStyle name="Normal 197 2" xfId="16014" xr:uid="{00000000-0005-0000-0000-00008E3E0000}"/>
    <cellStyle name="Normal 197 2 2" xfId="16015" xr:uid="{00000000-0005-0000-0000-00008F3E0000}"/>
    <cellStyle name="Normal 197 2 2 2" xfId="16016" xr:uid="{00000000-0005-0000-0000-0000903E0000}"/>
    <cellStyle name="Normal 197 2 2 2 2" xfId="16017" xr:uid="{00000000-0005-0000-0000-0000913E0000}"/>
    <cellStyle name="Normal 197 2 2 3" xfId="16018" xr:uid="{00000000-0005-0000-0000-0000923E0000}"/>
    <cellStyle name="Normal 197 2 2 3 2" xfId="16019" xr:uid="{00000000-0005-0000-0000-0000933E0000}"/>
    <cellStyle name="Normal 197 2 2 3 2 2" xfId="16020" xr:uid="{00000000-0005-0000-0000-0000943E0000}"/>
    <cellStyle name="Normal 197 2 2 3 3" xfId="16021" xr:uid="{00000000-0005-0000-0000-0000953E0000}"/>
    <cellStyle name="Normal 197 2 2 4" xfId="16022" xr:uid="{00000000-0005-0000-0000-0000963E0000}"/>
    <cellStyle name="Normal 197 2 2 4 2" xfId="16023" xr:uid="{00000000-0005-0000-0000-0000973E0000}"/>
    <cellStyle name="Normal 197 2 2 4 2 2" xfId="16024" xr:uid="{00000000-0005-0000-0000-0000983E0000}"/>
    <cellStyle name="Normal 197 2 2 4 3" xfId="16025" xr:uid="{00000000-0005-0000-0000-0000993E0000}"/>
    <cellStyle name="Normal 197 2 2 5" xfId="16026" xr:uid="{00000000-0005-0000-0000-00009A3E0000}"/>
    <cellStyle name="Normal 197 2 3" xfId="16027" xr:uid="{00000000-0005-0000-0000-00009B3E0000}"/>
    <cellStyle name="Normal 197 2 3 2" xfId="16028" xr:uid="{00000000-0005-0000-0000-00009C3E0000}"/>
    <cellStyle name="Normal 197 2 3 2 2" xfId="16029" xr:uid="{00000000-0005-0000-0000-00009D3E0000}"/>
    <cellStyle name="Normal 197 2 3 2 2 2" xfId="16030" xr:uid="{00000000-0005-0000-0000-00009E3E0000}"/>
    <cellStyle name="Normal 197 2 3 2 3" xfId="16031" xr:uid="{00000000-0005-0000-0000-00009F3E0000}"/>
    <cellStyle name="Normal 197 2 3 2 3 2" xfId="16032" xr:uid="{00000000-0005-0000-0000-0000A03E0000}"/>
    <cellStyle name="Normal 197 2 3 2 3 2 2" xfId="16033" xr:uid="{00000000-0005-0000-0000-0000A13E0000}"/>
    <cellStyle name="Normal 197 2 3 2 3 3" xfId="16034" xr:uid="{00000000-0005-0000-0000-0000A23E0000}"/>
    <cellStyle name="Normal 197 2 3 2 4" xfId="16035" xr:uid="{00000000-0005-0000-0000-0000A33E0000}"/>
    <cellStyle name="Normal 197 2 3 3" xfId="16036" xr:uid="{00000000-0005-0000-0000-0000A43E0000}"/>
    <cellStyle name="Normal 197 2 3 3 2" xfId="16037" xr:uid="{00000000-0005-0000-0000-0000A53E0000}"/>
    <cellStyle name="Normal 197 2 3 3 2 2" xfId="16038" xr:uid="{00000000-0005-0000-0000-0000A63E0000}"/>
    <cellStyle name="Normal 197 2 3 3 3" xfId="16039" xr:uid="{00000000-0005-0000-0000-0000A73E0000}"/>
    <cellStyle name="Normal 197 2 3 4" xfId="16040" xr:uid="{00000000-0005-0000-0000-0000A83E0000}"/>
    <cellStyle name="Normal 197 2 3 4 2" xfId="16041" xr:uid="{00000000-0005-0000-0000-0000A93E0000}"/>
    <cellStyle name="Normal 197 2 3 4 2 2" xfId="16042" xr:uid="{00000000-0005-0000-0000-0000AA3E0000}"/>
    <cellStyle name="Normal 197 2 3 4 3" xfId="16043" xr:uid="{00000000-0005-0000-0000-0000AB3E0000}"/>
    <cellStyle name="Normal 197 2 3 5" xfId="16044" xr:uid="{00000000-0005-0000-0000-0000AC3E0000}"/>
    <cellStyle name="Normal 197 2 3 5 2" xfId="16045" xr:uid="{00000000-0005-0000-0000-0000AD3E0000}"/>
    <cellStyle name="Normal 197 2 3 5 2 2" xfId="16046" xr:uid="{00000000-0005-0000-0000-0000AE3E0000}"/>
    <cellStyle name="Normal 197 2 3 5 3" xfId="16047" xr:uid="{00000000-0005-0000-0000-0000AF3E0000}"/>
    <cellStyle name="Normal 197 2 3 6" xfId="16048" xr:uid="{00000000-0005-0000-0000-0000B03E0000}"/>
    <cellStyle name="Normal 197 2 4" xfId="16049" xr:uid="{00000000-0005-0000-0000-0000B13E0000}"/>
    <cellStyle name="Normal 197 2 4 2" xfId="16050" xr:uid="{00000000-0005-0000-0000-0000B23E0000}"/>
    <cellStyle name="Normal 197 2 4 2 2" xfId="16051" xr:uid="{00000000-0005-0000-0000-0000B33E0000}"/>
    <cellStyle name="Normal 197 2 4 3" xfId="16052" xr:uid="{00000000-0005-0000-0000-0000B43E0000}"/>
    <cellStyle name="Normal 197 2 5" xfId="16053" xr:uid="{00000000-0005-0000-0000-0000B53E0000}"/>
    <cellStyle name="Normal 197 2 5 2" xfId="16054" xr:uid="{00000000-0005-0000-0000-0000B63E0000}"/>
    <cellStyle name="Normal 197 2 5 2 2" xfId="16055" xr:uid="{00000000-0005-0000-0000-0000B73E0000}"/>
    <cellStyle name="Normal 197 2 5 3" xfId="16056" xr:uid="{00000000-0005-0000-0000-0000B83E0000}"/>
    <cellStyle name="Normal 197 2 6" xfId="16057" xr:uid="{00000000-0005-0000-0000-0000B93E0000}"/>
    <cellStyle name="Normal 197 2 6 2" xfId="16058" xr:uid="{00000000-0005-0000-0000-0000BA3E0000}"/>
    <cellStyle name="Normal 197 2 6 2 2" xfId="16059" xr:uid="{00000000-0005-0000-0000-0000BB3E0000}"/>
    <cellStyle name="Normal 197 2 6 3" xfId="16060" xr:uid="{00000000-0005-0000-0000-0000BC3E0000}"/>
    <cellStyle name="Normal 197 2 7" xfId="16061" xr:uid="{00000000-0005-0000-0000-0000BD3E0000}"/>
    <cellStyle name="Normal 197 3" xfId="16062" xr:uid="{00000000-0005-0000-0000-0000BE3E0000}"/>
    <cellStyle name="Normal 197 3 2" xfId="16063" xr:uid="{00000000-0005-0000-0000-0000BF3E0000}"/>
    <cellStyle name="Normal 197 3 2 2" xfId="16064" xr:uid="{00000000-0005-0000-0000-0000C03E0000}"/>
    <cellStyle name="Normal 197 3 3" xfId="16065" xr:uid="{00000000-0005-0000-0000-0000C13E0000}"/>
    <cellStyle name="Normal 197 3 3 2" xfId="16066" xr:uid="{00000000-0005-0000-0000-0000C23E0000}"/>
    <cellStyle name="Normal 197 3 3 2 2" xfId="16067" xr:uid="{00000000-0005-0000-0000-0000C33E0000}"/>
    <cellStyle name="Normal 197 3 3 3" xfId="16068" xr:uid="{00000000-0005-0000-0000-0000C43E0000}"/>
    <cellStyle name="Normal 197 3 4" xfId="16069" xr:uid="{00000000-0005-0000-0000-0000C53E0000}"/>
    <cellStyle name="Normal 197 3 4 2" xfId="16070" xr:uid="{00000000-0005-0000-0000-0000C63E0000}"/>
    <cellStyle name="Normal 197 3 4 2 2" xfId="16071" xr:uid="{00000000-0005-0000-0000-0000C73E0000}"/>
    <cellStyle name="Normal 197 3 4 3" xfId="16072" xr:uid="{00000000-0005-0000-0000-0000C83E0000}"/>
    <cellStyle name="Normal 197 3 5" xfId="16073" xr:uid="{00000000-0005-0000-0000-0000C93E0000}"/>
    <cellStyle name="Normal 197 4" xfId="16074" xr:uid="{00000000-0005-0000-0000-0000CA3E0000}"/>
    <cellStyle name="Normal 197 4 2" xfId="16075" xr:uid="{00000000-0005-0000-0000-0000CB3E0000}"/>
    <cellStyle name="Normal 197 4 2 2" xfId="16076" xr:uid="{00000000-0005-0000-0000-0000CC3E0000}"/>
    <cellStyle name="Normal 197 4 2 2 2" xfId="16077" xr:uid="{00000000-0005-0000-0000-0000CD3E0000}"/>
    <cellStyle name="Normal 197 4 2 3" xfId="16078" xr:uid="{00000000-0005-0000-0000-0000CE3E0000}"/>
    <cellStyle name="Normal 197 4 2 3 2" xfId="16079" xr:uid="{00000000-0005-0000-0000-0000CF3E0000}"/>
    <cellStyle name="Normal 197 4 2 3 2 2" xfId="16080" xr:uid="{00000000-0005-0000-0000-0000D03E0000}"/>
    <cellStyle name="Normal 197 4 2 3 3" xfId="16081" xr:uid="{00000000-0005-0000-0000-0000D13E0000}"/>
    <cellStyle name="Normal 197 4 2 4" xfId="16082" xr:uid="{00000000-0005-0000-0000-0000D23E0000}"/>
    <cellStyle name="Normal 197 4 3" xfId="16083" xr:uid="{00000000-0005-0000-0000-0000D33E0000}"/>
    <cellStyle name="Normal 197 4 3 2" xfId="16084" xr:uid="{00000000-0005-0000-0000-0000D43E0000}"/>
    <cellStyle name="Normal 197 4 3 2 2" xfId="16085" xr:uid="{00000000-0005-0000-0000-0000D53E0000}"/>
    <cellStyle name="Normal 197 4 3 3" xfId="16086" xr:uid="{00000000-0005-0000-0000-0000D63E0000}"/>
    <cellStyle name="Normal 197 4 4" xfId="16087" xr:uid="{00000000-0005-0000-0000-0000D73E0000}"/>
    <cellStyle name="Normal 197 4 4 2" xfId="16088" xr:uid="{00000000-0005-0000-0000-0000D83E0000}"/>
    <cellStyle name="Normal 197 4 4 2 2" xfId="16089" xr:uid="{00000000-0005-0000-0000-0000D93E0000}"/>
    <cellStyle name="Normal 197 4 4 3" xfId="16090" xr:uid="{00000000-0005-0000-0000-0000DA3E0000}"/>
    <cellStyle name="Normal 197 4 5" xfId="16091" xr:uid="{00000000-0005-0000-0000-0000DB3E0000}"/>
    <cellStyle name="Normal 197 4 5 2" xfId="16092" xr:uid="{00000000-0005-0000-0000-0000DC3E0000}"/>
    <cellStyle name="Normal 197 4 5 2 2" xfId="16093" xr:uid="{00000000-0005-0000-0000-0000DD3E0000}"/>
    <cellStyle name="Normal 197 4 5 3" xfId="16094" xr:uid="{00000000-0005-0000-0000-0000DE3E0000}"/>
    <cellStyle name="Normal 197 4 6" xfId="16095" xr:uid="{00000000-0005-0000-0000-0000DF3E0000}"/>
    <cellStyle name="Normal 197 5" xfId="16096" xr:uid="{00000000-0005-0000-0000-0000E03E0000}"/>
    <cellStyle name="Normal 197 5 2" xfId="16097" xr:uid="{00000000-0005-0000-0000-0000E13E0000}"/>
    <cellStyle name="Normal 197 5 2 2" xfId="16098" xr:uid="{00000000-0005-0000-0000-0000E23E0000}"/>
    <cellStyle name="Normal 197 5 3" xfId="16099" xr:uid="{00000000-0005-0000-0000-0000E33E0000}"/>
    <cellStyle name="Normal 197 6" xfId="16100" xr:uid="{00000000-0005-0000-0000-0000E43E0000}"/>
    <cellStyle name="Normal 197 6 2" xfId="16101" xr:uid="{00000000-0005-0000-0000-0000E53E0000}"/>
    <cellStyle name="Normal 197 6 2 2" xfId="16102" xr:uid="{00000000-0005-0000-0000-0000E63E0000}"/>
    <cellStyle name="Normal 197 6 3" xfId="16103" xr:uid="{00000000-0005-0000-0000-0000E73E0000}"/>
    <cellStyle name="Normal 197 7" xfId="16104" xr:uid="{00000000-0005-0000-0000-0000E83E0000}"/>
    <cellStyle name="Normal 197 7 2" xfId="16105" xr:uid="{00000000-0005-0000-0000-0000E93E0000}"/>
    <cellStyle name="Normal 197 7 2 2" xfId="16106" xr:uid="{00000000-0005-0000-0000-0000EA3E0000}"/>
    <cellStyle name="Normal 197 7 3" xfId="16107" xr:uid="{00000000-0005-0000-0000-0000EB3E0000}"/>
    <cellStyle name="Normal 197 8" xfId="16108" xr:uid="{00000000-0005-0000-0000-0000EC3E0000}"/>
    <cellStyle name="Normal 198" xfId="16109" xr:uid="{00000000-0005-0000-0000-0000ED3E0000}"/>
    <cellStyle name="Normal 198 2" xfId="16110" xr:uid="{00000000-0005-0000-0000-0000EE3E0000}"/>
    <cellStyle name="Normal 198 2 2" xfId="16111" xr:uid="{00000000-0005-0000-0000-0000EF3E0000}"/>
    <cellStyle name="Normal 198 2 2 2" xfId="16112" xr:uid="{00000000-0005-0000-0000-0000F03E0000}"/>
    <cellStyle name="Normal 198 2 2 2 2" xfId="16113" xr:uid="{00000000-0005-0000-0000-0000F13E0000}"/>
    <cellStyle name="Normal 198 2 2 3" xfId="16114" xr:uid="{00000000-0005-0000-0000-0000F23E0000}"/>
    <cellStyle name="Normal 198 2 2 3 2" xfId="16115" xr:uid="{00000000-0005-0000-0000-0000F33E0000}"/>
    <cellStyle name="Normal 198 2 2 3 2 2" xfId="16116" xr:uid="{00000000-0005-0000-0000-0000F43E0000}"/>
    <cellStyle name="Normal 198 2 2 3 3" xfId="16117" xr:uid="{00000000-0005-0000-0000-0000F53E0000}"/>
    <cellStyle name="Normal 198 2 2 4" xfId="16118" xr:uid="{00000000-0005-0000-0000-0000F63E0000}"/>
    <cellStyle name="Normal 198 2 2 4 2" xfId="16119" xr:uid="{00000000-0005-0000-0000-0000F73E0000}"/>
    <cellStyle name="Normal 198 2 2 4 2 2" xfId="16120" xr:uid="{00000000-0005-0000-0000-0000F83E0000}"/>
    <cellStyle name="Normal 198 2 2 4 3" xfId="16121" xr:uid="{00000000-0005-0000-0000-0000F93E0000}"/>
    <cellStyle name="Normal 198 2 2 5" xfId="16122" xr:uid="{00000000-0005-0000-0000-0000FA3E0000}"/>
    <cellStyle name="Normal 198 2 3" xfId="16123" xr:uid="{00000000-0005-0000-0000-0000FB3E0000}"/>
    <cellStyle name="Normal 198 2 3 2" xfId="16124" xr:uid="{00000000-0005-0000-0000-0000FC3E0000}"/>
    <cellStyle name="Normal 198 2 3 2 2" xfId="16125" xr:uid="{00000000-0005-0000-0000-0000FD3E0000}"/>
    <cellStyle name="Normal 198 2 3 2 2 2" xfId="16126" xr:uid="{00000000-0005-0000-0000-0000FE3E0000}"/>
    <cellStyle name="Normal 198 2 3 2 3" xfId="16127" xr:uid="{00000000-0005-0000-0000-0000FF3E0000}"/>
    <cellStyle name="Normal 198 2 3 2 3 2" xfId="16128" xr:uid="{00000000-0005-0000-0000-0000003F0000}"/>
    <cellStyle name="Normal 198 2 3 2 3 2 2" xfId="16129" xr:uid="{00000000-0005-0000-0000-0000013F0000}"/>
    <cellStyle name="Normal 198 2 3 2 3 3" xfId="16130" xr:uid="{00000000-0005-0000-0000-0000023F0000}"/>
    <cellStyle name="Normal 198 2 3 2 4" xfId="16131" xr:uid="{00000000-0005-0000-0000-0000033F0000}"/>
    <cellStyle name="Normal 198 2 3 3" xfId="16132" xr:uid="{00000000-0005-0000-0000-0000043F0000}"/>
    <cellStyle name="Normal 198 2 3 3 2" xfId="16133" xr:uid="{00000000-0005-0000-0000-0000053F0000}"/>
    <cellStyle name="Normal 198 2 3 3 2 2" xfId="16134" xr:uid="{00000000-0005-0000-0000-0000063F0000}"/>
    <cellStyle name="Normal 198 2 3 3 3" xfId="16135" xr:uid="{00000000-0005-0000-0000-0000073F0000}"/>
    <cellStyle name="Normal 198 2 3 4" xfId="16136" xr:uid="{00000000-0005-0000-0000-0000083F0000}"/>
    <cellStyle name="Normal 198 2 3 4 2" xfId="16137" xr:uid="{00000000-0005-0000-0000-0000093F0000}"/>
    <cellStyle name="Normal 198 2 3 4 2 2" xfId="16138" xr:uid="{00000000-0005-0000-0000-00000A3F0000}"/>
    <cellStyle name="Normal 198 2 3 4 3" xfId="16139" xr:uid="{00000000-0005-0000-0000-00000B3F0000}"/>
    <cellStyle name="Normal 198 2 3 5" xfId="16140" xr:uid="{00000000-0005-0000-0000-00000C3F0000}"/>
    <cellStyle name="Normal 198 2 3 5 2" xfId="16141" xr:uid="{00000000-0005-0000-0000-00000D3F0000}"/>
    <cellStyle name="Normal 198 2 3 5 2 2" xfId="16142" xr:uid="{00000000-0005-0000-0000-00000E3F0000}"/>
    <cellStyle name="Normal 198 2 3 5 3" xfId="16143" xr:uid="{00000000-0005-0000-0000-00000F3F0000}"/>
    <cellStyle name="Normal 198 2 3 6" xfId="16144" xr:uid="{00000000-0005-0000-0000-0000103F0000}"/>
    <cellStyle name="Normal 198 2 4" xfId="16145" xr:uid="{00000000-0005-0000-0000-0000113F0000}"/>
    <cellStyle name="Normal 198 2 4 2" xfId="16146" xr:uid="{00000000-0005-0000-0000-0000123F0000}"/>
    <cellStyle name="Normal 198 2 4 2 2" xfId="16147" xr:uid="{00000000-0005-0000-0000-0000133F0000}"/>
    <cellStyle name="Normal 198 2 4 3" xfId="16148" xr:uid="{00000000-0005-0000-0000-0000143F0000}"/>
    <cellStyle name="Normal 198 2 5" xfId="16149" xr:uid="{00000000-0005-0000-0000-0000153F0000}"/>
    <cellStyle name="Normal 198 2 5 2" xfId="16150" xr:uid="{00000000-0005-0000-0000-0000163F0000}"/>
    <cellStyle name="Normal 198 2 5 2 2" xfId="16151" xr:uid="{00000000-0005-0000-0000-0000173F0000}"/>
    <cellStyle name="Normal 198 2 5 3" xfId="16152" xr:uid="{00000000-0005-0000-0000-0000183F0000}"/>
    <cellStyle name="Normal 198 2 6" xfId="16153" xr:uid="{00000000-0005-0000-0000-0000193F0000}"/>
    <cellStyle name="Normal 198 2 6 2" xfId="16154" xr:uid="{00000000-0005-0000-0000-00001A3F0000}"/>
    <cellStyle name="Normal 198 2 6 2 2" xfId="16155" xr:uid="{00000000-0005-0000-0000-00001B3F0000}"/>
    <cellStyle name="Normal 198 2 6 3" xfId="16156" xr:uid="{00000000-0005-0000-0000-00001C3F0000}"/>
    <cellStyle name="Normal 198 2 7" xfId="16157" xr:uid="{00000000-0005-0000-0000-00001D3F0000}"/>
    <cellStyle name="Normal 198 3" xfId="16158" xr:uid="{00000000-0005-0000-0000-00001E3F0000}"/>
    <cellStyle name="Normal 198 3 2" xfId="16159" xr:uid="{00000000-0005-0000-0000-00001F3F0000}"/>
    <cellStyle name="Normal 198 3 2 2" xfId="16160" xr:uid="{00000000-0005-0000-0000-0000203F0000}"/>
    <cellStyle name="Normal 198 3 3" xfId="16161" xr:uid="{00000000-0005-0000-0000-0000213F0000}"/>
    <cellStyle name="Normal 198 3 3 2" xfId="16162" xr:uid="{00000000-0005-0000-0000-0000223F0000}"/>
    <cellStyle name="Normal 198 3 3 2 2" xfId="16163" xr:uid="{00000000-0005-0000-0000-0000233F0000}"/>
    <cellStyle name="Normal 198 3 3 3" xfId="16164" xr:uid="{00000000-0005-0000-0000-0000243F0000}"/>
    <cellStyle name="Normal 198 3 4" xfId="16165" xr:uid="{00000000-0005-0000-0000-0000253F0000}"/>
    <cellStyle name="Normal 198 3 4 2" xfId="16166" xr:uid="{00000000-0005-0000-0000-0000263F0000}"/>
    <cellStyle name="Normal 198 3 4 2 2" xfId="16167" xr:uid="{00000000-0005-0000-0000-0000273F0000}"/>
    <cellStyle name="Normal 198 3 4 3" xfId="16168" xr:uid="{00000000-0005-0000-0000-0000283F0000}"/>
    <cellStyle name="Normal 198 3 5" xfId="16169" xr:uid="{00000000-0005-0000-0000-0000293F0000}"/>
    <cellStyle name="Normal 198 4" xfId="16170" xr:uid="{00000000-0005-0000-0000-00002A3F0000}"/>
    <cellStyle name="Normal 198 4 2" xfId="16171" xr:uid="{00000000-0005-0000-0000-00002B3F0000}"/>
    <cellStyle name="Normal 198 4 2 2" xfId="16172" xr:uid="{00000000-0005-0000-0000-00002C3F0000}"/>
    <cellStyle name="Normal 198 4 2 2 2" xfId="16173" xr:uid="{00000000-0005-0000-0000-00002D3F0000}"/>
    <cellStyle name="Normal 198 4 2 3" xfId="16174" xr:uid="{00000000-0005-0000-0000-00002E3F0000}"/>
    <cellStyle name="Normal 198 4 2 3 2" xfId="16175" xr:uid="{00000000-0005-0000-0000-00002F3F0000}"/>
    <cellStyle name="Normal 198 4 2 3 2 2" xfId="16176" xr:uid="{00000000-0005-0000-0000-0000303F0000}"/>
    <cellStyle name="Normal 198 4 2 3 3" xfId="16177" xr:uid="{00000000-0005-0000-0000-0000313F0000}"/>
    <cellStyle name="Normal 198 4 2 4" xfId="16178" xr:uid="{00000000-0005-0000-0000-0000323F0000}"/>
    <cellStyle name="Normal 198 4 3" xfId="16179" xr:uid="{00000000-0005-0000-0000-0000333F0000}"/>
    <cellStyle name="Normal 198 4 3 2" xfId="16180" xr:uid="{00000000-0005-0000-0000-0000343F0000}"/>
    <cellStyle name="Normal 198 4 3 2 2" xfId="16181" xr:uid="{00000000-0005-0000-0000-0000353F0000}"/>
    <cellStyle name="Normal 198 4 3 3" xfId="16182" xr:uid="{00000000-0005-0000-0000-0000363F0000}"/>
    <cellStyle name="Normal 198 4 4" xfId="16183" xr:uid="{00000000-0005-0000-0000-0000373F0000}"/>
    <cellStyle name="Normal 198 4 4 2" xfId="16184" xr:uid="{00000000-0005-0000-0000-0000383F0000}"/>
    <cellStyle name="Normal 198 4 4 2 2" xfId="16185" xr:uid="{00000000-0005-0000-0000-0000393F0000}"/>
    <cellStyle name="Normal 198 4 4 3" xfId="16186" xr:uid="{00000000-0005-0000-0000-00003A3F0000}"/>
    <cellStyle name="Normal 198 4 5" xfId="16187" xr:uid="{00000000-0005-0000-0000-00003B3F0000}"/>
    <cellStyle name="Normal 198 4 5 2" xfId="16188" xr:uid="{00000000-0005-0000-0000-00003C3F0000}"/>
    <cellStyle name="Normal 198 4 5 2 2" xfId="16189" xr:uid="{00000000-0005-0000-0000-00003D3F0000}"/>
    <cellStyle name="Normal 198 4 5 3" xfId="16190" xr:uid="{00000000-0005-0000-0000-00003E3F0000}"/>
    <cellStyle name="Normal 198 4 6" xfId="16191" xr:uid="{00000000-0005-0000-0000-00003F3F0000}"/>
    <cellStyle name="Normal 198 5" xfId="16192" xr:uid="{00000000-0005-0000-0000-0000403F0000}"/>
    <cellStyle name="Normal 198 5 2" xfId="16193" xr:uid="{00000000-0005-0000-0000-0000413F0000}"/>
    <cellStyle name="Normal 198 5 2 2" xfId="16194" xr:uid="{00000000-0005-0000-0000-0000423F0000}"/>
    <cellStyle name="Normal 198 5 3" xfId="16195" xr:uid="{00000000-0005-0000-0000-0000433F0000}"/>
    <cellStyle name="Normal 198 6" xfId="16196" xr:uid="{00000000-0005-0000-0000-0000443F0000}"/>
    <cellStyle name="Normal 198 6 2" xfId="16197" xr:uid="{00000000-0005-0000-0000-0000453F0000}"/>
    <cellStyle name="Normal 198 6 2 2" xfId="16198" xr:uid="{00000000-0005-0000-0000-0000463F0000}"/>
    <cellStyle name="Normal 198 6 3" xfId="16199" xr:uid="{00000000-0005-0000-0000-0000473F0000}"/>
    <cellStyle name="Normal 198 7" xfId="16200" xr:uid="{00000000-0005-0000-0000-0000483F0000}"/>
    <cellStyle name="Normal 198 7 2" xfId="16201" xr:uid="{00000000-0005-0000-0000-0000493F0000}"/>
    <cellStyle name="Normal 198 7 2 2" xfId="16202" xr:uid="{00000000-0005-0000-0000-00004A3F0000}"/>
    <cellStyle name="Normal 198 7 3" xfId="16203" xr:uid="{00000000-0005-0000-0000-00004B3F0000}"/>
    <cellStyle name="Normal 198 8" xfId="16204" xr:uid="{00000000-0005-0000-0000-00004C3F0000}"/>
    <cellStyle name="Normal 199" xfId="16205" xr:uid="{00000000-0005-0000-0000-00004D3F0000}"/>
    <cellStyle name="Normal 199 2" xfId="16206" xr:uid="{00000000-0005-0000-0000-00004E3F0000}"/>
    <cellStyle name="Normal 199 2 2" xfId="16207" xr:uid="{00000000-0005-0000-0000-00004F3F0000}"/>
    <cellStyle name="Normal 199 2 2 2" xfId="16208" xr:uid="{00000000-0005-0000-0000-0000503F0000}"/>
    <cellStyle name="Normal 199 2 2 2 2" xfId="16209" xr:uid="{00000000-0005-0000-0000-0000513F0000}"/>
    <cellStyle name="Normal 199 2 2 3" xfId="16210" xr:uid="{00000000-0005-0000-0000-0000523F0000}"/>
    <cellStyle name="Normal 199 2 2 3 2" xfId="16211" xr:uid="{00000000-0005-0000-0000-0000533F0000}"/>
    <cellStyle name="Normal 199 2 2 3 2 2" xfId="16212" xr:uid="{00000000-0005-0000-0000-0000543F0000}"/>
    <cellStyle name="Normal 199 2 2 3 3" xfId="16213" xr:uid="{00000000-0005-0000-0000-0000553F0000}"/>
    <cellStyle name="Normal 199 2 2 4" xfId="16214" xr:uid="{00000000-0005-0000-0000-0000563F0000}"/>
    <cellStyle name="Normal 199 2 2 4 2" xfId="16215" xr:uid="{00000000-0005-0000-0000-0000573F0000}"/>
    <cellStyle name="Normal 199 2 2 4 2 2" xfId="16216" xr:uid="{00000000-0005-0000-0000-0000583F0000}"/>
    <cellStyle name="Normal 199 2 2 4 3" xfId="16217" xr:uid="{00000000-0005-0000-0000-0000593F0000}"/>
    <cellStyle name="Normal 199 2 2 5" xfId="16218" xr:uid="{00000000-0005-0000-0000-00005A3F0000}"/>
    <cellStyle name="Normal 199 2 3" xfId="16219" xr:uid="{00000000-0005-0000-0000-00005B3F0000}"/>
    <cellStyle name="Normal 199 2 3 2" xfId="16220" xr:uid="{00000000-0005-0000-0000-00005C3F0000}"/>
    <cellStyle name="Normal 199 2 3 2 2" xfId="16221" xr:uid="{00000000-0005-0000-0000-00005D3F0000}"/>
    <cellStyle name="Normal 199 2 3 2 2 2" xfId="16222" xr:uid="{00000000-0005-0000-0000-00005E3F0000}"/>
    <cellStyle name="Normal 199 2 3 2 3" xfId="16223" xr:uid="{00000000-0005-0000-0000-00005F3F0000}"/>
    <cellStyle name="Normal 199 2 3 2 3 2" xfId="16224" xr:uid="{00000000-0005-0000-0000-0000603F0000}"/>
    <cellStyle name="Normal 199 2 3 2 3 2 2" xfId="16225" xr:uid="{00000000-0005-0000-0000-0000613F0000}"/>
    <cellStyle name="Normal 199 2 3 2 3 3" xfId="16226" xr:uid="{00000000-0005-0000-0000-0000623F0000}"/>
    <cellStyle name="Normal 199 2 3 2 4" xfId="16227" xr:uid="{00000000-0005-0000-0000-0000633F0000}"/>
    <cellStyle name="Normal 199 2 3 3" xfId="16228" xr:uid="{00000000-0005-0000-0000-0000643F0000}"/>
    <cellStyle name="Normal 199 2 3 3 2" xfId="16229" xr:uid="{00000000-0005-0000-0000-0000653F0000}"/>
    <cellStyle name="Normal 199 2 3 3 2 2" xfId="16230" xr:uid="{00000000-0005-0000-0000-0000663F0000}"/>
    <cellStyle name="Normal 199 2 3 3 3" xfId="16231" xr:uid="{00000000-0005-0000-0000-0000673F0000}"/>
    <cellStyle name="Normal 199 2 3 4" xfId="16232" xr:uid="{00000000-0005-0000-0000-0000683F0000}"/>
    <cellStyle name="Normal 199 2 3 4 2" xfId="16233" xr:uid="{00000000-0005-0000-0000-0000693F0000}"/>
    <cellStyle name="Normal 199 2 3 4 2 2" xfId="16234" xr:uid="{00000000-0005-0000-0000-00006A3F0000}"/>
    <cellStyle name="Normal 199 2 3 4 3" xfId="16235" xr:uid="{00000000-0005-0000-0000-00006B3F0000}"/>
    <cellStyle name="Normal 199 2 3 5" xfId="16236" xr:uid="{00000000-0005-0000-0000-00006C3F0000}"/>
    <cellStyle name="Normal 199 2 3 5 2" xfId="16237" xr:uid="{00000000-0005-0000-0000-00006D3F0000}"/>
    <cellStyle name="Normal 199 2 3 5 2 2" xfId="16238" xr:uid="{00000000-0005-0000-0000-00006E3F0000}"/>
    <cellStyle name="Normal 199 2 3 5 3" xfId="16239" xr:uid="{00000000-0005-0000-0000-00006F3F0000}"/>
    <cellStyle name="Normal 199 2 3 6" xfId="16240" xr:uid="{00000000-0005-0000-0000-0000703F0000}"/>
    <cellStyle name="Normal 199 2 4" xfId="16241" xr:uid="{00000000-0005-0000-0000-0000713F0000}"/>
    <cellStyle name="Normal 199 2 4 2" xfId="16242" xr:uid="{00000000-0005-0000-0000-0000723F0000}"/>
    <cellStyle name="Normal 199 2 4 2 2" xfId="16243" xr:uid="{00000000-0005-0000-0000-0000733F0000}"/>
    <cellStyle name="Normal 199 2 4 3" xfId="16244" xr:uid="{00000000-0005-0000-0000-0000743F0000}"/>
    <cellStyle name="Normal 199 2 5" xfId="16245" xr:uid="{00000000-0005-0000-0000-0000753F0000}"/>
    <cellStyle name="Normal 199 2 5 2" xfId="16246" xr:uid="{00000000-0005-0000-0000-0000763F0000}"/>
    <cellStyle name="Normal 199 2 5 2 2" xfId="16247" xr:uid="{00000000-0005-0000-0000-0000773F0000}"/>
    <cellStyle name="Normal 199 2 5 3" xfId="16248" xr:uid="{00000000-0005-0000-0000-0000783F0000}"/>
    <cellStyle name="Normal 199 2 6" xfId="16249" xr:uid="{00000000-0005-0000-0000-0000793F0000}"/>
    <cellStyle name="Normal 199 2 6 2" xfId="16250" xr:uid="{00000000-0005-0000-0000-00007A3F0000}"/>
    <cellStyle name="Normal 199 2 6 2 2" xfId="16251" xr:uid="{00000000-0005-0000-0000-00007B3F0000}"/>
    <cellStyle name="Normal 199 2 6 3" xfId="16252" xr:uid="{00000000-0005-0000-0000-00007C3F0000}"/>
    <cellStyle name="Normal 199 2 7" xfId="16253" xr:uid="{00000000-0005-0000-0000-00007D3F0000}"/>
    <cellStyle name="Normal 199 3" xfId="16254" xr:uid="{00000000-0005-0000-0000-00007E3F0000}"/>
    <cellStyle name="Normal 199 3 2" xfId="16255" xr:uid="{00000000-0005-0000-0000-00007F3F0000}"/>
    <cellStyle name="Normal 199 3 2 2" xfId="16256" xr:uid="{00000000-0005-0000-0000-0000803F0000}"/>
    <cellStyle name="Normal 199 3 3" xfId="16257" xr:uid="{00000000-0005-0000-0000-0000813F0000}"/>
    <cellStyle name="Normal 199 3 3 2" xfId="16258" xr:uid="{00000000-0005-0000-0000-0000823F0000}"/>
    <cellStyle name="Normal 199 3 3 2 2" xfId="16259" xr:uid="{00000000-0005-0000-0000-0000833F0000}"/>
    <cellStyle name="Normal 199 3 3 3" xfId="16260" xr:uid="{00000000-0005-0000-0000-0000843F0000}"/>
    <cellStyle name="Normal 199 3 4" xfId="16261" xr:uid="{00000000-0005-0000-0000-0000853F0000}"/>
    <cellStyle name="Normal 199 3 4 2" xfId="16262" xr:uid="{00000000-0005-0000-0000-0000863F0000}"/>
    <cellStyle name="Normal 199 3 4 2 2" xfId="16263" xr:uid="{00000000-0005-0000-0000-0000873F0000}"/>
    <cellStyle name="Normal 199 3 4 3" xfId="16264" xr:uid="{00000000-0005-0000-0000-0000883F0000}"/>
    <cellStyle name="Normal 199 3 5" xfId="16265" xr:uid="{00000000-0005-0000-0000-0000893F0000}"/>
    <cellStyle name="Normal 199 4" xfId="16266" xr:uid="{00000000-0005-0000-0000-00008A3F0000}"/>
    <cellStyle name="Normal 199 4 2" xfId="16267" xr:uid="{00000000-0005-0000-0000-00008B3F0000}"/>
    <cellStyle name="Normal 199 4 2 2" xfId="16268" xr:uid="{00000000-0005-0000-0000-00008C3F0000}"/>
    <cellStyle name="Normal 199 4 2 2 2" xfId="16269" xr:uid="{00000000-0005-0000-0000-00008D3F0000}"/>
    <cellStyle name="Normal 199 4 2 3" xfId="16270" xr:uid="{00000000-0005-0000-0000-00008E3F0000}"/>
    <cellStyle name="Normal 199 4 2 3 2" xfId="16271" xr:uid="{00000000-0005-0000-0000-00008F3F0000}"/>
    <cellStyle name="Normal 199 4 2 3 2 2" xfId="16272" xr:uid="{00000000-0005-0000-0000-0000903F0000}"/>
    <cellStyle name="Normal 199 4 2 3 3" xfId="16273" xr:uid="{00000000-0005-0000-0000-0000913F0000}"/>
    <cellStyle name="Normal 199 4 2 4" xfId="16274" xr:uid="{00000000-0005-0000-0000-0000923F0000}"/>
    <cellStyle name="Normal 199 4 3" xfId="16275" xr:uid="{00000000-0005-0000-0000-0000933F0000}"/>
    <cellStyle name="Normal 199 4 3 2" xfId="16276" xr:uid="{00000000-0005-0000-0000-0000943F0000}"/>
    <cellStyle name="Normal 199 4 3 2 2" xfId="16277" xr:uid="{00000000-0005-0000-0000-0000953F0000}"/>
    <cellStyle name="Normal 199 4 3 3" xfId="16278" xr:uid="{00000000-0005-0000-0000-0000963F0000}"/>
    <cellStyle name="Normal 199 4 4" xfId="16279" xr:uid="{00000000-0005-0000-0000-0000973F0000}"/>
    <cellStyle name="Normal 199 4 4 2" xfId="16280" xr:uid="{00000000-0005-0000-0000-0000983F0000}"/>
    <cellStyle name="Normal 199 4 4 2 2" xfId="16281" xr:uid="{00000000-0005-0000-0000-0000993F0000}"/>
    <cellStyle name="Normal 199 4 4 3" xfId="16282" xr:uid="{00000000-0005-0000-0000-00009A3F0000}"/>
    <cellStyle name="Normal 199 4 5" xfId="16283" xr:uid="{00000000-0005-0000-0000-00009B3F0000}"/>
    <cellStyle name="Normal 199 4 5 2" xfId="16284" xr:uid="{00000000-0005-0000-0000-00009C3F0000}"/>
    <cellStyle name="Normal 199 4 5 2 2" xfId="16285" xr:uid="{00000000-0005-0000-0000-00009D3F0000}"/>
    <cellStyle name="Normal 199 4 5 3" xfId="16286" xr:uid="{00000000-0005-0000-0000-00009E3F0000}"/>
    <cellStyle name="Normal 199 4 6" xfId="16287" xr:uid="{00000000-0005-0000-0000-00009F3F0000}"/>
    <cellStyle name="Normal 199 5" xfId="16288" xr:uid="{00000000-0005-0000-0000-0000A03F0000}"/>
    <cellStyle name="Normal 199 5 2" xfId="16289" xr:uid="{00000000-0005-0000-0000-0000A13F0000}"/>
    <cellStyle name="Normal 199 5 2 2" xfId="16290" xr:uid="{00000000-0005-0000-0000-0000A23F0000}"/>
    <cellStyle name="Normal 199 5 3" xfId="16291" xr:uid="{00000000-0005-0000-0000-0000A33F0000}"/>
    <cellStyle name="Normal 199 6" xfId="16292" xr:uid="{00000000-0005-0000-0000-0000A43F0000}"/>
    <cellStyle name="Normal 199 6 2" xfId="16293" xr:uid="{00000000-0005-0000-0000-0000A53F0000}"/>
    <cellStyle name="Normal 199 6 2 2" xfId="16294" xr:uid="{00000000-0005-0000-0000-0000A63F0000}"/>
    <cellStyle name="Normal 199 6 3" xfId="16295" xr:uid="{00000000-0005-0000-0000-0000A73F0000}"/>
    <cellStyle name="Normal 199 7" xfId="16296" xr:uid="{00000000-0005-0000-0000-0000A83F0000}"/>
    <cellStyle name="Normal 199 7 2" xfId="16297" xr:uid="{00000000-0005-0000-0000-0000A93F0000}"/>
    <cellStyle name="Normal 199 7 2 2" xfId="16298" xr:uid="{00000000-0005-0000-0000-0000AA3F0000}"/>
    <cellStyle name="Normal 199 7 3" xfId="16299" xr:uid="{00000000-0005-0000-0000-0000AB3F0000}"/>
    <cellStyle name="Normal 199 8" xfId="16300" xr:uid="{00000000-0005-0000-0000-0000AC3F0000}"/>
    <cellStyle name="Normal 2" xfId="11" xr:uid="{00000000-0005-0000-0000-00000B000000}"/>
    <cellStyle name="Normal 2 10" xfId="16301" xr:uid="{00000000-0005-0000-0000-0000AD3F0000}"/>
    <cellStyle name="Normal 2 10 2" xfId="16302" xr:uid="{00000000-0005-0000-0000-0000AE3F0000}"/>
    <cellStyle name="Normal 2 11" xfId="16303" xr:uid="{00000000-0005-0000-0000-0000AF3F0000}"/>
    <cellStyle name="Normal 2 12" xfId="16304" xr:uid="{00000000-0005-0000-0000-0000B03F0000}"/>
    <cellStyle name="Normal 2 13" xfId="16305" xr:uid="{00000000-0005-0000-0000-0000B13F0000}"/>
    <cellStyle name="Normal 2 14" xfId="16306" xr:uid="{00000000-0005-0000-0000-0000B23F0000}"/>
    <cellStyle name="Normal 2 15" xfId="16307" xr:uid="{00000000-0005-0000-0000-0000B33F0000}"/>
    <cellStyle name="Normal 2 2" xfId="16308" xr:uid="{00000000-0005-0000-0000-0000B43F0000}"/>
    <cellStyle name="Normal 2 2 2" xfId="6" xr:uid="{00000000-0005-0000-0000-000006000000}"/>
    <cellStyle name="Normal 2 2 2 2" xfId="16309" xr:uid="{00000000-0005-0000-0000-0000B53F0000}"/>
    <cellStyle name="Normal 2 2 2 2 2" xfId="16310" xr:uid="{00000000-0005-0000-0000-0000B63F0000}"/>
    <cellStyle name="Normal 2 2 2 2 2 2" xfId="16311" xr:uid="{00000000-0005-0000-0000-0000B73F0000}"/>
    <cellStyle name="Normal 2 2 2 2 3" xfId="16312" xr:uid="{00000000-0005-0000-0000-0000B83F0000}"/>
    <cellStyle name="Normal 2 2 2 2 3 2" xfId="16313" xr:uid="{00000000-0005-0000-0000-0000B93F0000}"/>
    <cellStyle name="Normal 2 2 2 2 3 2 2" xfId="16314" xr:uid="{00000000-0005-0000-0000-0000BA3F0000}"/>
    <cellStyle name="Normal 2 2 2 2 3 3" xfId="16315" xr:uid="{00000000-0005-0000-0000-0000BB3F0000}"/>
    <cellStyle name="Normal 2 2 2 2 4" xfId="16316" xr:uid="{00000000-0005-0000-0000-0000BC3F0000}"/>
    <cellStyle name="Normal 2 2 2 2 4 2" xfId="16317" xr:uid="{00000000-0005-0000-0000-0000BD3F0000}"/>
    <cellStyle name="Normal 2 2 2 2 4 2 2" xfId="16318" xr:uid="{00000000-0005-0000-0000-0000BE3F0000}"/>
    <cellStyle name="Normal 2 2 2 2 4 3" xfId="16319" xr:uid="{00000000-0005-0000-0000-0000BF3F0000}"/>
    <cellStyle name="Normal 2 2 2 2 5" xfId="16320" xr:uid="{00000000-0005-0000-0000-0000C03F0000}"/>
    <cellStyle name="Normal 2 2 2 3" xfId="16321" xr:uid="{00000000-0005-0000-0000-0000C13F0000}"/>
    <cellStyle name="Normal 2 2 2 3 2" xfId="16322" xr:uid="{00000000-0005-0000-0000-0000C23F0000}"/>
    <cellStyle name="Normal 2 2 2 3 2 2" xfId="16323" xr:uid="{00000000-0005-0000-0000-0000C33F0000}"/>
    <cellStyle name="Normal 2 2 2 3 2 2 2" xfId="16324" xr:uid="{00000000-0005-0000-0000-0000C43F0000}"/>
    <cellStyle name="Normal 2 2 2 3 2 3" xfId="16325" xr:uid="{00000000-0005-0000-0000-0000C53F0000}"/>
    <cellStyle name="Normal 2 2 2 3 2 3 2" xfId="16326" xr:uid="{00000000-0005-0000-0000-0000C63F0000}"/>
    <cellStyle name="Normal 2 2 2 3 2 3 2 2" xfId="16327" xr:uid="{00000000-0005-0000-0000-0000C73F0000}"/>
    <cellStyle name="Normal 2 2 2 3 2 3 3" xfId="16328" xr:uid="{00000000-0005-0000-0000-0000C83F0000}"/>
    <cellStyle name="Normal 2 2 2 3 2 4" xfId="16329" xr:uid="{00000000-0005-0000-0000-0000C93F0000}"/>
    <cellStyle name="Normal 2 2 2 3 3" xfId="16330" xr:uid="{00000000-0005-0000-0000-0000CA3F0000}"/>
    <cellStyle name="Normal 2 2 2 3 3 2" xfId="16331" xr:uid="{00000000-0005-0000-0000-0000CB3F0000}"/>
    <cellStyle name="Normal 2 2 2 3 3 2 2" xfId="16332" xr:uid="{00000000-0005-0000-0000-0000CC3F0000}"/>
    <cellStyle name="Normal 2 2 2 3 3 3" xfId="16333" xr:uid="{00000000-0005-0000-0000-0000CD3F0000}"/>
    <cellStyle name="Normal 2 2 2 3 4" xfId="16334" xr:uid="{00000000-0005-0000-0000-0000CE3F0000}"/>
    <cellStyle name="Normal 2 2 2 3 4 2" xfId="16335" xr:uid="{00000000-0005-0000-0000-0000CF3F0000}"/>
    <cellStyle name="Normal 2 2 2 3 4 2 2" xfId="16336" xr:uid="{00000000-0005-0000-0000-0000D03F0000}"/>
    <cellStyle name="Normal 2 2 2 3 4 3" xfId="16337" xr:uid="{00000000-0005-0000-0000-0000D13F0000}"/>
    <cellStyle name="Normal 2 2 2 3 5" xfId="16338" xr:uid="{00000000-0005-0000-0000-0000D23F0000}"/>
    <cellStyle name="Normal 2 2 2 3 5 2" xfId="16339" xr:uid="{00000000-0005-0000-0000-0000D33F0000}"/>
    <cellStyle name="Normal 2 2 2 3 5 2 2" xfId="16340" xr:uid="{00000000-0005-0000-0000-0000D43F0000}"/>
    <cellStyle name="Normal 2 2 2 3 5 3" xfId="16341" xr:uid="{00000000-0005-0000-0000-0000D53F0000}"/>
    <cellStyle name="Normal 2 2 2 3 6" xfId="16342" xr:uid="{00000000-0005-0000-0000-0000D63F0000}"/>
    <cellStyle name="Normal 2 2 2 4" xfId="16343" xr:uid="{00000000-0005-0000-0000-0000D73F0000}"/>
    <cellStyle name="Normal 2 2 2 4 2" xfId="16344" xr:uid="{00000000-0005-0000-0000-0000D83F0000}"/>
    <cellStyle name="Normal 2 2 2 4 2 2" xfId="16345" xr:uid="{00000000-0005-0000-0000-0000D93F0000}"/>
    <cellStyle name="Normal 2 2 2 4 3" xfId="16346" xr:uid="{00000000-0005-0000-0000-0000DA3F0000}"/>
    <cellStyle name="Normal 2 2 2 5" xfId="16347" xr:uid="{00000000-0005-0000-0000-0000DB3F0000}"/>
    <cellStyle name="Normal 2 2 2 5 2" xfId="16348" xr:uid="{00000000-0005-0000-0000-0000DC3F0000}"/>
    <cellStyle name="Normal 2 2 2 5 2 2" xfId="16349" xr:uid="{00000000-0005-0000-0000-0000DD3F0000}"/>
    <cellStyle name="Normal 2 2 2 5 3" xfId="16350" xr:uid="{00000000-0005-0000-0000-0000DE3F0000}"/>
    <cellStyle name="Normal 2 2 2 6" xfId="16351" xr:uid="{00000000-0005-0000-0000-0000DF3F0000}"/>
    <cellStyle name="Normal 2 2 2 6 2" xfId="16352" xr:uid="{00000000-0005-0000-0000-0000E03F0000}"/>
    <cellStyle name="Normal 2 2 2 6 2 2" xfId="16353" xr:uid="{00000000-0005-0000-0000-0000E13F0000}"/>
    <cellStyle name="Normal 2 2 2 6 3" xfId="16354" xr:uid="{00000000-0005-0000-0000-0000E23F0000}"/>
    <cellStyle name="Normal 2 2 2 7" xfId="16355" xr:uid="{00000000-0005-0000-0000-0000E33F0000}"/>
    <cellStyle name="Normal 2 2 3" xfId="16356" xr:uid="{00000000-0005-0000-0000-0000E43F0000}"/>
    <cellStyle name="Normal 2 2 3 2" xfId="16357" xr:uid="{00000000-0005-0000-0000-0000E53F0000}"/>
    <cellStyle name="Normal 2 2 3 2 2" xfId="16358" xr:uid="{00000000-0005-0000-0000-0000E63F0000}"/>
    <cellStyle name="Normal 2 2 3 2 2 2" xfId="16359" xr:uid="{00000000-0005-0000-0000-0000E73F0000}"/>
    <cellStyle name="Normal 2 2 3 2 3" xfId="16360" xr:uid="{00000000-0005-0000-0000-0000E83F0000}"/>
    <cellStyle name="Normal 2 2 3 2 3 2" xfId="16361" xr:uid="{00000000-0005-0000-0000-0000E93F0000}"/>
    <cellStyle name="Normal 2 2 3 2 3 2 2" xfId="16362" xr:uid="{00000000-0005-0000-0000-0000EA3F0000}"/>
    <cellStyle name="Normal 2 2 3 2 3 3" xfId="16363" xr:uid="{00000000-0005-0000-0000-0000EB3F0000}"/>
    <cellStyle name="Normal 2 2 3 2 4" xfId="16364" xr:uid="{00000000-0005-0000-0000-0000EC3F0000}"/>
    <cellStyle name="Normal 2 2 3 2 4 2" xfId="16365" xr:uid="{00000000-0005-0000-0000-0000ED3F0000}"/>
    <cellStyle name="Normal 2 2 3 2 4 2 2" xfId="16366" xr:uid="{00000000-0005-0000-0000-0000EE3F0000}"/>
    <cellStyle name="Normal 2 2 3 2 4 3" xfId="16367" xr:uid="{00000000-0005-0000-0000-0000EF3F0000}"/>
    <cellStyle name="Normal 2 2 3 2 5" xfId="16368" xr:uid="{00000000-0005-0000-0000-0000F03F0000}"/>
    <cellStyle name="Normal 2 2 3 3" xfId="16369" xr:uid="{00000000-0005-0000-0000-0000F13F0000}"/>
    <cellStyle name="Normal 2 2 3 3 2" xfId="16370" xr:uid="{00000000-0005-0000-0000-0000F23F0000}"/>
    <cellStyle name="Normal 2 2 3 3 2 2" xfId="16371" xr:uid="{00000000-0005-0000-0000-0000F33F0000}"/>
    <cellStyle name="Normal 2 2 3 3 2 2 2" xfId="16372" xr:uid="{00000000-0005-0000-0000-0000F43F0000}"/>
    <cellStyle name="Normal 2 2 3 3 2 3" xfId="16373" xr:uid="{00000000-0005-0000-0000-0000F53F0000}"/>
    <cellStyle name="Normal 2 2 3 3 2 3 2" xfId="16374" xr:uid="{00000000-0005-0000-0000-0000F63F0000}"/>
    <cellStyle name="Normal 2 2 3 3 2 3 2 2" xfId="16375" xr:uid="{00000000-0005-0000-0000-0000F73F0000}"/>
    <cellStyle name="Normal 2 2 3 3 2 3 3" xfId="16376" xr:uid="{00000000-0005-0000-0000-0000F83F0000}"/>
    <cellStyle name="Normal 2 2 3 3 2 4" xfId="16377" xr:uid="{00000000-0005-0000-0000-0000F93F0000}"/>
    <cellStyle name="Normal 2 2 3 3 3" xfId="16378" xr:uid="{00000000-0005-0000-0000-0000FA3F0000}"/>
    <cellStyle name="Normal 2 2 3 4" xfId="16379" xr:uid="{00000000-0005-0000-0000-0000FB3F0000}"/>
    <cellStyle name="Normal 2 2 3 4 2" xfId="16380" xr:uid="{00000000-0005-0000-0000-0000FC3F0000}"/>
    <cellStyle name="Normal 2 2 3 4 2 2" xfId="16381" xr:uid="{00000000-0005-0000-0000-0000FD3F0000}"/>
    <cellStyle name="Normal 2 2 3 4 3" xfId="16382" xr:uid="{00000000-0005-0000-0000-0000FE3F0000}"/>
    <cellStyle name="Normal 2 2 3 5" xfId="16383" xr:uid="{00000000-0005-0000-0000-0000FF3F0000}"/>
    <cellStyle name="Normal 2 2 3 5 2" xfId="16384" xr:uid="{00000000-0005-0000-0000-000000400000}"/>
    <cellStyle name="Normal 2 2 3 5 2 2" xfId="16385" xr:uid="{00000000-0005-0000-0000-000001400000}"/>
    <cellStyle name="Normal 2 2 3 5 3" xfId="16386" xr:uid="{00000000-0005-0000-0000-000002400000}"/>
    <cellStyle name="Normal 2 2 3 6" xfId="16387" xr:uid="{00000000-0005-0000-0000-000003400000}"/>
    <cellStyle name="Normal 2 2 4" xfId="16388" xr:uid="{00000000-0005-0000-0000-000004400000}"/>
    <cellStyle name="Normal 2 2 4 2" xfId="16389" xr:uid="{00000000-0005-0000-0000-000005400000}"/>
    <cellStyle name="Normal 2 2 4 2 2" xfId="16390" xr:uid="{00000000-0005-0000-0000-000006400000}"/>
    <cellStyle name="Normal 2 2 4 2 2 2" xfId="16391" xr:uid="{00000000-0005-0000-0000-000007400000}"/>
    <cellStyle name="Normal 2 2 4 2 3" xfId="16392" xr:uid="{00000000-0005-0000-0000-000008400000}"/>
    <cellStyle name="Normal 2 2 4 2 3 2" xfId="16393" xr:uid="{00000000-0005-0000-0000-000009400000}"/>
    <cellStyle name="Normal 2 2 4 2 3 2 2" xfId="16394" xr:uid="{00000000-0005-0000-0000-00000A400000}"/>
    <cellStyle name="Normal 2 2 4 2 3 3" xfId="16395" xr:uid="{00000000-0005-0000-0000-00000B400000}"/>
    <cellStyle name="Normal 2 2 4 2 4" xfId="16396" xr:uid="{00000000-0005-0000-0000-00000C400000}"/>
    <cellStyle name="Normal 2 2 4 2 4 2" xfId="16397" xr:uid="{00000000-0005-0000-0000-00000D400000}"/>
    <cellStyle name="Normal 2 2 4 2 4 2 2" xfId="16398" xr:uid="{00000000-0005-0000-0000-00000E400000}"/>
    <cellStyle name="Normal 2 2 4 2 4 3" xfId="16399" xr:uid="{00000000-0005-0000-0000-00000F400000}"/>
    <cellStyle name="Normal 2 2 4 2 5" xfId="16400" xr:uid="{00000000-0005-0000-0000-000010400000}"/>
    <cellStyle name="Normal 2 2 4 3" xfId="16401" xr:uid="{00000000-0005-0000-0000-000011400000}"/>
    <cellStyle name="Normal 2 2 4 3 2" xfId="16402" xr:uid="{00000000-0005-0000-0000-000012400000}"/>
    <cellStyle name="Normal 2 2 4 3 2 2" xfId="16403" xr:uid="{00000000-0005-0000-0000-000013400000}"/>
    <cellStyle name="Normal 2 2 4 3 2 2 2" xfId="16404" xr:uid="{00000000-0005-0000-0000-000014400000}"/>
    <cellStyle name="Normal 2 2 4 3 2 3" xfId="16405" xr:uid="{00000000-0005-0000-0000-000015400000}"/>
    <cellStyle name="Normal 2 2 4 3 2 3 2" xfId="16406" xr:uid="{00000000-0005-0000-0000-000016400000}"/>
    <cellStyle name="Normal 2 2 4 3 2 3 2 2" xfId="16407" xr:uid="{00000000-0005-0000-0000-000017400000}"/>
    <cellStyle name="Normal 2 2 4 3 2 3 3" xfId="16408" xr:uid="{00000000-0005-0000-0000-000018400000}"/>
    <cellStyle name="Normal 2 2 4 3 2 4" xfId="16409" xr:uid="{00000000-0005-0000-0000-000019400000}"/>
    <cellStyle name="Normal 2 2 4 3 3" xfId="16410" xr:uid="{00000000-0005-0000-0000-00001A400000}"/>
    <cellStyle name="Normal 2 2 4 3 3 2" xfId="16411" xr:uid="{00000000-0005-0000-0000-00001B400000}"/>
    <cellStyle name="Normal 2 2 4 3 3 2 2" xfId="16412" xr:uid="{00000000-0005-0000-0000-00001C400000}"/>
    <cellStyle name="Normal 2 2 4 3 3 3" xfId="16413" xr:uid="{00000000-0005-0000-0000-00001D400000}"/>
    <cellStyle name="Normal 2 2 4 3 4" xfId="16414" xr:uid="{00000000-0005-0000-0000-00001E400000}"/>
    <cellStyle name="Normal 2 2 4 3 4 2" xfId="16415" xr:uid="{00000000-0005-0000-0000-00001F400000}"/>
    <cellStyle name="Normal 2 2 4 3 4 2 2" xfId="16416" xr:uid="{00000000-0005-0000-0000-000020400000}"/>
    <cellStyle name="Normal 2 2 4 3 4 3" xfId="16417" xr:uid="{00000000-0005-0000-0000-000021400000}"/>
    <cellStyle name="Normal 2 2 4 3 5" xfId="16418" xr:uid="{00000000-0005-0000-0000-000022400000}"/>
    <cellStyle name="Normal 2 2 4 3 5 2" xfId="16419" xr:uid="{00000000-0005-0000-0000-000023400000}"/>
    <cellStyle name="Normal 2 2 4 3 5 2 2" xfId="16420" xr:uid="{00000000-0005-0000-0000-000024400000}"/>
    <cellStyle name="Normal 2 2 4 3 5 3" xfId="16421" xr:uid="{00000000-0005-0000-0000-000025400000}"/>
    <cellStyle name="Normal 2 2 4 3 6" xfId="16422" xr:uid="{00000000-0005-0000-0000-000026400000}"/>
    <cellStyle name="Normal 2 2 4 4" xfId="16423" xr:uid="{00000000-0005-0000-0000-000027400000}"/>
    <cellStyle name="Normal 2 2 5" xfId="16424" xr:uid="{00000000-0005-0000-0000-000028400000}"/>
    <cellStyle name="Normal 2 2 5 2" xfId="16425" xr:uid="{00000000-0005-0000-0000-000029400000}"/>
    <cellStyle name="Normal 2 2 5 2 2" xfId="16426" xr:uid="{00000000-0005-0000-0000-00002A400000}"/>
    <cellStyle name="Normal 2 2 5 3" xfId="16427" xr:uid="{00000000-0005-0000-0000-00002B400000}"/>
    <cellStyle name="Normal 2 2 5 3 2" xfId="16428" xr:uid="{00000000-0005-0000-0000-00002C400000}"/>
    <cellStyle name="Normal 2 2 5 3 2 2" xfId="16429" xr:uid="{00000000-0005-0000-0000-00002D400000}"/>
    <cellStyle name="Normal 2 2 5 3 3" xfId="16430" xr:uid="{00000000-0005-0000-0000-00002E400000}"/>
    <cellStyle name="Normal 2 2 5 4" xfId="16431" xr:uid="{00000000-0005-0000-0000-00002F400000}"/>
    <cellStyle name="Normal 2 2 5 4 2" xfId="16432" xr:uid="{00000000-0005-0000-0000-000030400000}"/>
    <cellStyle name="Normal 2 2 5 4 2 2" xfId="16433" xr:uid="{00000000-0005-0000-0000-000031400000}"/>
    <cellStyle name="Normal 2 2 5 4 3" xfId="16434" xr:uid="{00000000-0005-0000-0000-000032400000}"/>
    <cellStyle name="Normal 2 2 5 5" xfId="16435" xr:uid="{00000000-0005-0000-0000-000033400000}"/>
    <cellStyle name="Normal 2 2 6" xfId="16436" xr:uid="{00000000-0005-0000-0000-000034400000}"/>
    <cellStyle name="Normal 2 2 6 2" xfId="16437" xr:uid="{00000000-0005-0000-0000-000035400000}"/>
    <cellStyle name="Normal 2 2 6 2 2" xfId="16438" xr:uid="{00000000-0005-0000-0000-000036400000}"/>
    <cellStyle name="Normal 2 2 6 2 2 2" xfId="16439" xr:uid="{00000000-0005-0000-0000-000037400000}"/>
    <cellStyle name="Normal 2 2 6 2 3" xfId="16440" xr:uid="{00000000-0005-0000-0000-000038400000}"/>
    <cellStyle name="Normal 2 2 6 2 3 2" xfId="16441" xr:uid="{00000000-0005-0000-0000-000039400000}"/>
    <cellStyle name="Normal 2 2 6 2 3 2 2" xfId="16442" xr:uid="{00000000-0005-0000-0000-00003A400000}"/>
    <cellStyle name="Normal 2 2 6 2 3 3" xfId="16443" xr:uid="{00000000-0005-0000-0000-00003B400000}"/>
    <cellStyle name="Normal 2 2 6 2 4" xfId="16444" xr:uid="{00000000-0005-0000-0000-00003C400000}"/>
    <cellStyle name="Normal 2 2 6 3" xfId="16445" xr:uid="{00000000-0005-0000-0000-00003D400000}"/>
    <cellStyle name="Normal 2 2 6 3 2" xfId="16446" xr:uid="{00000000-0005-0000-0000-00003E400000}"/>
    <cellStyle name="Normal 2 2 6 3 2 2" xfId="16447" xr:uid="{00000000-0005-0000-0000-00003F400000}"/>
    <cellStyle name="Normal 2 2 6 3 3" xfId="16448" xr:uid="{00000000-0005-0000-0000-000040400000}"/>
    <cellStyle name="Normal 2 2 6 4" xfId="16449" xr:uid="{00000000-0005-0000-0000-000041400000}"/>
    <cellStyle name="Normal 2 2 6 4 2" xfId="16450" xr:uid="{00000000-0005-0000-0000-000042400000}"/>
    <cellStyle name="Normal 2 2 6 4 2 2" xfId="16451" xr:uid="{00000000-0005-0000-0000-000043400000}"/>
    <cellStyle name="Normal 2 2 6 4 3" xfId="16452" xr:uid="{00000000-0005-0000-0000-000044400000}"/>
    <cellStyle name="Normal 2 2 6 5" xfId="16453" xr:uid="{00000000-0005-0000-0000-000045400000}"/>
    <cellStyle name="Normal 2 2 6 5 2" xfId="16454" xr:uid="{00000000-0005-0000-0000-000046400000}"/>
    <cellStyle name="Normal 2 2 6 5 2 2" xfId="16455" xr:uid="{00000000-0005-0000-0000-000047400000}"/>
    <cellStyle name="Normal 2 2 6 5 3" xfId="16456" xr:uid="{00000000-0005-0000-0000-000048400000}"/>
    <cellStyle name="Normal 2 2 6 6" xfId="16457" xr:uid="{00000000-0005-0000-0000-000049400000}"/>
    <cellStyle name="Normal 2 2 7" xfId="16458" xr:uid="{00000000-0005-0000-0000-00004A400000}"/>
    <cellStyle name="Normal 2 2 7 2" xfId="16459" xr:uid="{00000000-0005-0000-0000-00004B400000}"/>
    <cellStyle name="Normal 2 2 7 2 2" xfId="16460" xr:uid="{00000000-0005-0000-0000-00004C400000}"/>
    <cellStyle name="Normal 2 2 7 3" xfId="16461" xr:uid="{00000000-0005-0000-0000-00004D400000}"/>
    <cellStyle name="Normal 2 2 8" xfId="16462" xr:uid="{00000000-0005-0000-0000-00004E400000}"/>
    <cellStyle name="Normal 2 2 8 2" xfId="16463" xr:uid="{00000000-0005-0000-0000-00004F400000}"/>
    <cellStyle name="Normal 2 2 9" xfId="16464" xr:uid="{00000000-0005-0000-0000-000050400000}"/>
    <cellStyle name="Normal 2 3" xfId="16465" xr:uid="{00000000-0005-0000-0000-000051400000}"/>
    <cellStyle name="Normal 2 3 2" xfId="16466" xr:uid="{00000000-0005-0000-0000-000052400000}"/>
    <cellStyle name="Normal 2 3 2 2" xfId="16467" xr:uid="{00000000-0005-0000-0000-000053400000}"/>
    <cellStyle name="Normal 2 3 2 2 2" xfId="16468" xr:uid="{00000000-0005-0000-0000-000054400000}"/>
    <cellStyle name="Normal 2 3 2 3" xfId="16469" xr:uid="{00000000-0005-0000-0000-000055400000}"/>
    <cellStyle name="Normal 2 3 2 3 2" xfId="16470" xr:uid="{00000000-0005-0000-0000-000056400000}"/>
    <cellStyle name="Normal 2 3 2 3 2 2" xfId="16471" xr:uid="{00000000-0005-0000-0000-000057400000}"/>
    <cellStyle name="Normal 2 3 2 3 3" xfId="16472" xr:uid="{00000000-0005-0000-0000-000058400000}"/>
    <cellStyle name="Normal 2 3 2 4" xfId="16473" xr:uid="{00000000-0005-0000-0000-000059400000}"/>
    <cellStyle name="Normal 2 3 2 4 2" xfId="16474" xr:uid="{00000000-0005-0000-0000-00005A400000}"/>
    <cellStyle name="Normal 2 3 2 4 2 2" xfId="16475" xr:uid="{00000000-0005-0000-0000-00005B400000}"/>
    <cellStyle name="Normal 2 3 2 4 3" xfId="16476" xr:uid="{00000000-0005-0000-0000-00005C400000}"/>
    <cellStyle name="Normal 2 3 2 5" xfId="16477" xr:uid="{00000000-0005-0000-0000-00005D400000}"/>
    <cellStyle name="Normal 2 3 2 6" xfId="16478" xr:uid="{00000000-0005-0000-0000-00005E400000}"/>
    <cellStyle name="Normal 2 3 3" xfId="16479" xr:uid="{00000000-0005-0000-0000-00005F400000}"/>
    <cellStyle name="Normal 2 3 3 2" xfId="16480" xr:uid="{00000000-0005-0000-0000-000060400000}"/>
    <cellStyle name="Normal 2 3 3 2 2" xfId="16481" xr:uid="{00000000-0005-0000-0000-000061400000}"/>
    <cellStyle name="Normal 2 3 3 2 2 2" xfId="16482" xr:uid="{00000000-0005-0000-0000-000062400000}"/>
    <cellStyle name="Normal 2 3 3 2 3" xfId="16483" xr:uid="{00000000-0005-0000-0000-000063400000}"/>
    <cellStyle name="Normal 2 3 3 2 3 2" xfId="16484" xr:uid="{00000000-0005-0000-0000-000064400000}"/>
    <cellStyle name="Normal 2 3 3 2 3 2 2" xfId="16485" xr:uid="{00000000-0005-0000-0000-000065400000}"/>
    <cellStyle name="Normal 2 3 3 2 3 3" xfId="16486" xr:uid="{00000000-0005-0000-0000-000066400000}"/>
    <cellStyle name="Normal 2 3 3 2 4" xfId="16487" xr:uid="{00000000-0005-0000-0000-000067400000}"/>
    <cellStyle name="Normal 2 3 3 3" xfId="16488" xr:uid="{00000000-0005-0000-0000-000068400000}"/>
    <cellStyle name="Normal 2 3 3 3 2" xfId="16489" xr:uid="{00000000-0005-0000-0000-000069400000}"/>
    <cellStyle name="Normal 2 3 3 3 2 2" xfId="16490" xr:uid="{00000000-0005-0000-0000-00006A400000}"/>
    <cellStyle name="Normal 2 3 3 3 3" xfId="16491" xr:uid="{00000000-0005-0000-0000-00006B400000}"/>
    <cellStyle name="Normal 2 3 3 4" xfId="16492" xr:uid="{00000000-0005-0000-0000-00006C400000}"/>
    <cellStyle name="Normal 2 3 3 4 2" xfId="16493" xr:uid="{00000000-0005-0000-0000-00006D400000}"/>
    <cellStyle name="Normal 2 3 3 4 2 2" xfId="16494" xr:uid="{00000000-0005-0000-0000-00006E400000}"/>
    <cellStyle name="Normal 2 3 3 4 3" xfId="16495" xr:uid="{00000000-0005-0000-0000-00006F400000}"/>
    <cellStyle name="Normal 2 3 3 5" xfId="16496" xr:uid="{00000000-0005-0000-0000-000070400000}"/>
    <cellStyle name="Normal 2 3 3 5 2" xfId="16497" xr:uid="{00000000-0005-0000-0000-000071400000}"/>
    <cellStyle name="Normal 2 3 3 5 2 2" xfId="16498" xr:uid="{00000000-0005-0000-0000-000072400000}"/>
    <cellStyle name="Normal 2 3 3 5 3" xfId="16499" xr:uid="{00000000-0005-0000-0000-000073400000}"/>
    <cellStyle name="Normal 2 3 3 6" xfId="16500" xr:uid="{00000000-0005-0000-0000-000074400000}"/>
    <cellStyle name="Normal 2 3 4" xfId="16501" xr:uid="{00000000-0005-0000-0000-000075400000}"/>
    <cellStyle name="Normal 2 3 4 2" xfId="16502" xr:uid="{00000000-0005-0000-0000-000076400000}"/>
    <cellStyle name="Normal 2 3 4 2 2" xfId="16503" xr:uid="{00000000-0005-0000-0000-000077400000}"/>
    <cellStyle name="Normal 2 3 4 3" xfId="16504" xr:uid="{00000000-0005-0000-0000-000078400000}"/>
    <cellStyle name="Normal 2 3 5" xfId="16505" xr:uid="{00000000-0005-0000-0000-000079400000}"/>
    <cellStyle name="Normal 2 3 5 2" xfId="16506" xr:uid="{00000000-0005-0000-0000-00007A400000}"/>
    <cellStyle name="Normal 2 3 5 2 2" xfId="16507" xr:uid="{00000000-0005-0000-0000-00007B400000}"/>
    <cellStyle name="Normal 2 3 5 3" xfId="16508" xr:uid="{00000000-0005-0000-0000-00007C400000}"/>
    <cellStyle name="Normal 2 3 6" xfId="16509" xr:uid="{00000000-0005-0000-0000-00007D400000}"/>
    <cellStyle name="Normal 2 3 6 2" xfId="16510" xr:uid="{00000000-0005-0000-0000-00007E400000}"/>
    <cellStyle name="Normal 2 3 6 2 2" xfId="16511" xr:uid="{00000000-0005-0000-0000-00007F400000}"/>
    <cellStyle name="Normal 2 3 6 3" xfId="16512" xr:uid="{00000000-0005-0000-0000-000080400000}"/>
    <cellStyle name="Normal 2 3 7" xfId="16513" xr:uid="{00000000-0005-0000-0000-000081400000}"/>
    <cellStyle name="Normal 2 3 7 2" xfId="16514" xr:uid="{00000000-0005-0000-0000-000082400000}"/>
    <cellStyle name="Normal 2 3 8" xfId="16515" xr:uid="{00000000-0005-0000-0000-000083400000}"/>
    <cellStyle name="Normal 2 4" xfId="16516" xr:uid="{00000000-0005-0000-0000-000084400000}"/>
    <cellStyle name="Normal 2 4 2" xfId="16517" xr:uid="{00000000-0005-0000-0000-000085400000}"/>
    <cellStyle name="Normal 2 4 2 2" xfId="16518" xr:uid="{00000000-0005-0000-0000-000086400000}"/>
    <cellStyle name="Normal 2 4 2 2 2" xfId="16519" xr:uid="{00000000-0005-0000-0000-000087400000}"/>
    <cellStyle name="Normal 2 4 2 3" xfId="16520" xr:uid="{00000000-0005-0000-0000-000088400000}"/>
    <cellStyle name="Normal 2 4 2 3 2" xfId="16521" xr:uid="{00000000-0005-0000-0000-000089400000}"/>
    <cellStyle name="Normal 2 4 2 3 2 2" xfId="16522" xr:uid="{00000000-0005-0000-0000-00008A400000}"/>
    <cellStyle name="Normal 2 4 2 3 3" xfId="16523" xr:uid="{00000000-0005-0000-0000-00008B400000}"/>
    <cellStyle name="Normal 2 4 2 4" xfId="16524" xr:uid="{00000000-0005-0000-0000-00008C400000}"/>
    <cellStyle name="Normal 2 4 2 4 2" xfId="16525" xr:uid="{00000000-0005-0000-0000-00008D400000}"/>
    <cellStyle name="Normal 2 4 2 4 2 2" xfId="16526" xr:uid="{00000000-0005-0000-0000-00008E400000}"/>
    <cellStyle name="Normal 2 4 2 4 3" xfId="16527" xr:uid="{00000000-0005-0000-0000-00008F400000}"/>
    <cellStyle name="Normal 2 4 2 5" xfId="16528" xr:uid="{00000000-0005-0000-0000-000090400000}"/>
    <cellStyle name="Normal 2 4 2 6" xfId="16529" xr:uid="{00000000-0005-0000-0000-000091400000}"/>
    <cellStyle name="Normal 2 4 3" xfId="16530" xr:uid="{00000000-0005-0000-0000-000092400000}"/>
    <cellStyle name="Normal 2 4 3 2" xfId="16531" xr:uid="{00000000-0005-0000-0000-000093400000}"/>
    <cellStyle name="Normal 2 4 3 2 2" xfId="16532" xr:uid="{00000000-0005-0000-0000-000094400000}"/>
    <cellStyle name="Normal 2 4 3 2 2 2" xfId="16533" xr:uid="{00000000-0005-0000-0000-000095400000}"/>
    <cellStyle name="Normal 2 4 3 2 3" xfId="16534" xr:uid="{00000000-0005-0000-0000-000096400000}"/>
    <cellStyle name="Normal 2 4 3 2 3 2" xfId="16535" xr:uid="{00000000-0005-0000-0000-000097400000}"/>
    <cellStyle name="Normal 2 4 3 2 3 2 2" xfId="16536" xr:uid="{00000000-0005-0000-0000-000098400000}"/>
    <cellStyle name="Normal 2 4 3 2 3 3" xfId="16537" xr:uid="{00000000-0005-0000-0000-000099400000}"/>
    <cellStyle name="Normal 2 4 3 2 4" xfId="16538" xr:uid="{00000000-0005-0000-0000-00009A400000}"/>
    <cellStyle name="Normal 2 4 3 3" xfId="16539" xr:uid="{00000000-0005-0000-0000-00009B400000}"/>
    <cellStyle name="Normal 2 4 4" xfId="16540" xr:uid="{00000000-0005-0000-0000-00009C400000}"/>
    <cellStyle name="Normal 2 4 4 2" xfId="16541" xr:uid="{00000000-0005-0000-0000-00009D400000}"/>
    <cellStyle name="Normal 2 4 4 2 2" xfId="16542" xr:uid="{00000000-0005-0000-0000-00009E400000}"/>
    <cellStyle name="Normal 2 4 4 3" xfId="16543" xr:uid="{00000000-0005-0000-0000-00009F400000}"/>
    <cellStyle name="Normal 2 4 5" xfId="16544" xr:uid="{00000000-0005-0000-0000-0000A0400000}"/>
    <cellStyle name="Normal 2 4 5 2" xfId="16545" xr:uid="{00000000-0005-0000-0000-0000A1400000}"/>
    <cellStyle name="Normal 2 4 5 2 2" xfId="16546" xr:uid="{00000000-0005-0000-0000-0000A2400000}"/>
    <cellStyle name="Normal 2 4 5 3" xfId="16547" xr:uid="{00000000-0005-0000-0000-0000A3400000}"/>
    <cellStyle name="Normal 2 4 6" xfId="16548" xr:uid="{00000000-0005-0000-0000-0000A4400000}"/>
    <cellStyle name="Normal 2 4 7" xfId="16549" xr:uid="{00000000-0005-0000-0000-0000A5400000}"/>
    <cellStyle name="Normal 2 5" xfId="16550" xr:uid="{00000000-0005-0000-0000-0000A6400000}"/>
    <cellStyle name="Normal 2 5 2" xfId="16551" xr:uid="{00000000-0005-0000-0000-0000A7400000}"/>
    <cellStyle name="Normal 2 5 2 2" xfId="16552" xr:uid="{00000000-0005-0000-0000-0000A8400000}"/>
    <cellStyle name="Normal 2 5 2 2 2" xfId="16553" xr:uid="{00000000-0005-0000-0000-0000A9400000}"/>
    <cellStyle name="Normal 2 5 2 3" xfId="16554" xr:uid="{00000000-0005-0000-0000-0000AA400000}"/>
    <cellStyle name="Normal 2 5 2 3 2" xfId="16555" xr:uid="{00000000-0005-0000-0000-0000AB400000}"/>
    <cellStyle name="Normal 2 5 2 3 2 2" xfId="16556" xr:uid="{00000000-0005-0000-0000-0000AC400000}"/>
    <cellStyle name="Normal 2 5 2 3 3" xfId="16557" xr:uid="{00000000-0005-0000-0000-0000AD400000}"/>
    <cellStyle name="Normal 2 5 2 4" xfId="16558" xr:uid="{00000000-0005-0000-0000-0000AE400000}"/>
    <cellStyle name="Normal 2 5 2 4 2" xfId="16559" xr:uid="{00000000-0005-0000-0000-0000AF400000}"/>
    <cellStyle name="Normal 2 5 2 4 2 2" xfId="16560" xr:uid="{00000000-0005-0000-0000-0000B0400000}"/>
    <cellStyle name="Normal 2 5 2 4 3" xfId="16561" xr:uid="{00000000-0005-0000-0000-0000B1400000}"/>
    <cellStyle name="Normal 2 5 2 5" xfId="16562" xr:uid="{00000000-0005-0000-0000-0000B2400000}"/>
    <cellStyle name="Normal 2 5 3" xfId="16563" xr:uid="{00000000-0005-0000-0000-0000B3400000}"/>
    <cellStyle name="Normal 2 5 3 2" xfId="16564" xr:uid="{00000000-0005-0000-0000-0000B4400000}"/>
    <cellStyle name="Normal 2 5 3 2 2" xfId="16565" xr:uid="{00000000-0005-0000-0000-0000B5400000}"/>
    <cellStyle name="Normal 2 5 3 2 2 2" xfId="16566" xr:uid="{00000000-0005-0000-0000-0000B6400000}"/>
    <cellStyle name="Normal 2 5 3 2 3" xfId="16567" xr:uid="{00000000-0005-0000-0000-0000B7400000}"/>
    <cellStyle name="Normal 2 5 3 2 3 2" xfId="16568" xr:uid="{00000000-0005-0000-0000-0000B8400000}"/>
    <cellStyle name="Normal 2 5 3 2 3 2 2" xfId="16569" xr:uid="{00000000-0005-0000-0000-0000B9400000}"/>
    <cellStyle name="Normal 2 5 3 2 3 3" xfId="16570" xr:uid="{00000000-0005-0000-0000-0000BA400000}"/>
    <cellStyle name="Normal 2 5 3 2 4" xfId="16571" xr:uid="{00000000-0005-0000-0000-0000BB400000}"/>
    <cellStyle name="Normal 2 5 3 3" xfId="16572" xr:uid="{00000000-0005-0000-0000-0000BC400000}"/>
    <cellStyle name="Normal 2 5 4" xfId="16573" xr:uid="{00000000-0005-0000-0000-0000BD400000}"/>
    <cellStyle name="Normal 2 5 4 2" xfId="16574" xr:uid="{00000000-0005-0000-0000-0000BE400000}"/>
    <cellStyle name="Normal 2 5 4 2 2" xfId="16575" xr:uid="{00000000-0005-0000-0000-0000BF400000}"/>
    <cellStyle name="Normal 2 5 4 3" xfId="16576" xr:uid="{00000000-0005-0000-0000-0000C0400000}"/>
    <cellStyle name="Normal 2 5 5" xfId="16577" xr:uid="{00000000-0005-0000-0000-0000C1400000}"/>
    <cellStyle name="Normal 2 5 5 2" xfId="16578" xr:uid="{00000000-0005-0000-0000-0000C2400000}"/>
    <cellStyle name="Normal 2 5 5 2 2" xfId="16579" xr:uid="{00000000-0005-0000-0000-0000C3400000}"/>
    <cellStyle name="Normal 2 5 5 3" xfId="16580" xr:uid="{00000000-0005-0000-0000-0000C4400000}"/>
    <cellStyle name="Normal 2 5 6" xfId="16581" xr:uid="{00000000-0005-0000-0000-0000C5400000}"/>
    <cellStyle name="Normal 2 5 7" xfId="16582" xr:uid="{00000000-0005-0000-0000-0000C6400000}"/>
    <cellStyle name="Normal 2 6" xfId="16583" xr:uid="{00000000-0005-0000-0000-0000C7400000}"/>
    <cellStyle name="Normal 2 6 10" xfId="16584" xr:uid="{00000000-0005-0000-0000-0000C8400000}"/>
    <cellStyle name="Normal 2 6 10 2" xfId="16585" xr:uid="{00000000-0005-0000-0000-0000C9400000}"/>
    <cellStyle name="Normal 2 6 10 3" xfId="16586" xr:uid="{00000000-0005-0000-0000-0000CA400000}"/>
    <cellStyle name="Normal 2 6 10 4" xfId="16587" xr:uid="{00000000-0005-0000-0000-0000CB400000}"/>
    <cellStyle name="Normal 2 6 10 5" xfId="16588" xr:uid="{00000000-0005-0000-0000-0000CC400000}"/>
    <cellStyle name="Normal 2 6 11" xfId="16589" xr:uid="{00000000-0005-0000-0000-0000CD400000}"/>
    <cellStyle name="Normal 2 6 12" xfId="16590" xr:uid="{00000000-0005-0000-0000-0000CE400000}"/>
    <cellStyle name="Normal 2 6 13" xfId="16591" xr:uid="{00000000-0005-0000-0000-0000CF400000}"/>
    <cellStyle name="Normal 2 6 14" xfId="16592" xr:uid="{00000000-0005-0000-0000-0000D0400000}"/>
    <cellStyle name="Normal 2 6 15" xfId="16593" xr:uid="{00000000-0005-0000-0000-0000D1400000}"/>
    <cellStyle name="Normal 2 6 16" xfId="16594" xr:uid="{00000000-0005-0000-0000-0000D2400000}"/>
    <cellStyle name="Normal 2 6 17" xfId="16595" xr:uid="{00000000-0005-0000-0000-0000D3400000}"/>
    <cellStyle name="Normal 2 6 2" xfId="16596" xr:uid="{00000000-0005-0000-0000-0000D4400000}"/>
    <cellStyle name="Normal 2 6 2 10" xfId="16597" xr:uid="{00000000-0005-0000-0000-0000D5400000}"/>
    <cellStyle name="Normal 2 6 2 11" xfId="16598" xr:uid="{00000000-0005-0000-0000-0000D6400000}"/>
    <cellStyle name="Normal 2 6 2 12" xfId="16599" xr:uid="{00000000-0005-0000-0000-0000D7400000}"/>
    <cellStyle name="Normal 2 6 2 13" xfId="16600" xr:uid="{00000000-0005-0000-0000-0000D8400000}"/>
    <cellStyle name="Normal 2 6 2 14" xfId="16601" xr:uid="{00000000-0005-0000-0000-0000D9400000}"/>
    <cellStyle name="Normal 2 6 2 15" xfId="16602" xr:uid="{00000000-0005-0000-0000-0000DA400000}"/>
    <cellStyle name="Normal 2 6 2 2" xfId="16603" xr:uid="{00000000-0005-0000-0000-0000DB400000}"/>
    <cellStyle name="Normal 2 6 2 2 10" xfId="16604" xr:uid="{00000000-0005-0000-0000-0000DC400000}"/>
    <cellStyle name="Normal 2 6 2 2 11" xfId="16605" xr:uid="{00000000-0005-0000-0000-0000DD400000}"/>
    <cellStyle name="Normal 2 6 2 2 2" xfId="16606" xr:uid="{00000000-0005-0000-0000-0000DE400000}"/>
    <cellStyle name="Normal 2 6 2 2 2 2" xfId="16607" xr:uid="{00000000-0005-0000-0000-0000DF400000}"/>
    <cellStyle name="Normal 2 6 2 2 2 2 2" xfId="16608" xr:uid="{00000000-0005-0000-0000-0000E0400000}"/>
    <cellStyle name="Normal 2 6 2 2 2 2 3" xfId="16609" xr:uid="{00000000-0005-0000-0000-0000E1400000}"/>
    <cellStyle name="Normal 2 6 2 2 2 2 4" xfId="16610" xr:uid="{00000000-0005-0000-0000-0000E2400000}"/>
    <cellStyle name="Normal 2 6 2 2 2 2 5" xfId="16611" xr:uid="{00000000-0005-0000-0000-0000E3400000}"/>
    <cellStyle name="Normal 2 6 2 2 2 3" xfId="16612" xr:uid="{00000000-0005-0000-0000-0000E4400000}"/>
    <cellStyle name="Normal 2 6 2 2 2 3 2" xfId="16613" xr:uid="{00000000-0005-0000-0000-0000E5400000}"/>
    <cellStyle name="Normal 2 6 2 2 2 3 3" xfId="16614" xr:uid="{00000000-0005-0000-0000-0000E6400000}"/>
    <cellStyle name="Normal 2 6 2 2 2 3 4" xfId="16615" xr:uid="{00000000-0005-0000-0000-0000E7400000}"/>
    <cellStyle name="Normal 2 6 2 2 2 3 5" xfId="16616" xr:uid="{00000000-0005-0000-0000-0000E8400000}"/>
    <cellStyle name="Normal 2 6 2 2 2 4" xfId="16617" xr:uid="{00000000-0005-0000-0000-0000E9400000}"/>
    <cellStyle name="Normal 2 6 2 2 2 5" xfId="16618" xr:uid="{00000000-0005-0000-0000-0000EA400000}"/>
    <cellStyle name="Normal 2 6 2 2 2 6" xfId="16619" xr:uid="{00000000-0005-0000-0000-0000EB400000}"/>
    <cellStyle name="Normal 2 6 2 2 2 7" xfId="16620" xr:uid="{00000000-0005-0000-0000-0000EC400000}"/>
    <cellStyle name="Normal 2 6 2 2 2 8" xfId="16621" xr:uid="{00000000-0005-0000-0000-0000ED400000}"/>
    <cellStyle name="Normal 2 6 2 2 2 9" xfId="16622" xr:uid="{00000000-0005-0000-0000-0000EE400000}"/>
    <cellStyle name="Normal 2 6 2 2 3" xfId="16623" xr:uid="{00000000-0005-0000-0000-0000EF400000}"/>
    <cellStyle name="Normal 2 6 2 2 3 2" xfId="16624" xr:uid="{00000000-0005-0000-0000-0000F0400000}"/>
    <cellStyle name="Normal 2 6 2 2 3 3" xfId="16625" xr:uid="{00000000-0005-0000-0000-0000F1400000}"/>
    <cellStyle name="Normal 2 6 2 2 3 4" xfId="16626" xr:uid="{00000000-0005-0000-0000-0000F2400000}"/>
    <cellStyle name="Normal 2 6 2 2 3 5" xfId="16627" xr:uid="{00000000-0005-0000-0000-0000F3400000}"/>
    <cellStyle name="Normal 2 6 2 2 4" xfId="16628" xr:uid="{00000000-0005-0000-0000-0000F4400000}"/>
    <cellStyle name="Normal 2 6 2 2 4 2" xfId="16629" xr:uid="{00000000-0005-0000-0000-0000F5400000}"/>
    <cellStyle name="Normal 2 6 2 2 4 3" xfId="16630" xr:uid="{00000000-0005-0000-0000-0000F6400000}"/>
    <cellStyle name="Normal 2 6 2 2 4 4" xfId="16631" xr:uid="{00000000-0005-0000-0000-0000F7400000}"/>
    <cellStyle name="Normal 2 6 2 2 4 5" xfId="16632" xr:uid="{00000000-0005-0000-0000-0000F8400000}"/>
    <cellStyle name="Normal 2 6 2 2 5" xfId="16633" xr:uid="{00000000-0005-0000-0000-0000F9400000}"/>
    <cellStyle name="Normal 2 6 2 2 6" xfId="16634" xr:uid="{00000000-0005-0000-0000-0000FA400000}"/>
    <cellStyle name="Normal 2 6 2 2 7" xfId="16635" xr:uid="{00000000-0005-0000-0000-0000FB400000}"/>
    <cellStyle name="Normal 2 6 2 2 8" xfId="16636" xr:uid="{00000000-0005-0000-0000-0000FC400000}"/>
    <cellStyle name="Normal 2 6 2 2 9" xfId="16637" xr:uid="{00000000-0005-0000-0000-0000FD400000}"/>
    <cellStyle name="Normal 2 6 2 3" xfId="16638" xr:uid="{00000000-0005-0000-0000-0000FE400000}"/>
    <cellStyle name="Normal 2 6 2 3 10" xfId="16639" xr:uid="{00000000-0005-0000-0000-0000FF400000}"/>
    <cellStyle name="Normal 2 6 2 3 11" xfId="16640" xr:uid="{00000000-0005-0000-0000-000000410000}"/>
    <cellStyle name="Normal 2 6 2 3 2" xfId="16641" xr:uid="{00000000-0005-0000-0000-000001410000}"/>
    <cellStyle name="Normal 2 6 2 3 2 2" xfId="16642" xr:uid="{00000000-0005-0000-0000-000002410000}"/>
    <cellStyle name="Normal 2 6 2 3 2 2 2" xfId="16643" xr:uid="{00000000-0005-0000-0000-000003410000}"/>
    <cellStyle name="Normal 2 6 2 3 2 2 3" xfId="16644" xr:uid="{00000000-0005-0000-0000-000004410000}"/>
    <cellStyle name="Normal 2 6 2 3 2 2 4" xfId="16645" xr:uid="{00000000-0005-0000-0000-000005410000}"/>
    <cellStyle name="Normal 2 6 2 3 2 2 5" xfId="16646" xr:uid="{00000000-0005-0000-0000-000006410000}"/>
    <cellStyle name="Normal 2 6 2 3 2 3" xfId="16647" xr:uid="{00000000-0005-0000-0000-000007410000}"/>
    <cellStyle name="Normal 2 6 2 3 2 3 2" xfId="16648" xr:uid="{00000000-0005-0000-0000-000008410000}"/>
    <cellStyle name="Normal 2 6 2 3 2 3 3" xfId="16649" xr:uid="{00000000-0005-0000-0000-000009410000}"/>
    <cellStyle name="Normal 2 6 2 3 2 3 4" xfId="16650" xr:uid="{00000000-0005-0000-0000-00000A410000}"/>
    <cellStyle name="Normal 2 6 2 3 2 3 5" xfId="16651" xr:uid="{00000000-0005-0000-0000-00000B410000}"/>
    <cellStyle name="Normal 2 6 2 3 2 4" xfId="16652" xr:uid="{00000000-0005-0000-0000-00000C410000}"/>
    <cellStyle name="Normal 2 6 2 3 2 5" xfId="16653" xr:uid="{00000000-0005-0000-0000-00000D410000}"/>
    <cellStyle name="Normal 2 6 2 3 2 6" xfId="16654" xr:uid="{00000000-0005-0000-0000-00000E410000}"/>
    <cellStyle name="Normal 2 6 2 3 2 7" xfId="16655" xr:uid="{00000000-0005-0000-0000-00000F410000}"/>
    <cellStyle name="Normal 2 6 2 3 2 8" xfId="16656" xr:uid="{00000000-0005-0000-0000-000010410000}"/>
    <cellStyle name="Normal 2 6 2 3 2 9" xfId="16657" xr:uid="{00000000-0005-0000-0000-000011410000}"/>
    <cellStyle name="Normal 2 6 2 3 3" xfId="16658" xr:uid="{00000000-0005-0000-0000-000012410000}"/>
    <cellStyle name="Normal 2 6 2 3 3 2" xfId="16659" xr:uid="{00000000-0005-0000-0000-000013410000}"/>
    <cellStyle name="Normal 2 6 2 3 3 3" xfId="16660" xr:uid="{00000000-0005-0000-0000-000014410000}"/>
    <cellStyle name="Normal 2 6 2 3 3 4" xfId="16661" xr:uid="{00000000-0005-0000-0000-000015410000}"/>
    <cellStyle name="Normal 2 6 2 3 3 5" xfId="16662" xr:uid="{00000000-0005-0000-0000-000016410000}"/>
    <cellStyle name="Normal 2 6 2 3 4" xfId="16663" xr:uid="{00000000-0005-0000-0000-000017410000}"/>
    <cellStyle name="Normal 2 6 2 3 4 2" xfId="16664" xr:uid="{00000000-0005-0000-0000-000018410000}"/>
    <cellStyle name="Normal 2 6 2 3 4 3" xfId="16665" xr:uid="{00000000-0005-0000-0000-000019410000}"/>
    <cellStyle name="Normal 2 6 2 3 4 4" xfId="16666" xr:uid="{00000000-0005-0000-0000-00001A410000}"/>
    <cellStyle name="Normal 2 6 2 3 4 5" xfId="16667" xr:uid="{00000000-0005-0000-0000-00001B410000}"/>
    <cellStyle name="Normal 2 6 2 3 5" xfId="16668" xr:uid="{00000000-0005-0000-0000-00001C410000}"/>
    <cellStyle name="Normal 2 6 2 3 6" xfId="16669" xr:uid="{00000000-0005-0000-0000-00001D410000}"/>
    <cellStyle name="Normal 2 6 2 3 7" xfId="16670" xr:uid="{00000000-0005-0000-0000-00001E410000}"/>
    <cellStyle name="Normal 2 6 2 3 8" xfId="16671" xr:uid="{00000000-0005-0000-0000-00001F410000}"/>
    <cellStyle name="Normal 2 6 2 3 9" xfId="16672" xr:uid="{00000000-0005-0000-0000-000020410000}"/>
    <cellStyle name="Normal 2 6 2 4" xfId="16673" xr:uid="{00000000-0005-0000-0000-000021410000}"/>
    <cellStyle name="Normal 2 6 2 4 10" xfId="16674" xr:uid="{00000000-0005-0000-0000-000022410000}"/>
    <cellStyle name="Normal 2 6 2 4 11" xfId="16675" xr:uid="{00000000-0005-0000-0000-000023410000}"/>
    <cellStyle name="Normal 2 6 2 4 2" xfId="16676" xr:uid="{00000000-0005-0000-0000-000024410000}"/>
    <cellStyle name="Normal 2 6 2 4 2 2" xfId="16677" xr:uid="{00000000-0005-0000-0000-000025410000}"/>
    <cellStyle name="Normal 2 6 2 4 2 2 2" xfId="16678" xr:uid="{00000000-0005-0000-0000-000026410000}"/>
    <cellStyle name="Normal 2 6 2 4 2 2 3" xfId="16679" xr:uid="{00000000-0005-0000-0000-000027410000}"/>
    <cellStyle name="Normal 2 6 2 4 2 2 4" xfId="16680" xr:uid="{00000000-0005-0000-0000-000028410000}"/>
    <cellStyle name="Normal 2 6 2 4 2 2 5" xfId="16681" xr:uid="{00000000-0005-0000-0000-000029410000}"/>
    <cellStyle name="Normal 2 6 2 4 2 3" xfId="16682" xr:uid="{00000000-0005-0000-0000-00002A410000}"/>
    <cellStyle name="Normal 2 6 2 4 2 3 2" xfId="16683" xr:uid="{00000000-0005-0000-0000-00002B410000}"/>
    <cellStyle name="Normal 2 6 2 4 2 3 3" xfId="16684" xr:uid="{00000000-0005-0000-0000-00002C410000}"/>
    <cellStyle name="Normal 2 6 2 4 2 3 4" xfId="16685" xr:uid="{00000000-0005-0000-0000-00002D410000}"/>
    <cellStyle name="Normal 2 6 2 4 2 3 5" xfId="16686" xr:uid="{00000000-0005-0000-0000-00002E410000}"/>
    <cellStyle name="Normal 2 6 2 4 2 4" xfId="16687" xr:uid="{00000000-0005-0000-0000-00002F410000}"/>
    <cellStyle name="Normal 2 6 2 4 2 5" xfId="16688" xr:uid="{00000000-0005-0000-0000-000030410000}"/>
    <cellStyle name="Normal 2 6 2 4 2 6" xfId="16689" xr:uid="{00000000-0005-0000-0000-000031410000}"/>
    <cellStyle name="Normal 2 6 2 4 2 7" xfId="16690" xr:uid="{00000000-0005-0000-0000-000032410000}"/>
    <cellStyle name="Normal 2 6 2 4 2 8" xfId="16691" xr:uid="{00000000-0005-0000-0000-000033410000}"/>
    <cellStyle name="Normal 2 6 2 4 2 9" xfId="16692" xr:uid="{00000000-0005-0000-0000-000034410000}"/>
    <cellStyle name="Normal 2 6 2 4 3" xfId="16693" xr:uid="{00000000-0005-0000-0000-000035410000}"/>
    <cellStyle name="Normal 2 6 2 4 3 2" xfId="16694" xr:uid="{00000000-0005-0000-0000-000036410000}"/>
    <cellStyle name="Normal 2 6 2 4 3 3" xfId="16695" xr:uid="{00000000-0005-0000-0000-000037410000}"/>
    <cellStyle name="Normal 2 6 2 4 3 4" xfId="16696" xr:uid="{00000000-0005-0000-0000-000038410000}"/>
    <cellStyle name="Normal 2 6 2 4 3 5" xfId="16697" xr:uid="{00000000-0005-0000-0000-000039410000}"/>
    <cellStyle name="Normal 2 6 2 4 4" xfId="16698" xr:uid="{00000000-0005-0000-0000-00003A410000}"/>
    <cellStyle name="Normal 2 6 2 4 4 2" xfId="16699" xr:uid="{00000000-0005-0000-0000-00003B410000}"/>
    <cellStyle name="Normal 2 6 2 4 4 3" xfId="16700" xr:uid="{00000000-0005-0000-0000-00003C410000}"/>
    <cellStyle name="Normal 2 6 2 4 4 4" xfId="16701" xr:uid="{00000000-0005-0000-0000-00003D410000}"/>
    <cellStyle name="Normal 2 6 2 4 4 5" xfId="16702" xr:uid="{00000000-0005-0000-0000-00003E410000}"/>
    <cellStyle name="Normal 2 6 2 4 5" xfId="16703" xr:uid="{00000000-0005-0000-0000-00003F410000}"/>
    <cellStyle name="Normal 2 6 2 4 6" xfId="16704" xr:uid="{00000000-0005-0000-0000-000040410000}"/>
    <cellStyle name="Normal 2 6 2 4 7" xfId="16705" xr:uid="{00000000-0005-0000-0000-000041410000}"/>
    <cellStyle name="Normal 2 6 2 4 8" xfId="16706" xr:uid="{00000000-0005-0000-0000-000042410000}"/>
    <cellStyle name="Normal 2 6 2 4 9" xfId="16707" xr:uid="{00000000-0005-0000-0000-000043410000}"/>
    <cellStyle name="Normal 2 6 2 5" xfId="16708" xr:uid="{00000000-0005-0000-0000-000044410000}"/>
    <cellStyle name="Normal 2 6 2 5 2" xfId="16709" xr:uid="{00000000-0005-0000-0000-000045410000}"/>
    <cellStyle name="Normal 2 6 2 5 2 2" xfId="16710" xr:uid="{00000000-0005-0000-0000-000046410000}"/>
    <cellStyle name="Normal 2 6 2 5 2 3" xfId="16711" xr:uid="{00000000-0005-0000-0000-000047410000}"/>
    <cellStyle name="Normal 2 6 2 5 2 4" xfId="16712" xr:uid="{00000000-0005-0000-0000-000048410000}"/>
    <cellStyle name="Normal 2 6 2 5 2 5" xfId="16713" xr:uid="{00000000-0005-0000-0000-000049410000}"/>
    <cellStyle name="Normal 2 6 2 5 3" xfId="16714" xr:uid="{00000000-0005-0000-0000-00004A410000}"/>
    <cellStyle name="Normal 2 6 2 5 3 2" xfId="16715" xr:uid="{00000000-0005-0000-0000-00004B410000}"/>
    <cellStyle name="Normal 2 6 2 5 3 3" xfId="16716" xr:uid="{00000000-0005-0000-0000-00004C410000}"/>
    <cellStyle name="Normal 2 6 2 5 3 4" xfId="16717" xr:uid="{00000000-0005-0000-0000-00004D410000}"/>
    <cellStyle name="Normal 2 6 2 5 3 5" xfId="16718" xr:uid="{00000000-0005-0000-0000-00004E410000}"/>
    <cellStyle name="Normal 2 6 2 5 4" xfId="16719" xr:uid="{00000000-0005-0000-0000-00004F410000}"/>
    <cellStyle name="Normal 2 6 2 5 5" xfId="16720" xr:uid="{00000000-0005-0000-0000-000050410000}"/>
    <cellStyle name="Normal 2 6 2 5 6" xfId="16721" xr:uid="{00000000-0005-0000-0000-000051410000}"/>
    <cellStyle name="Normal 2 6 2 5 7" xfId="16722" xr:uid="{00000000-0005-0000-0000-000052410000}"/>
    <cellStyle name="Normal 2 6 2 5 8" xfId="16723" xr:uid="{00000000-0005-0000-0000-000053410000}"/>
    <cellStyle name="Normal 2 6 2 5 9" xfId="16724" xr:uid="{00000000-0005-0000-0000-000054410000}"/>
    <cellStyle name="Normal 2 6 2 6" xfId="16725" xr:uid="{00000000-0005-0000-0000-000055410000}"/>
    <cellStyle name="Normal 2 6 2 6 2" xfId="16726" xr:uid="{00000000-0005-0000-0000-000056410000}"/>
    <cellStyle name="Normal 2 6 2 6 2 2" xfId="16727" xr:uid="{00000000-0005-0000-0000-000057410000}"/>
    <cellStyle name="Normal 2 6 2 6 2 3" xfId="16728" xr:uid="{00000000-0005-0000-0000-000058410000}"/>
    <cellStyle name="Normal 2 6 2 6 2 4" xfId="16729" xr:uid="{00000000-0005-0000-0000-000059410000}"/>
    <cellStyle name="Normal 2 6 2 6 2 5" xfId="16730" xr:uid="{00000000-0005-0000-0000-00005A410000}"/>
    <cellStyle name="Normal 2 6 2 6 3" xfId="16731" xr:uid="{00000000-0005-0000-0000-00005B410000}"/>
    <cellStyle name="Normal 2 6 2 6 3 2" xfId="16732" xr:uid="{00000000-0005-0000-0000-00005C410000}"/>
    <cellStyle name="Normal 2 6 2 6 3 3" xfId="16733" xr:uid="{00000000-0005-0000-0000-00005D410000}"/>
    <cellStyle name="Normal 2 6 2 6 3 4" xfId="16734" xr:uid="{00000000-0005-0000-0000-00005E410000}"/>
    <cellStyle name="Normal 2 6 2 6 3 5" xfId="16735" xr:uid="{00000000-0005-0000-0000-00005F410000}"/>
    <cellStyle name="Normal 2 6 2 6 4" xfId="16736" xr:uid="{00000000-0005-0000-0000-000060410000}"/>
    <cellStyle name="Normal 2 6 2 6 5" xfId="16737" xr:uid="{00000000-0005-0000-0000-000061410000}"/>
    <cellStyle name="Normal 2 6 2 6 6" xfId="16738" xr:uid="{00000000-0005-0000-0000-000062410000}"/>
    <cellStyle name="Normal 2 6 2 6 7" xfId="16739" xr:uid="{00000000-0005-0000-0000-000063410000}"/>
    <cellStyle name="Normal 2 6 2 6 8" xfId="16740" xr:uid="{00000000-0005-0000-0000-000064410000}"/>
    <cellStyle name="Normal 2 6 2 6 9" xfId="16741" xr:uid="{00000000-0005-0000-0000-000065410000}"/>
    <cellStyle name="Normal 2 6 2 7" xfId="16742" xr:uid="{00000000-0005-0000-0000-000066410000}"/>
    <cellStyle name="Normal 2 6 2 7 2" xfId="16743" xr:uid="{00000000-0005-0000-0000-000067410000}"/>
    <cellStyle name="Normal 2 6 2 7 3" xfId="16744" xr:uid="{00000000-0005-0000-0000-000068410000}"/>
    <cellStyle name="Normal 2 6 2 7 4" xfId="16745" xr:uid="{00000000-0005-0000-0000-000069410000}"/>
    <cellStyle name="Normal 2 6 2 7 5" xfId="16746" xr:uid="{00000000-0005-0000-0000-00006A410000}"/>
    <cellStyle name="Normal 2 6 2 8" xfId="16747" xr:uid="{00000000-0005-0000-0000-00006B410000}"/>
    <cellStyle name="Normal 2 6 2 8 2" xfId="16748" xr:uid="{00000000-0005-0000-0000-00006C410000}"/>
    <cellStyle name="Normal 2 6 2 8 3" xfId="16749" xr:uid="{00000000-0005-0000-0000-00006D410000}"/>
    <cellStyle name="Normal 2 6 2 8 4" xfId="16750" xr:uid="{00000000-0005-0000-0000-00006E410000}"/>
    <cellStyle name="Normal 2 6 2 8 5" xfId="16751" xr:uid="{00000000-0005-0000-0000-00006F410000}"/>
    <cellStyle name="Normal 2 6 2 9" xfId="16752" xr:uid="{00000000-0005-0000-0000-000070410000}"/>
    <cellStyle name="Normal 2 6 3" xfId="16753" xr:uid="{00000000-0005-0000-0000-000071410000}"/>
    <cellStyle name="Normal 2 6 3 10" xfId="16754" xr:uid="{00000000-0005-0000-0000-000072410000}"/>
    <cellStyle name="Normal 2 6 3 11" xfId="16755" xr:uid="{00000000-0005-0000-0000-000073410000}"/>
    <cellStyle name="Normal 2 6 3 2" xfId="16756" xr:uid="{00000000-0005-0000-0000-000074410000}"/>
    <cellStyle name="Normal 2 6 3 2 10" xfId="16757" xr:uid="{00000000-0005-0000-0000-000075410000}"/>
    <cellStyle name="Normal 2 6 3 2 2" xfId="16758" xr:uid="{00000000-0005-0000-0000-000076410000}"/>
    <cellStyle name="Normal 2 6 3 2 2 2" xfId="16759" xr:uid="{00000000-0005-0000-0000-000077410000}"/>
    <cellStyle name="Normal 2 6 3 2 2 3" xfId="16760" xr:uid="{00000000-0005-0000-0000-000078410000}"/>
    <cellStyle name="Normal 2 6 3 2 2 4" xfId="16761" xr:uid="{00000000-0005-0000-0000-000079410000}"/>
    <cellStyle name="Normal 2 6 3 2 2 5" xfId="16762" xr:uid="{00000000-0005-0000-0000-00007A410000}"/>
    <cellStyle name="Normal 2 6 3 2 2 6" xfId="16763" xr:uid="{00000000-0005-0000-0000-00007B410000}"/>
    <cellStyle name="Normal 2 6 3 2 3" xfId="16764" xr:uid="{00000000-0005-0000-0000-00007C410000}"/>
    <cellStyle name="Normal 2 6 3 2 3 2" xfId="16765" xr:uid="{00000000-0005-0000-0000-00007D410000}"/>
    <cellStyle name="Normal 2 6 3 2 3 3" xfId="16766" xr:uid="{00000000-0005-0000-0000-00007E410000}"/>
    <cellStyle name="Normal 2 6 3 2 3 4" xfId="16767" xr:uid="{00000000-0005-0000-0000-00007F410000}"/>
    <cellStyle name="Normal 2 6 3 2 3 5" xfId="16768" xr:uid="{00000000-0005-0000-0000-000080410000}"/>
    <cellStyle name="Normal 2 6 3 2 4" xfId="16769" xr:uid="{00000000-0005-0000-0000-000081410000}"/>
    <cellStyle name="Normal 2 6 3 2 5" xfId="16770" xr:uid="{00000000-0005-0000-0000-000082410000}"/>
    <cellStyle name="Normal 2 6 3 2 6" xfId="16771" xr:uid="{00000000-0005-0000-0000-000083410000}"/>
    <cellStyle name="Normal 2 6 3 2 7" xfId="16772" xr:uid="{00000000-0005-0000-0000-000084410000}"/>
    <cellStyle name="Normal 2 6 3 2 8" xfId="16773" xr:uid="{00000000-0005-0000-0000-000085410000}"/>
    <cellStyle name="Normal 2 6 3 2 9" xfId="16774" xr:uid="{00000000-0005-0000-0000-000086410000}"/>
    <cellStyle name="Normal 2 6 3 3" xfId="16775" xr:uid="{00000000-0005-0000-0000-000087410000}"/>
    <cellStyle name="Normal 2 6 3 3 2" xfId="16776" xr:uid="{00000000-0005-0000-0000-000088410000}"/>
    <cellStyle name="Normal 2 6 3 3 3" xfId="16777" xr:uid="{00000000-0005-0000-0000-000089410000}"/>
    <cellStyle name="Normal 2 6 3 3 4" xfId="16778" xr:uid="{00000000-0005-0000-0000-00008A410000}"/>
    <cellStyle name="Normal 2 6 3 3 5" xfId="16779" xr:uid="{00000000-0005-0000-0000-00008B410000}"/>
    <cellStyle name="Normal 2 6 3 3 6" xfId="16780" xr:uid="{00000000-0005-0000-0000-00008C410000}"/>
    <cellStyle name="Normal 2 6 3 4" xfId="16781" xr:uid="{00000000-0005-0000-0000-00008D410000}"/>
    <cellStyle name="Normal 2 6 3 4 2" xfId="16782" xr:uid="{00000000-0005-0000-0000-00008E410000}"/>
    <cellStyle name="Normal 2 6 3 4 3" xfId="16783" xr:uid="{00000000-0005-0000-0000-00008F410000}"/>
    <cellStyle name="Normal 2 6 3 4 4" xfId="16784" xr:uid="{00000000-0005-0000-0000-000090410000}"/>
    <cellStyle name="Normal 2 6 3 4 5" xfId="16785" xr:uid="{00000000-0005-0000-0000-000091410000}"/>
    <cellStyle name="Normal 2 6 3 5" xfId="16786" xr:uid="{00000000-0005-0000-0000-000092410000}"/>
    <cellStyle name="Normal 2 6 3 6" xfId="16787" xr:uid="{00000000-0005-0000-0000-000093410000}"/>
    <cellStyle name="Normal 2 6 3 7" xfId="16788" xr:uid="{00000000-0005-0000-0000-000094410000}"/>
    <cellStyle name="Normal 2 6 3 8" xfId="16789" xr:uid="{00000000-0005-0000-0000-000095410000}"/>
    <cellStyle name="Normal 2 6 3 9" xfId="16790" xr:uid="{00000000-0005-0000-0000-000096410000}"/>
    <cellStyle name="Normal 2 6 4" xfId="16791" xr:uid="{00000000-0005-0000-0000-000097410000}"/>
    <cellStyle name="Normal 2 6 4 10" xfId="16792" xr:uid="{00000000-0005-0000-0000-000098410000}"/>
    <cellStyle name="Normal 2 6 4 11" xfId="16793" xr:uid="{00000000-0005-0000-0000-000099410000}"/>
    <cellStyle name="Normal 2 6 4 2" xfId="16794" xr:uid="{00000000-0005-0000-0000-00009A410000}"/>
    <cellStyle name="Normal 2 6 4 2 10" xfId="16795" xr:uid="{00000000-0005-0000-0000-00009B410000}"/>
    <cellStyle name="Normal 2 6 4 2 2" xfId="16796" xr:uid="{00000000-0005-0000-0000-00009C410000}"/>
    <cellStyle name="Normal 2 6 4 2 2 2" xfId="16797" xr:uid="{00000000-0005-0000-0000-00009D410000}"/>
    <cellStyle name="Normal 2 6 4 2 2 3" xfId="16798" xr:uid="{00000000-0005-0000-0000-00009E410000}"/>
    <cellStyle name="Normal 2 6 4 2 2 4" xfId="16799" xr:uid="{00000000-0005-0000-0000-00009F410000}"/>
    <cellStyle name="Normal 2 6 4 2 2 5" xfId="16800" xr:uid="{00000000-0005-0000-0000-0000A0410000}"/>
    <cellStyle name="Normal 2 6 4 2 2 6" xfId="16801" xr:uid="{00000000-0005-0000-0000-0000A1410000}"/>
    <cellStyle name="Normal 2 6 4 2 3" xfId="16802" xr:uid="{00000000-0005-0000-0000-0000A2410000}"/>
    <cellStyle name="Normal 2 6 4 2 3 2" xfId="16803" xr:uid="{00000000-0005-0000-0000-0000A3410000}"/>
    <cellStyle name="Normal 2 6 4 2 3 3" xfId="16804" xr:uid="{00000000-0005-0000-0000-0000A4410000}"/>
    <cellStyle name="Normal 2 6 4 2 3 4" xfId="16805" xr:uid="{00000000-0005-0000-0000-0000A5410000}"/>
    <cellStyle name="Normal 2 6 4 2 3 5" xfId="16806" xr:uid="{00000000-0005-0000-0000-0000A6410000}"/>
    <cellStyle name="Normal 2 6 4 2 4" xfId="16807" xr:uid="{00000000-0005-0000-0000-0000A7410000}"/>
    <cellStyle name="Normal 2 6 4 2 5" xfId="16808" xr:uid="{00000000-0005-0000-0000-0000A8410000}"/>
    <cellStyle name="Normal 2 6 4 2 6" xfId="16809" xr:uid="{00000000-0005-0000-0000-0000A9410000}"/>
    <cellStyle name="Normal 2 6 4 2 7" xfId="16810" xr:uid="{00000000-0005-0000-0000-0000AA410000}"/>
    <cellStyle name="Normal 2 6 4 2 8" xfId="16811" xr:uid="{00000000-0005-0000-0000-0000AB410000}"/>
    <cellStyle name="Normal 2 6 4 2 9" xfId="16812" xr:uid="{00000000-0005-0000-0000-0000AC410000}"/>
    <cellStyle name="Normal 2 6 4 3" xfId="16813" xr:uid="{00000000-0005-0000-0000-0000AD410000}"/>
    <cellStyle name="Normal 2 6 4 3 2" xfId="16814" xr:uid="{00000000-0005-0000-0000-0000AE410000}"/>
    <cellStyle name="Normal 2 6 4 3 3" xfId="16815" xr:uid="{00000000-0005-0000-0000-0000AF410000}"/>
    <cellStyle name="Normal 2 6 4 3 4" xfId="16816" xr:uid="{00000000-0005-0000-0000-0000B0410000}"/>
    <cellStyle name="Normal 2 6 4 3 5" xfId="16817" xr:uid="{00000000-0005-0000-0000-0000B1410000}"/>
    <cellStyle name="Normal 2 6 4 3 6" xfId="16818" xr:uid="{00000000-0005-0000-0000-0000B2410000}"/>
    <cellStyle name="Normal 2 6 4 4" xfId="16819" xr:uid="{00000000-0005-0000-0000-0000B3410000}"/>
    <cellStyle name="Normal 2 6 4 4 2" xfId="16820" xr:uid="{00000000-0005-0000-0000-0000B4410000}"/>
    <cellStyle name="Normal 2 6 4 4 3" xfId="16821" xr:uid="{00000000-0005-0000-0000-0000B5410000}"/>
    <cellStyle name="Normal 2 6 4 4 4" xfId="16822" xr:uid="{00000000-0005-0000-0000-0000B6410000}"/>
    <cellStyle name="Normal 2 6 4 4 5" xfId="16823" xr:uid="{00000000-0005-0000-0000-0000B7410000}"/>
    <cellStyle name="Normal 2 6 4 5" xfId="16824" xr:uid="{00000000-0005-0000-0000-0000B8410000}"/>
    <cellStyle name="Normal 2 6 4 6" xfId="16825" xr:uid="{00000000-0005-0000-0000-0000B9410000}"/>
    <cellStyle name="Normal 2 6 4 7" xfId="16826" xr:uid="{00000000-0005-0000-0000-0000BA410000}"/>
    <cellStyle name="Normal 2 6 4 8" xfId="16827" xr:uid="{00000000-0005-0000-0000-0000BB410000}"/>
    <cellStyle name="Normal 2 6 4 9" xfId="16828" xr:uid="{00000000-0005-0000-0000-0000BC410000}"/>
    <cellStyle name="Normal 2 6 5" xfId="16829" xr:uid="{00000000-0005-0000-0000-0000BD410000}"/>
    <cellStyle name="Normal 2 6 5 10" xfId="16830" xr:uid="{00000000-0005-0000-0000-0000BE410000}"/>
    <cellStyle name="Normal 2 6 5 11" xfId="16831" xr:uid="{00000000-0005-0000-0000-0000BF410000}"/>
    <cellStyle name="Normal 2 6 5 2" xfId="16832" xr:uid="{00000000-0005-0000-0000-0000C0410000}"/>
    <cellStyle name="Normal 2 6 5 2 2" xfId="16833" xr:uid="{00000000-0005-0000-0000-0000C1410000}"/>
    <cellStyle name="Normal 2 6 5 2 2 2" xfId="16834" xr:uid="{00000000-0005-0000-0000-0000C2410000}"/>
    <cellStyle name="Normal 2 6 5 2 2 3" xfId="16835" xr:uid="{00000000-0005-0000-0000-0000C3410000}"/>
    <cellStyle name="Normal 2 6 5 2 2 4" xfId="16836" xr:uid="{00000000-0005-0000-0000-0000C4410000}"/>
    <cellStyle name="Normal 2 6 5 2 2 5" xfId="16837" xr:uid="{00000000-0005-0000-0000-0000C5410000}"/>
    <cellStyle name="Normal 2 6 5 2 3" xfId="16838" xr:uid="{00000000-0005-0000-0000-0000C6410000}"/>
    <cellStyle name="Normal 2 6 5 2 3 2" xfId="16839" xr:uid="{00000000-0005-0000-0000-0000C7410000}"/>
    <cellStyle name="Normal 2 6 5 2 3 3" xfId="16840" xr:uid="{00000000-0005-0000-0000-0000C8410000}"/>
    <cellStyle name="Normal 2 6 5 2 3 4" xfId="16841" xr:uid="{00000000-0005-0000-0000-0000C9410000}"/>
    <cellStyle name="Normal 2 6 5 2 3 5" xfId="16842" xr:uid="{00000000-0005-0000-0000-0000CA410000}"/>
    <cellStyle name="Normal 2 6 5 2 4" xfId="16843" xr:uid="{00000000-0005-0000-0000-0000CB410000}"/>
    <cellStyle name="Normal 2 6 5 2 5" xfId="16844" xr:uid="{00000000-0005-0000-0000-0000CC410000}"/>
    <cellStyle name="Normal 2 6 5 2 6" xfId="16845" xr:uid="{00000000-0005-0000-0000-0000CD410000}"/>
    <cellStyle name="Normal 2 6 5 2 7" xfId="16846" xr:uid="{00000000-0005-0000-0000-0000CE410000}"/>
    <cellStyle name="Normal 2 6 5 2 8" xfId="16847" xr:uid="{00000000-0005-0000-0000-0000CF410000}"/>
    <cellStyle name="Normal 2 6 5 2 9" xfId="16848" xr:uid="{00000000-0005-0000-0000-0000D0410000}"/>
    <cellStyle name="Normal 2 6 5 3" xfId="16849" xr:uid="{00000000-0005-0000-0000-0000D1410000}"/>
    <cellStyle name="Normal 2 6 5 3 2" xfId="16850" xr:uid="{00000000-0005-0000-0000-0000D2410000}"/>
    <cellStyle name="Normal 2 6 5 3 3" xfId="16851" xr:uid="{00000000-0005-0000-0000-0000D3410000}"/>
    <cellStyle name="Normal 2 6 5 3 4" xfId="16852" xr:uid="{00000000-0005-0000-0000-0000D4410000}"/>
    <cellStyle name="Normal 2 6 5 3 5" xfId="16853" xr:uid="{00000000-0005-0000-0000-0000D5410000}"/>
    <cellStyle name="Normal 2 6 5 4" xfId="16854" xr:uid="{00000000-0005-0000-0000-0000D6410000}"/>
    <cellStyle name="Normal 2 6 5 4 2" xfId="16855" xr:uid="{00000000-0005-0000-0000-0000D7410000}"/>
    <cellStyle name="Normal 2 6 5 4 3" xfId="16856" xr:uid="{00000000-0005-0000-0000-0000D8410000}"/>
    <cellStyle name="Normal 2 6 5 4 4" xfId="16857" xr:uid="{00000000-0005-0000-0000-0000D9410000}"/>
    <cellStyle name="Normal 2 6 5 4 5" xfId="16858" xr:uid="{00000000-0005-0000-0000-0000DA410000}"/>
    <cellStyle name="Normal 2 6 5 5" xfId="16859" xr:uid="{00000000-0005-0000-0000-0000DB410000}"/>
    <cellStyle name="Normal 2 6 5 6" xfId="16860" xr:uid="{00000000-0005-0000-0000-0000DC410000}"/>
    <cellStyle name="Normal 2 6 5 7" xfId="16861" xr:uid="{00000000-0005-0000-0000-0000DD410000}"/>
    <cellStyle name="Normal 2 6 5 8" xfId="16862" xr:uid="{00000000-0005-0000-0000-0000DE410000}"/>
    <cellStyle name="Normal 2 6 5 9" xfId="16863" xr:uid="{00000000-0005-0000-0000-0000DF410000}"/>
    <cellStyle name="Normal 2 6 6" xfId="16864" xr:uid="{00000000-0005-0000-0000-0000E0410000}"/>
    <cellStyle name="Normal 2 6 6 10" xfId="16865" xr:uid="{00000000-0005-0000-0000-0000E1410000}"/>
    <cellStyle name="Normal 2 6 6 11" xfId="16866" xr:uid="{00000000-0005-0000-0000-0000E2410000}"/>
    <cellStyle name="Normal 2 6 6 2" xfId="16867" xr:uid="{00000000-0005-0000-0000-0000E3410000}"/>
    <cellStyle name="Normal 2 6 6 2 2" xfId="16868" xr:uid="{00000000-0005-0000-0000-0000E4410000}"/>
    <cellStyle name="Normal 2 6 6 2 2 2" xfId="16869" xr:uid="{00000000-0005-0000-0000-0000E5410000}"/>
    <cellStyle name="Normal 2 6 6 2 2 3" xfId="16870" xr:uid="{00000000-0005-0000-0000-0000E6410000}"/>
    <cellStyle name="Normal 2 6 6 2 2 4" xfId="16871" xr:uid="{00000000-0005-0000-0000-0000E7410000}"/>
    <cellStyle name="Normal 2 6 6 2 2 5" xfId="16872" xr:uid="{00000000-0005-0000-0000-0000E8410000}"/>
    <cellStyle name="Normal 2 6 6 2 3" xfId="16873" xr:uid="{00000000-0005-0000-0000-0000E9410000}"/>
    <cellStyle name="Normal 2 6 6 2 3 2" xfId="16874" xr:uid="{00000000-0005-0000-0000-0000EA410000}"/>
    <cellStyle name="Normal 2 6 6 2 3 3" xfId="16875" xr:uid="{00000000-0005-0000-0000-0000EB410000}"/>
    <cellStyle name="Normal 2 6 6 2 3 4" xfId="16876" xr:uid="{00000000-0005-0000-0000-0000EC410000}"/>
    <cellStyle name="Normal 2 6 6 2 3 5" xfId="16877" xr:uid="{00000000-0005-0000-0000-0000ED410000}"/>
    <cellStyle name="Normal 2 6 6 2 4" xfId="16878" xr:uid="{00000000-0005-0000-0000-0000EE410000}"/>
    <cellStyle name="Normal 2 6 6 2 5" xfId="16879" xr:uid="{00000000-0005-0000-0000-0000EF410000}"/>
    <cellStyle name="Normal 2 6 6 2 6" xfId="16880" xr:uid="{00000000-0005-0000-0000-0000F0410000}"/>
    <cellStyle name="Normal 2 6 6 2 7" xfId="16881" xr:uid="{00000000-0005-0000-0000-0000F1410000}"/>
    <cellStyle name="Normal 2 6 6 2 8" xfId="16882" xr:uid="{00000000-0005-0000-0000-0000F2410000}"/>
    <cellStyle name="Normal 2 6 6 2 9" xfId="16883" xr:uid="{00000000-0005-0000-0000-0000F3410000}"/>
    <cellStyle name="Normal 2 6 6 3" xfId="16884" xr:uid="{00000000-0005-0000-0000-0000F4410000}"/>
    <cellStyle name="Normal 2 6 6 3 2" xfId="16885" xr:uid="{00000000-0005-0000-0000-0000F5410000}"/>
    <cellStyle name="Normal 2 6 6 3 3" xfId="16886" xr:uid="{00000000-0005-0000-0000-0000F6410000}"/>
    <cellStyle name="Normal 2 6 6 3 4" xfId="16887" xr:uid="{00000000-0005-0000-0000-0000F7410000}"/>
    <cellStyle name="Normal 2 6 6 3 5" xfId="16888" xr:uid="{00000000-0005-0000-0000-0000F8410000}"/>
    <cellStyle name="Normal 2 6 6 4" xfId="16889" xr:uid="{00000000-0005-0000-0000-0000F9410000}"/>
    <cellStyle name="Normal 2 6 6 4 2" xfId="16890" xr:uid="{00000000-0005-0000-0000-0000FA410000}"/>
    <cellStyle name="Normal 2 6 6 4 3" xfId="16891" xr:uid="{00000000-0005-0000-0000-0000FB410000}"/>
    <cellStyle name="Normal 2 6 6 4 4" xfId="16892" xr:uid="{00000000-0005-0000-0000-0000FC410000}"/>
    <cellStyle name="Normal 2 6 6 4 5" xfId="16893" xr:uid="{00000000-0005-0000-0000-0000FD410000}"/>
    <cellStyle name="Normal 2 6 6 5" xfId="16894" xr:uid="{00000000-0005-0000-0000-0000FE410000}"/>
    <cellStyle name="Normal 2 6 6 6" xfId="16895" xr:uid="{00000000-0005-0000-0000-0000FF410000}"/>
    <cellStyle name="Normal 2 6 6 7" xfId="16896" xr:uid="{00000000-0005-0000-0000-000000420000}"/>
    <cellStyle name="Normal 2 6 6 8" xfId="16897" xr:uid="{00000000-0005-0000-0000-000001420000}"/>
    <cellStyle name="Normal 2 6 6 9" xfId="16898" xr:uid="{00000000-0005-0000-0000-000002420000}"/>
    <cellStyle name="Normal 2 6 7" xfId="16899" xr:uid="{00000000-0005-0000-0000-000003420000}"/>
    <cellStyle name="Normal 2 6 7 2" xfId="16900" xr:uid="{00000000-0005-0000-0000-000004420000}"/>
    <cellStyle name="Normal 2 6 7 2 2" xfId="16901" xr:uid="{00000000-0005-0000-0000-000005420000}"/>
    <cellStyle name="Normal 2 6 7 2 3" xfId="16902" xr:uid="{00000000-0005-0000-0000-000006420000}"/>
    <cellStyle name="Normal 2 6 7 2 4" xfId="16903" xr:uid="{00000000-0005-0000-0000-000007420000}"/>
    <cellStyle name="Normal 2 6 7 2 5" xfId="16904" xr:uid="{00000000-0005-0000-0000-000008420000}"/>
    <cellStyle name="Normal 2 6 7 3" xfId="16905" xr:uid="{00000000-0005-0000-0000-000009420000}"/>
    <cellStyle name="Normal 2 6 7 3 2" xfId="16906" xr:uid="{00000000-0005-0000-0000-00000A420000}"/>
    <cellStyle name="Normal 2 6 7 3 3" xfId="16907" xr:uid="{00000000-0005-0000-0000-00000B420000}"/>
    <cellStyle name="Normal 2 6 7 3 4" xfId="16908" xr:uid="{00000000-0005-0000-0000-00000C420000}"/>
    <cellStyle name="Normal 2 6 7 3 5" xfId="16909" xr:uid="{00000000-0005-0000-0000-00000D420000}"/>
    <cellStyle name="Normal 2 6 7 4" xfId="16910" xr:uid="{00000000-0005-0000-0000-00000E420000}"/>
    <cellStyle name="Normal 2 6 7 5" xfId="16911" xr:uid="{00000000-0005-0000-0000-00000F420000}"/>
    <cellStyle name="Normal 2 6 7 6" xfId="16912" xr:uid="{00000000-0005-0000-0000-000010420000}"/>
    <cellStyle name="Normal 2 6 7 7" xfId="16913" xr:uid="{00000000-0005-0000-0000-000011420000}"/>
    <cellStyle name="Normal 2 6 7 8" xfId="16914" xr:uid="{00000000-0005-0000-0000-000012420000}"/>
    <cellStyle name="Normal 2 6 7 9" xfId="16915" xr:uid="{00000000-0005-0000-0000-000013420000}"/>
    <cellStyle name="Normal 2 6 8" xfId="16916" xr:uid="{00000000-0005-0000-0000-000014420000}"/>
    <cellStyle name="Normal 2 6 8 2" xfId="16917" xr:uid="{00000000-0005-0000-0000-000015420000}"/>
    <cellStyle name="Normal 2 6 8 2 2" xfId="16918" xr:uid="{00000000-0005-0000-0000-000016420000}"/>
    <cellStyle name="Normal 2 6 8 2 3" xfId="16919" xr:uid="{00000000-0005-0000-0000-000017420000}"/>
    <cellStyle name="Normal 2 6 8 2 4" xfId="16920" xr:uid="{00000000-0005-0000-0000-000018420000}"/>
    <cellStyle name="Normal 2 6 8 2 5" xfId="16921" xr:uid="{00000000-0005-0000-0000-000019420000}"/>
    <cellStyle name="Normal 2 6 8 3" xfId="16922" xr:uid="{00000000-0005-0000-0000-00001A420000}"/>
    <cellStyle name="Normal 2 6 8 3 2" xfId="16923" xr:uid="{00000000-0005-0000-0000-00001B420000}"/>
    <cellStyle name="Normal 2 6 8 3 3" xfId="16924" xr:uid="{00000000-0005-0000-0000-00001C420000}"/>
    <cellStyle name="Normal 2 6 8 3 4" xfId="16925" xr:uid="{00000000-0005-0000-0000-00001D420000}"/>
    <cellStyle name="Normal 2 6 8 3 5" xfId="16926" xr:uid="{00000000-0005-0000-0000-00001E420000}"/>
    <cellStyle name="Normal 2 6 8 4" xfId="16927" xr:uid="{00000000-0005-0000-0000-00001F420000}"/>
    <cellStyle name="Normal 2 6 8 5" xfId="16928" xr:uid="{00000000-0005-0000-0000-000020420000}"/>
    <cellStyle name="Normal 2 6 8 6" xfId="16929" xr:uid="{00000000-0005-0000-0000-000021420000}"/>
    <cellStyle name="Normal 2 6 8 7" xfId="16930" xr:uid="{00000000-0005-0000-0000-000022420000}"/>
    <cellStyle name="Normal 2 6 8 8" xfId="16931" xr:uid="{00000000-0005-0000-0000-000023420000}"/>
    <cellStyle name="Normal 2 6 8 9" xfId="16932" xr:uid="{00000000-0005-0000-0000-000024420000}"/>
    <cellStyle name="Normal 2 6 9" xfId="16933" xr:uid="{00000000-0005-0000-0000-000025420000}"/>
    <cellStyle name="Normal 2 6 9 2" xfId="16934" xr:uid="{00000000-0005-0000-0000-000026420000}"/>
    <cellStyle name="Normal 2 6 9 3" xfId="16935" xr:uid="{00000000-0005-0000-0000-000027420000}"/>
    <cellStyle name="Normal 2 6 9 4" xfId="16936" xr:uid="{00000000-0005-0000-0000-000028420000}"/>
    <cellStyle name="Normal 2 6 9 5" xfId="16937" xr:uid="{00000000-0005-0000-0000-000029420000}"/>
    <cellStyle name="Normal 2 7" xfId="16938" xr:uid="{00000000-0005-0000-0000-00002A420000}"/>
    <cellStyle name="Normal 2 7 2" xfId="16939" xr:uid="{00000000-0005-0000-0000-00002B420000}"/>
    <cellStyle name="Normal 2 7 2 2" xfId="16940" xr:uid="{00000000-0005-0000-0000-00002C420000}"/>
    <cellStyle name="Normal 2 7 3" xfId="16941" xr:uid="{00000000-0005-0000-0000-00002D420000}"/>
    <cellStyle name="Normal 2 8" xfId="16942" xr:uid="{00000000-0005-0000-0000-00002E420000}"/>
    <cellStyle name="Normal 2 8 2" xfId="16943" xr:uid="{00000000-0005-0000-0000-00002F420000}"/>
    <cellStyle name="Normal 2 8 2 2" xfId="16944" xr:uid="{00000000-0005-0000-0000-000030420000}"/>
    <cellStyle name="Normal 2 8 3" xfId="16945" xr:uid="{00000000-0005-0000-0000-000031420000}"/>
    <cellStyle name="Normal 2 9" xfId="16946" xr:uid="{00000000-0005-0000-0000-000032420000}"/>
    <cellStyle name="Normal 2 9 2" xfId="16947" xr:uid="{00000000-0005-0000-0000-000033420000}"/>
    <cellStyle name="Normal 2_Action Item List 01.27.10" xfId="16948" xr:uid="{00000000-0005-0000-0000-000034420000}"/>
    <cellStyle name="Normal 20" xfId="16949" xr:uid="{00000000-0005-0000-0000-000035420000}"/>
    <cellStyle name="Normal 20 2" xfId="16950" xr:uid="{00000000-0005-0000-0000-000036420000}"/>
    <cellStyle name="Normal 20 2 2" xfId="16951" xr:uid="{00000000-0005-0000-0000-000037420000}"/>
    <cellStyle name="Normal 20 2 2 2" xfId="16952" xr:uid="{00000000-0005-0000-0000-000038420000}"/>
    <cellStyle name="Normal 20 2 2 2 2" xfId="16953" xr:uid="{00000000-0005-0000-0000-000039420000}"/>
    <cellStyle name="Normal 20 2 2 3" xfId="16954" xr:uid="{00000000-0005-0000-0000-00003A420000}"/>
    <cellStyle name="Normal 20 2 2 3 2" xfId="16955" xr:uid="{00000000-0005-0000-0000-00003B420000}"/>
    <cellStyle name="Normal 20 2 2 3 2 2" xfId="16956" xr:uid="{00000000-0005-0000-0000-00003C420000}"/>
    <cellStyle name="Normal 20 2 2 3 3" xfId="16957" xr:uid="{00000000-0005-0000-0000-00003D420000}"/>
    <cellStyle name="Normal 20 2 2 4" xfId="16958" xr:uid="{00000000-0005-0000-0000-00003E420000}"/>
    <cellStyle name="Normal 20 2 2 4 2" xfId="16959" xr:uid="{00000000-0005-0000-0000-00003F420000}"/>
    <cellStyle name="Normal 20 2 2 4 2 2" xfId="16960" xr:uid="{00000000-0005-0000-0000-000040420000}"/>
    <cellStyle name="Normal 20 2 2 4 3" xfId="16961" xr:uid="{00000000-0005-0000-0000-000041420000}"/>
    <cellStyle name="Normal 20 2 2 5" xfId="16962" xr:uid="{00000000-0005-0000-0000-000042420000}"/>
    <cellStyle name="Normal 20 2 3" xfId="16963" xr:uid="{00000000-0005-0000-0000-000043420000}"/>
    <cellStyle name="Normal 20 2 3 2" xfId="16964" xr:uid="{00000000-0005-0000-0000-000044420000}"/>
    <cellStyle name="Normal 20 2 3 2 2" xfId="16965" xr:uid="{00000000-0005-0000-0000-000045420000}"/>
    <cellStyle name="Normal 20 2 3 3" xfId="16966" xr:uid="{00000000-0005-0000-0000-000046420000}"/>
    <cellStyle name="Normal 20 2 4" xfId="16967" xr:uid="{00000000-0005-0000-0000-000047420000}"/>
    <cellStyle name="Normal 20 2 4 2" xfId="16968" xr:uid="{00000000-0005-0000-0000-000048420000}"/>
    <cellStyle name="Normal 20 2 4 2 2" xfId="16969" xr:uid="{00000000-0005-0000-0000-000049420000}"/>
    <cellStyle name="Normal 20 2 4 3" xfId="16970" xr:uid="{00000000-0005-0000-0000-00004A420000}"/>
    <cellStyle name="Normal 20 2 5" xfId="16971" xr:uid="{00000000-0005-0000-0000-00004B420000}"/>
    <cellStyle name="Normal 20 2 5 2" xfId="16972" xr:uid="{00000000-0005-0000-0000-00004C420000}"/>
    <cellStyle name="Normal 20 2 5 2 2" xfId="16973" xr:uid="{00000000-0005-0000-0000-00004D420000}"/>
    <cellStyle name="Normal 20 2 5 3" xfId="16974" xr:uid="{00000000-0005-0000-0000-00004E420000}"/>
    <cellStyle name="Normal 20 2 6" xfId="16975" xr:uid="{00000000-0005-0000-0000-00004F420000}"/>
    <cellStyle name="Normal 20 3" xfId="16976" xr:uid="{00000000-0005-0000-0000-000050420000}"/>
    <cellStyle name="Normal 20 3 2" xfId="16977" xr:uid="{00000000-0005-0000-0000-000051420000}"/>
    <cellStyle name="Normal 20 3 2 2" xfId="16978" xr:uid="{00000000-0005-0000-0000-000052420000}"/>
    <cellStyle name="Normal 20 3 3" xfId="16979" xr:uid="{00000000-0005-0000-0000-000053420000}"/>
    <cellStyle name="Normal 20 3 3 2" xfId="16980" xr:uid="{00000000-0005-0000-0000-000054420000}"/>
    <cellStyle name="Normal 20 3 3 2 2" xfId="16981" xr:uid="{00000000-0005-0000-0000-000055420000}"/>
    <cellStyle name="Normal 20 3 3 3" xfId="16982" xr:uid="{00000000-0005-0000-0000-000056420000}"/>
    <cellStyle name="Normal 20 3 4" xfId="16983" xr:uid="{00000000-0005-0000-0000-000057420000}"/>
    <cellStyle name="Normal 20 3 4 2" xfId="16984" xr:uid="{00000000-0005-0000-0000-000058420000}"/>
    <cellStyle name="Normal 20 3 4 2 2" xfId="16985" xr:uid="{00000000-0005-0000-0000-000059420000}"/>
    <cellStyle name="Normal 20 3 4 3" xfId="16986" xr:uid="{00000000-0005-0000-0000-00005A420000}"/>
    <cellStyle name="Normal 20 3 5" xfId="16987" xr:uid="{00000000-0005-0000-0000-00005B420000}"/>
    <cellStyle name="Normal 20 4" xfId="16988" xr:uid="{00000000-0005-0000-0000-00005C420000}"/>
    <cellStyle name="Normal 20 4 2" xfId="16989" xr:uid="{00000000-0005-0000-0000-00005D420000}"/>
    <cellStyle name="Normal 20 4 2 2" xfId="16990" xr:uid="{00000000-0005-0000-0000-00005E420000}"/>
    <cellStyle name="Normal 20 4 2 2 2" xfId="16991" xr:uid="{00000000-0005-0000-0000-00005F420000}"/>
    <cellStyle name="Normal 20 4 2 3" xfId="16992" xr:uid="{00000000-0005-0000-0000-000060420000}"/>
    <cellStyle name="Normal 20 4 2 3 2" xfId="16993" xr:uid="{00000000-0005-0000-0000-000061420000}"/>
    <cellStyle name="Normal 20 4 2 3 2 2" xfId="16994" xr:uid="{00000000-0005-0000-0000-000062420000}"/>
    <cellStyle name="Normal 20 4 2 3 3" xfId="16995" xr:uid="{00000000-0005-0000-0000-000063420000}"/>
    <cellStyle name="Normal 20 4 2 4" xfId="16996" xr:uid="{00000000-0005-0000-0000-000064420000}"/>
    <cellStyle name="Normal 20 4 3" xfId="16997" xr:uid="{00000000-0005-0000-0000-000065420000}"/>
    <cellStyle name="Normal 20 4 3 2" xfId="16998" xr:uid="{00000000-0005-0000-0000-000066420000}"/>
    <cellStyle name="Normal 20 4 3 2 2" xfId="16999" xr:uid="{00000000-0005-0000-0000-000067420000}"/>
    <cellStyle name="Normal 20 4 3 3" xfId="17000" xr:uid="{00000000-0005-0000-0000-000068420000}"/>
    <cellStyle name="Normal 20 4 4" xfId="17001" xr:uid="{00000000-0005-0000-0000-000069420000}"/>
    <cellStyle name="Normal 20 4 4 2" xfId="17002" xr:uid="{00000000-0005-0000-0000-00006A420000}"/>
    <cellStyle name="Normal 20 4 4 2 2" xfId="17003" xr:uid="{00000000-0005-0000-0000-00006B420000}"/>
    <cellStyle name="Normal 20 4 4 3" xfId="17004" xr:uid="{00000000-0005-0000-0000-00006C420000}"/>
    <cellStyle name="Normal 20 4 5" xfId="17005" xr:uid="{00000000-0005-0000-0000-00006D420000}"/>
    <cellStyle name="Normal 20 4 5 2" xfId="17006" xr:uid="{00000000-0005-0000-0000-00006E420000}"/>
    <cellStyle name="Normal 20 4 5 2 2" xfId="17007" xr:uid="{00000000-0005-0000-0000-00006F420000}"/>
    <cellStyle name="Normal 20 4 5 3" xfId="17008" xr:uid="{00000000-0005-0000-0000-000070420000}"/>
    <cellStyle name="Normal 20 4 6" xfId="17009" xr:uid="{00000000-0005-0000-0000-000071420000}"/>
    <cellStyle name="Normal 20 5" xfId="17010" xr:uid="{00000000-0005-0000-0000-000072420000}"/>
    <cellStyle name="Normal 200" xfId="17011" xr:uid="{00000000-0005-0000-0000-000073420000}"/>
    <cellStyle name="Normal 200 2" xfId="17012" xr:uid="{00000000-0005-0000-0000-000074420000}"/>
    <cellStyle name="Normal 200 2 2" xfId="17013" xr:uid="{00000000-0005-0000-0000-000075420000}"/>
    <cellStyle name="Normal 200 2 2 2" xfId="17014" xr:uid="{00000000-0005-0000-0000-000076420000}"/>
    <cellStyle name="Normal 200 2 2 2 2" xfId="17015" xr:uid="{00000000-0005-0000-0000-000077420000}"/>
    <cellStyle name="Normal 200 2 2 3" xfId="17016" xr:uid="{00000000-0005-0000-0000-000078420000}"/>
    <cellStyle name="Normal 200 2 2 3 2" xfId="17017" xr:uid="{00000000-0005-0000-0000-000079420000}"/>
    <cellStyle name="Normal 200 2 2 3 2 2" xfId="17018" xr:uid="{00000000-0005-0000-0000-00007A420000}"/>
    <cellStyle name="Normal 200 2 2 3 3" xfId="17019" xr:uid="{00000000-0005-0000-0000-00007B420000}"/>
    <cellStyle name="Normal 200 2 2 4" xfId="17020" xr:uid="{00000000-0005-0000-0000-00007C420000}"/>
    <cellStyle name="Normal 200 2 2 4 2" xfId="17021" xr:uid="{00000000-0005-0000-0000-00007D420000}"/>
    <cellStyle name="Normal 200 2 2 4 2 2" xfId="17022" xr:uid="{00000000-0005-0000-0000-00007E420000}"/>
    <cellStyle name="Normal 200 2 2 4 3" xfId="17023" xr:uid="{00000000-0005-0000-0000-00007F420000}"/>
    <cellStyle name="Normal 200 2 2 5" xfId="17024" xr:uid="{00000000-0005-0000-0000-000080420000}"/>
    <cellStyle name="Normal 200 2 3" xfId="17025" xr:uid="{00000000-0005-0000-0000-000081420000}"/>
    <cellStyle name="Normal 200 2 3 2" xfId="17026" xr:uid="{00000000-0005-0000-0000-000082420000}"/>
    <cellStyle name="Normal 200 2 3 2 2" xfId="17027" xr:uid="{00000000-0005-0000-0000-000083420000}"/>
    <cellStyle name="Normal 200 2 3 2 2 2" xfId="17028" xr:uid="{00000000-0005-0000-0000-000084420000}"/>
    <cellStyle name="Normal 200 2 3 2 3" xfId="17029" xr:uid="{00000000-0005-0000-0000-000085420000}"/>
    <cellStyle name="Normal 200 2 3 2 3 2" xfId="17030" xr:uid="{00000000-0005-0000-0000-000086420000}"/>
    <cellStyle name="Normal 200 2 3 2 3 2 2" xfId="17031" xr:uid="{00000000-0005-0000-0000-000087420000}"/>
    <cellStyle name="Normal 200 2 3 2 3 3" xfId="17032" xr:uid="{00000000-0005-0000-0000-000088420000}"/>
    <cellStyle name="Normal 200 2 3 2 4" xfId="17033" xr:uid="{00000000-0005-0000-0000-000089420000}"/>
    <cellStyle name="Normal 200 2 3 3" xfId="17034" xr:uid="{00000000-0005-0000-0000-00008A420000}"/>
    <cellStyle name="Normal 200 2 3 3 2" xfId="17035" xr:uid="{00000000-0005-0000-0000-00008B420000}"/>
    <cellStyle name="Normal 200 2 3 3 2 2" xfId="17036" xr:uid="{00000000-0005-0000-0000-00008C420000}"/>
    <cellStyle name="Normal 200 2 3 3 3" xfId="17037" xr:uid="{00000000-0005-0000-0000-00008D420000}"/>
    <cellStyle name="Normal 200 2 3 4" xfId="17038" xr:uid="{00000000-0005-0000-0000-00008E420000}"/>
    <cellStyle name="Normal 200 2 3 4 2" xfId="17039" xr:uid="{00000000-0005-0000-0000-00008F420000}"/>
    <cellStyle name="Normal 200 2 3 4 2 2" xfId="17040" xr:uid="{00000000-0005-0000-0000-000090420000}"/>
    <cellStyle name="Normal 200 2 3 4 3" xfId="17041" xr:uid="{00000000-0005-0000-0000-000091420000}"/>
    <cellStyle name="Normal 200 2 3 5" xfId="17042" xr:uid="{00000000-0005-0000-0000-000092420000}"/>
    <cellStyle name="Normal 200 2 3 5 2" xfId="17043" xr:uid="{00000000-0005-0000-0000-000093420000}"/>
    <cellStyle name="Normal 200 2 3 5 2 2" xfId="17044" xr:uid="{00000000-0005-0000-0000-000094420000}"/>
    <cellStyle name="Normal 200 2 3 5 3" xfId="17045" xr:uid="{00000000-0005-0000-0000-000095420000}"/>
    <cellStyle name="Normal 200 2 3 6" xfId="17046" xr:uid="{00000000-0005-0000-0000-000096420000}"/>
    <cellStyle name="Normal 200 2 4" xfId="17047" xr:uid="{00000000-0005-0000-0000-000097420000}"/>
    <cellStyle name="Normal 200 2 4 2" xfId="17048" xr:uid="{00000000-0005-0000-0000-000098420000}"/>
    <cellStyle name="Normal 200 2 4 2 2" xfId="17049" xr:uid="{00000000-0005-0000-0000-000099420000}"/>
    <cellStyle name="Normal 200 2 4 3" xfId="17050" xr:uid="{00000000-0005-0000-0000-00009A420000}"/>
    <cellStyle name="Normal 200 2 5" xfId="17051" xr:uid="{00000000-0005-0000-0000-00009B420000}"/>
    <cellStyle name="Normal 200 2 5 2" xfId="17052" xr:uid="{00000000-0005-0000-0000-00009C420000}"/>
    <cellStyle name="Normal 200 2 5 2 2" xfId="17053" xr:uid="{00000000-0005-0000-0000-00009D420000}"/>
    <cellStyle name="Normal 200 2 5 3" xfId="17054" xr:uid="{00000000-0005-0000-0000-00009E420000}"/>
    <cellStyle name="Normal 200 2 6" xfId="17055" xr:uid="{00000000-0005-0000-0000-00009F420000}"/>
    <cellStyle name="Normal 200 2 6 2" xfId="17056" xr:uid="{00000000-0005-0000-0000-0000A0420000}"/>
    <cellStyle name="Normal 200 2 6 2 2" xfId="17057" xr:uid="{00000000-0005-0000-0000-0000A1420000}"/>
    <cellStyle name="Normal 200 2 6 3" xfId="17058" xr:uid="{00000000-0005-0000-0000-0000A2420000}"/>
    <cellStyle name="Normal 200 2 7" xfId="17059" xr:uid="{00000000-0005-0000-0000-0000A3420000}"/>
    <cellStyle name="Normal 200 3" xfId="17060" xr:uid="{00000000-0005-0000-0000-0000A4420000}"/>
    <cellStyle name="Normal 200 3 2" xfId="17061" xr:uid="{00000000-0005-0000-0000-0000A5420000}"/>
    <cellStyle name="Normal 200 3 2 2" xfId="17062" xr:uid="{00000000-0005-0000-0000-0000A6420000}"/>
    <cellStyle name="Normal 200 3 3" xfId="17063" xr:uid="{00000000-0005-0000-0000-0000A7420000}"/>
    <cellStyle name="Normal 200 3 3 2" xfId="17064" xr:uid="{00000000-0005-0000-0000-0000A8420000}"/>
    <cellStyle name="Normal 200 3 3 2 2" xfId="17065" xr:uid="{00000000-0005-0000-0000-0000A9420000}"/>
    <cellStyle name="Normal 200 3 3 3" xfId="17066" xr:uid="{00000000-0005-0000-0000-0000AA420000}"/>
    <cellStyle name="Normal 200 3 4" xfId="17067" xr:uid="{00000000-0005-0000-0000-0000AB420000}"/>
    <cellStyle name="Normal 200 3 4 2" xfId="17068" xr:uid="{00000000-0005-0000-0000-0000AC420000}"/>
    <cellStyle name="Normal 200 3 4 2 2" xfId="17069" xr:uid="{00000000-0005-0000-0000-0000AD420000}"/>
    <cellStyle name="Normal 200 3 4 3" xfId="17070" xr:uid="{00000000-0005-0000-0000-0000AE420000}"/>
    <cellStyle name="Normal 200 3 5" xfId="17071" xr:uid="{00000000-0005-0000-0000-0000AF420000}"/>
    <cellStyle name="Normal 200 4" xfId="17072" xr:uid="{00000000-0005-0000-0000-0000B0420000}"/>
    <cellStyle name="Normal 200 4 2" xfId="17073" xr:uid="{00000000-0005-0000-0000-0000B1420000}"/>
    <cellStyle name="Normal 200 4 2 2" xfId="17074" xr:uid="{00000000-0005-0000-0000-0000B2420000}"/>
    <cellStyle name="Normal 200 4 2 2 2" xfId="17075" xr:uid="{00000000-0005-0000-0000-0000B3420000}"/>
    <cellStyle name="Normal 200 4 2 3" xfId="17076" xr:uid="{00000000-0005-0000-0000-0000B4420000}"/>
    <cellStyle name="Normal 200 4 2 3 2" xfId="17077" xr:uid="{00000000-0005-0000-0000-0000B5420000}"/>
    <cellStyle name="Normal 200 4 2 3 2 2" xfId="17078" xr:uid="{00000000-0005-0000-0000-0000B6420000}"/>
    <cellStyle name="Normal 200 4 2 3 3" xfId="17079" xr:uid="{00000000-0005-0000-0000-0000B7420000}"/>
    <cellStyle name="Normal 200 4 2 4" xfId="17080" xr:uid="{00000000-0005-0000-0000-0000B8420000}"/>
    <cellStyle name="Normal 200 4 3" xfId="17081" xr:uid="{00000000-0005-0000-0000-0000B9420000}"/>
    <cellStyle name="Normal 200 4 3 2" xfId="17082" xr:uid="{00000000-0005-0000-0000-0000BA420000}"/>
    <cellStyle name="Normal 200 4 3 2 2" xfId="17083" xr:uid="{00000000-0005-0000-0000-0000BB420000}"/>
    <cellStyle name="Normal 200 4 3 3" xfId="17084" xr:uid="{00000000-0005-0000-0000-0000BC420000}"/>
    <cellStyle name="Normal 200 4 4" xfId="17085" xr:uid="{00000000-0005-0000-0000-0000BD420000}"/>
    <cellStyle name="Normal 200 4 4 2" xfId="17086" xr:uid="{00000000-0005-0000-0000-0000BE420000}"/>
    <cellStyle name="Normal 200 4 4 2 2" xfId="17087" xr:uid="{00000000-0005-0000-0000-0000BF420000}"/>
    <cellStyle name="Normal 200 4 4 3" xfId="17088" xr:uid="{00000000-0005-0000-0000-0000C0420000}"/>
    <cellStyle name="Normal 200 4 5" xfId="17089" xr:uid="{00000000-0005-0000-0000-0000C1420000}"/>
    <cellStyle name="Normal 200 4 5 2" xfId="17090" xr:uid="{00000000-0005-0000-0000-0000C2420000}"/>
    <cellStyle name="Normal 200 4 5 2 2" xfId="17091" xr:uid="{00000000-0005-0000-0000-0000C3420000}"/>
    <cellStyle name="Normal 200 4 5 3" xfId="17092" xr:uid="{00000000-0005-0000-0000-0000C4420000}"/>
    <cellStyle name="Normal 200 4 6" xfId="17093" xr:uid="{00000000-0005-0000-0000-0000C5420000}"/>
    <cellStyle name="Normal 200 5" xfId="17094" xr:uid="{00000000-0005-0000-0000-0000C6420000}"/>
    <cellStyle name="Normal 200 5 2" xfId="17095" xr:uid="{00000000-0005-0000-0000-0000C7420000}"/>
    <cellStyle name="Normal 200 5 2 2" xfId="17096" xr:uid="{00000000-0005-0000-0000-0000C8420000}"/>
    <cellStyle name="Normal 200 5 3" xfId="17097" xr:uid="{00000000-0005-0000-0000-0000C9420000}"/>
    <cellStyle name="Normal 200 6" xfId="17098" xr:uid="{00000000-0005-0000-0000-0000CA420000}"/>
    <cellStyle name="Normal 200 6 2" xfId="17099" xr:uid="{00000000-0005-0000-0000-0000CB420000}"/>
    <cellStyle name="Normal 200 6 2 2" xfId="17100" xr:uid="{00000000-0005-0000-0000-0000CC420000}"/>
    <cellStyle name="Normal 200 6 3" xfId="17101" xr:uid="{00000000-0005-0000-0000-0000CD420000}"/>
    <cellStyle name="Normal 200 7" xfId="17102" xr:uid="{00000000-0005-0000-0000-0000CE420000}"/>
    <cellStyle name="Normal 200 7 2" xfId="17103" xr:uid="{00000000-0005-0000-0000-0000CF420000}"/>
    <cellStyle name="Normal 200 7 2 2" xfId="17104" xr:uid="{00000000-0005-0000-0000-0000D0420000}"/>
    <cellStyle name="Normal 200 7 3" xfId="17105" xr:uid="{00000000-0005-0000-0000-0000D1420000}"/>
    <cellStyle name="Normal 200 8" xfId="17106" xr:uid="{00000000-0005-0000-0000-0000D2420000}"/>
    <cellStyle name="Normal 201" xfId="17107" xr:uid="{00000000-0005-0000-0000-0000D3420000}"/>
    <cellStyle name="Normal 201 2" xfId="17108" xr:uid="{00000000-0005-0000-0000-0000D4420000}"/>
    <cellStyle name="Normal 201 2 2" xfId="17109" xr:uid="{00000000-0005-0000-0000-0000D5420000}"/>
    <cellStyle name="Normal 201 2 2 2" xfId="17110" xr:uid="{00000000-0005-0000-0000-0000D6420000}"/>
    <cellStyle name="Normal 201 2 2 2 2" xfId="17111" xr:uid="{00000000-0005-0000-0000-0000D7420000}"/>
    <cellStyle name="Normal 201 2 2 3" xfId="17112" xr:uid="{00000000-0005-0000-0000-0000D8420000}"/>
    <cellStyle name="Normal 201 2 2 3 2" xfId="17113" xr:uid="{00000000-0005-0000-0000-0000D9420000}"/>
    <cellStyle name="Normal 201 2 2 3 2 2" xfId="17114" xr:uid="{00000000-0005-0000-0000-0000DA420000}"/>
    <cellStyle name="Normal 201 2 2 3 3" xfId="17115" xr:uid="{00000000-0005-0000-0000-0000DB420000}"/>
    <cellStyle name="Normal 201 2 2 4" xfId="17116" xr:uid="{00000000-0005-0000-0000-0000DC420000}"/>
    <cellStyle name="Normal 201 2 2 4 2" xfId="17117" xr:uid="{00000000-0005-0000-0000-0000DD420000}"/>
    <cellStyle name="Normal 201 2 2 4 2 2" xfId="17118" xr:uid="{00000000-0005-0000-0000-0000DE420000}"/>
    <cellStyle name="Normal 201 2 2 4 3" xfId="17119" xr:uid="{00000000-0005-0000-0000-0000DF420000}"/>
    <cellStyle name="Normal 201 2 2 5" xfId="17120" xr:uid="{00000000-0005-0000-0000-0000E0420000}"/>
    <cellStyle name="Normal 201 2 3" xfId="17121" xr:uid="{00000000-0005-0000-0000-0000E1420000}"/>
    <cellStyle name="Normal 201 2 3 2" xfId="17122" xr:uid="{00000000-0005-0000-0000-0000E2420000}"/>
    <cellStyle name="Normal 201 2 3 2 2" xfId="17123" xr:uid="{00000000-0005-0000-0000-0000E3420000}"/>
    <cellStyle name="Normal 201 2 3 2 2 2" xfId="17124" xr:uid="{00000000-0005-0000-0000-0000E4420000}"/>
    <cellStyle name="Normal 201 2 3 2 3" xfId="17125" xr:uid="{00000000-0005-0000-0000-0000E5420000}"/>
    <cellStyle name="Normal 201 2 3 2 3 2" xfId="17126" xr:uid="{00000000-0005-0000-0000-0000E6420000}"/>
    <cellStyle name="Normal 201 2 3 2 3 2 2" xfId="17127" xr:uid="{00000000-0005-0000-0000-0000E7420000}"/>
    <cellStyle name="Normal 201 2 3 2 3 3" xfId="17128" xr:uid="{00000000-0005-0000-0000-0000E8420000}"/>
    <cellStyle name="Normal 201 2 3 2 4" xfId="17129" xr:uid="{00000000-0005-0000-0000-0000E9420000}"/>
    <cellStyle name="Normal 201 2 3 3" xfId="17130" xr:uid="{00000000-0005-0000-0000-0000EA420000}"/>
    <cellStyle name="Normal 201 2 3 3 2" xfId="17131" xr:uid="{00000000-0005-0000-0000-0000EB420000}"/>
    <cellStyle name="Normal 201 2 3 3 2 2" xfId="17132" xr:uid="{00000000-0005-0000-0000-0000EC420000}"/>
    <cellStyle name="Normal 201 2 3 3 3" xfId="17133" xr:uid="{00000000-0005-0000-0000-0000ED420000}"/>
    <cellStyle name="Normal 201 2 3 4" xfId="17134" xr:uid="{00000000-0005-0000-0000-0000EE420000}"/>
    <cellStyle name="Normal 201 2 3 4 2" xfId="17135" xr:uid="{00000000-0005-0000-0000-0000EF420000}"/>
    <cellStyle name="Normal 201 2 3 4 2 2" xfId="17136" xr:uid="{00000000-0005-0000-0000-0000F0420000}"/>
    <cellStyle name="Normal 201 2 3 4 3" xfId="17137" xr:uid="{00000000-0005-0000-0000-0000F1420000}"/>
    <cellStyle name="Normal 201 2 3 5" xfId="17138" xr:uid="{00000000-0005-0000-0000-0000F2420000}"/>
    <cellStyle name="Normal 201 2 3 5 2" xfId="17139" xr:uid="{00000000-0005-0000-0000-0000F3420000}"/>
    <cellStyle name="Normal 201 2 3 5 2 2" xfId="17140" xr:uid="{00000000-0005-0000-0000-0000F4420000}"/>
    <cellStyle name="Normal 201 2 3 5 3" xfId="17141" xr:uid="{00000000-0005-0000-0000-0000F5420000}"/>
    <cellStyle name="Normal 201 2 3 6" xfId="17142" xr:uid="{00000000-0005-0000-0000-0000F6420000}"/>
    <cellStyle name="Normal 201 2 4" xfId="17143" xr:uid="{00000000-0005-0000-0000-0000F7420000}"/>
    <cellStyle name="Normal 201 2 4 2" xfId="17144" xr:uid="{00000000-0005-0000-0000-0000F8420000}"/>
    <cellStyle name="Normal 201 2 4 2 2" xfId="17145" xr:uid="{00000000-0005-0000-0000-0000F9420000}"/>
    <cellStyle name="Normal 201 2 4 3" xfId="17146" xr:uid="{00000000-0005-0000-0000-0000FA420000}"/>
    <cellStyle name="Normal 201 2 5" xfId="17147" xr:uid="{00000000-0005-0000-0000-0000FB420000}"/>
    <cellStyle name="Normal 201 2 5 2" xfId="17148" xr:uid="{00000000-0005-0000-0000-0000FC420000}"/>
    <cellStyle name="Normal 201 2 5 2 2" xfId="17149" xr:uid="{00000000-0005-0000-0000-0000FD420000}"/>
    <cellStyle name="Normal 201 2 5 3" xfId="17150" xr:uid="{00000000-0005-0000-0000-0000FE420000}"/>
    <cellStyle name="Normal 201 2 6" xfId="17151" xr:uid="{00000000-0005-0000-0000-0000FF420000}"/>
    <cellStyle name="Normal 201 2 6 2" xfId="17152" xr:uid="{00000000-0005-0000-0000-000000430000}"/>
    <cellStyle name="Normal 201 2 6 2 2" xfId="17153" xr:uid="{00000000-0005-0000-0000-000001430000}"/>
    <cellStyle name="Normal 201 2 6 3" xfId="17154" xr:uid="{00000000-0005-0000-0000-000002430000}"/>
    <cellStyle name="Normal 201 2 7" xfId="17155" xr:uid="{00000000-0005-0000-0000-000003430000}"/>
    <cellStyle name="Normal 201 3" xfId="17156" xr:uid="{00000000-0005-0000-0000-000004430000}"/>
    <cellStyle name="Normal 201 3 2" xfId="17157" xr:uid="{00000000-0005-0000-0000-000005430000}"/>
    <cellStyle name="Normal 201 3 2 2" xfId="17158" xr:uid="{00000000-0005-0000-0000-000006430000}"/>
    <cellStyle name="Normal 201 3 3" xfId="17159" xr:uid="{00000000-0005-0000-0000-000007430000}"/>
    <cellStyle name="Normal 201 3 3 2" xfId="17160" xr:uid="{00000000-0005-0000-0000-000008430000}"/>
    <cellStyle name="Normal 201 3 3 2 2" xfId="17161" xr:uid="{00000000-0005-0000-0000-000009430000}"/>
    <cellStyle name="Normal 201 3 3 3" xfId="17162" xr:uid="{00000000-0005-0000-0000-00000A430000}"/>
    <cellStyle name="Normal 201 3 4" xfId="17163" xr:uid="{00000000-0005-0000-0000-00000B430000}"/>
    <cellStyle name="Normal 201 3 4 2" xfId="17164" xr:uid="{00000000-0005-0000-0000-00000C430000}"/>
    <cellStyle name="Normal 201 3 4 2 2" xfId="17165" xr:uid="{00000000-0005-0000-0000-00000D430000}"/>
    <cellStyle name="Normal 201 3 4 3" xfId="17166" xr:uid="{00000000-0005-0000-0000-00000E430000}"/>
    <cellStyle name="Normal 201 3 5" xfId="17167" xr:uid="{00000000-0005-0000-0000-00000F430000}"/>
    <cellStyle name="Normal 201 4" xfId="17168" xr:uid="{00000000-0005-0000-0000-000010430000}"/>
    <cellStyle name="Normal 201 4 2" xfId="17169" xr:uid="{00000000-0005-0000-0000-000011430000}"/>
    <cellStyle name="Normal 201 4 2 2" xfId="17170" xr:uid="{00000000-0005-0000-0000-000012430000}"/>
    <cellStyle name="Normal 201 4 2 2 2" xfId="17171" xr:uid="{00000000-0005-0000-0000-000013430000}"/>
    <cellStyle name="Normal 201 4 2 3" xfId="17172" xr:uid="{00000000-0005-0000-0000-000014430000}"/>
    <cellStyle name="Normal 201 4 2 3 2" xfId="17173" xr:uid="{00000000-0005-0000-0000-000015430000}"/>
    <cellStyle name="Normal 201 4 2 3 2 2" xfId="17174" xr:uid="{00000000-0005-0000-0000-000016430000}"/>
    <cellStyle name="Normal 201 4 2 3 3" xfId="17175" xr:uid="{00000000-0005-0000-0000-000017430000}"/>
    <cellStyle name="Normal 201 4 2 4" xfId="17176" xr:uid="{00000000-0005-0000-0000-000018430000}"/>
    <cellStyle name="Normal 201 4 3" xfId="17177" xr:uid="{00000000-0005-0000-0000-000019430000}"/>
    <cellStyle name="Normal 201 4 3 2" xfId="17178" xr:uid="{00000000-0005-0000-0000-00001A430000}"/>
    <cellStyle name="Normal 201 4 3 2 2" xfId="17179" xr:uid="{00000000-0005-0000-0000-00001B430000}"/>
    <cellStyle name="Normal 201 4 3 3" xfId="17180" xr:uid="{00000000-0005-0000-0000-00001C430000}"/>
    <cellStyle name="Normal 201 4 4" xfId="17181" xr:uid="{00000000-0005-0000-0000-00001D430000}"/>
    <cellStyle name="Normal 201 4 4 2" xfId="17182" xr:uid="{00000000-0005-0000-0000-00001E430000}"/>
    <cellStyle name="Normal 201 4 4 2 2" xfId="17183" xr:uid="{00000000-0005-0000-0000-00001F430000}"/>
    <cellStyle name="Normal 201 4 4 3" xfId="17184" xr:uid="{00000000-0005-0000-0000-000020430000}"/>
    <cellStyle name="Normal 201 4 5" xfId="17185" xr:uid="{00000000-0005-0000-0000-000021430000}"/>
    <cellStyle name="Normal 201 4 5 2" xfId="17186" xr:uid="{00000000-0005-0000-0000-000022430000}"/>
    <cellStyle name="Normal 201 4 5 2 2" xfId="17187" xr:uid="{00000000-0005-0000-0000-000023430000}"/>
    <cellStyle name="Normal 201 4 5 3" xfId="17188" xr:uid="{00000000-0005-0000-0000-000024430000}"/>
    <cellStyle name="Normal 201 4 6" xfId="17189" xr:uid="{00000000-0005-0000-0000-000025430000}"/>
    <cellStyle name="Normal 201 5" xfId="17190" xr:uid="{00000000-0005-0000-0000-000026430000}"/>
    <cellStyle name="Normal 201 5 2" xfId="17191" xr:uid="{00000000-0005-0000-0000-000027430000}"/>
    <cellStyle name="Normal 201 5 2 2" xfId="17192" xr:uid="{00000000-0005-0000-0000-000028430000}"/>
    <cellStyle name="Normal 201 5 3" xfId="17193" xr:uid="{00000000-0005-0000-0000-000029430000}"/>
    <cellStyle name="Normal 201 6" xfId="17194" xr:uid="{00000000-0005-0000-0000-00002A430000}"/>
    <cellStyle name="Normal 201 6 2" xfId="17195" xr:uid="{00000000-0005-0000-0000-00002B430000}"/>
    <cellStyle name="Normal 201 6 2 2" xfId="17196" xr:uid="{00000000-0005-0000-0000-00002C430000}"/>
    <cellStyle name="Normal 201 6 3" xfId="17197" xr:uid="{00000000-0005-0000-0000-00002D430000}"/>
    <cellStyle name="Normal 201 7" xfId="17198" xr:uid="{00000000-0005-0000-0000-00002E430000}"/>
    <cellStyle name="Normal 201 7 2" xfId="17199" xr:uid="{00000000-0005-0000-0000-00002F430000}"/>
    <cellStyle name="Normal 201 7 2 2" xfId="17200" xr:uid="{00000000-0005-0000-0000-000030430000}"/>
    <cellStyle name="Normal 201 7 3" xfId="17201" xr:uid="{00000000-0005-0000-0000-000031430000}"/>
    <cellStyle name="Normal 201 8" xfId="17202" xr:uid="{00000000-0005-0000-0000-000032430000}"/>
    <cellStyle name="Normal 202" xfId="17203" xr:uid="{00000000-0005-0000-0000-000033430000}"/>
    <cellStyle name="Normal 202 2" xfId="17204" xr:uid="{00000000-0005-0000-0000-000034430000}"/>
    <cellStyle name="Normal 202 2 2" xfId="17205" xr:uid="{00000000-0005-0000-0000-000035430000}"/>
    <cellStyle name="Normal 202 2 2 2" xfId="17206" xr:uid="{00000000-0005-0000-0000-000036430000}"/>
    <cellStyle name="Normal 202 2 2 2 2" xfId="17207" xr:uid="{00000000-0005-0000-0000-000037430000}"/>
    <cellStyle name="Normal 202 2 2 3" xfId="17208" xr:uid="{00000000-0005-0000-0000-000038430000}"/>
    <cellStyle name="Normal 202 2 2 3 2" xfId="17209" xr:uid="{00000000-0005-0000-0000-000039430000}"/>
    <cellStyle name="Normal 202 2 2 3 2 2" xfId="17210" xr:uid="{00000000-0005-0000-0000-00003A430000}"/>
    <cellStyle name="Normal 202 2 2 3 3" xfId="17211" xr:uid="{00000000-0005-0000-0000-00003B430000}"/>
    <cellStyle name="Normal 202 2 2 4" xfId="17212" xr:uid="{00000000-0005-0000-0000-00003C430000}"/>
    <cellStyle name="Normal 202 2 2 4 2" xfId="17213" xr:uid="{00000000-0005-0000-0000-00003D430000}"/>
    <cellStyle name="Normal 202 2 2 4 2 2" xfId="17214" xr:uid="{00000000-0005-0000-0000-00003E430000}"/>
    <cellStyle name="Normal 202 2 2 4 3" xfId="17215" xr:uid="{00000000-0005-0000-0000-00003F430000}"/>
    <cellStyle name="Normal 202 2 2 5" xfId="17216" xr:uid="{00000000-0005-0000-0000-000040430000}"/>
    <cellStyle name="Normal 202 2 3" xfId="17217" xr:uid="{00000000-0005-0000-0000-000041430000}"/>
    <cellStyle name="Normal 202 2 3 2" xfId="17218" xr:uid="{00000000-0005-0000-0000-000042430000}"/>
    <cellStyle name="Normal 202 2 3 2 2" xfId="17219" xr:uid="{00000000-0005-0000-0000-000043430000}"/>
    <cellStyle name="Normal 202 2 3 2 2 2" xfId="17220" xr:uid="{00000000-0005-0000-0000-000044430000}"/>
    <cellStyle name="Normal 202 2 3 2 3" xfId="17221" xr:uid="{00000000-0005-0000-0000-000045430000}"/>
    <cellStyle name="Normal 202 2 3 2 3 2" xfId="17222" xr:uid="{00000000-0005-0000-0000-000046430000}"/>
    <cellStyle name="Normal 202 2 3 2 3 2 2" xfId="17223" xr:uid="{00000000-0005-0000-0000-000047430000}"/>
    <cellStyle name="Normal 202 2 3 2 3 3" xfId="17224" xr:uid="{00000000-0005-0000-0000-000048430000}"/>
    <cellStyle name="Normal 202 2 3 2 4" xfId="17225" xr:uid="{00000000-0005-0000-0000-000049430000}"/>
    <cellStyle name="Normal 202 2 3 3" xfId="17226" xr:uid="{00000000-0005-0000-0000-00004A430000}"/>
    <cellStyle name="Normal 202 2 3 3 2" xfId="17227" xr:uid="{00000000-0005-0000-0000-00004B430000}"/>
    <cellStyle name="Normal 202 2 3 3 2 2" xfId="17228" xr:uid="{00000000-0005-0000-0000-00004C430000}"/>
    <cellStyle name="Normal 202 2 3 3 3" xfId="17229" xr:uid="{00000000-0005-0000-0000-00004D430000}"/>
    <cellStyle name="Normal 202 2 3 4" xfId="17230" xr:uid="{00000000-0005-0000-0000-00004E430000}"/>
    <cellStyle name="Normal 202 2 3 4 2" xfId="17231" xr:uid="{00000000-0005-0000-0000-00004F430000}"/>
    <cellStyle name="Normal 202 2 3 4 2 2" xfId="17232" xr:uid="{00000000-0005-0000-0000-000050430000}"/>
    <cellStyle name="Normal 202 2 3 4 3" xfId="17233" xr:uid="{00000000-0005-0000-0000-000051430000}"/>
    <cellStyle name="Normal 202 2 3 5" xfId="17234" xr:uid="{00000000-0005-0000-0000-000052430000}"/>
    <cellStyle name="Normal 202 2 3 5 2" xfId="17235" xr:uid="{00000000-0005-0000-0000-000053430000}"/>
    <cellStyle name="Normal 202 2 3 5 2 2" xfId="17236" xr:uid="{00000000-0005-0000-0000-000054430000}"/>
    <cellStyle name="Normal 202 2 3 5 3" xfId="17237" xr:uid="{00000000-0005-0000-0000-000055430000}"/>
    <cellStyle name="Normal 202 2 3 6" xfId="17238" xr:uid="{00000000-0005-0000-0000-000056430000}"/>
    <cellStyle name="Normal 202 2 4" xfId="17239" xr:uid="{00000000-0005-0000-0000-000057430000}"/>
    <cellStyle name="Normal 202 2 4 2" xfId="17240" xr:uid="{00000000-0005-0000-0000-000058430000}"/>
    <cellStyle name="Normal 202 2 4 2 2" xfId="17241" xr:uid="{00000000-0005-0000-0000-000059430000}"/>
    <cellStyle name="Normal 202 2 4 3" xfId="17242" xr:uid="{00000000-0005-0000-0000-00005A430000}"/>
    <cellStyle name="Normal 202 2 5" xfId="17243" xr:uid="{00000000-0005-0000-0000-00005B430000}"/>
    <cellStyle name="Normal 202 2 5 2" xfId="17244" xr:uid="{00000000-0005-0000-0000-00005C430000}"/>
    <cellStyle name="Normal 202 2 5 2 2" xfId="17245" xr:uid="{00000000-0005-0000-0000-00005D430000}"/>
    <cellStyle name="Normal 202 2 5 3" xfId="17246" xr:uid="{00000000-0005-0000-0000-00005E430000}"/>
    <cellStyle name="Normal 202 2 6" xfId="17247" xr:uid="{00000000-0005-0000-0000-00005F430000}"/>
    <cellStyle name="Normal 202 2 6 2" xfId="17248" xr:uid="{00000000-0005-0000-0000-000060430000}"/>
    <cellStyle name="Normal 202 2 6 2 2" xfId="17249" xr:uid="{00000000-0005-0000-0000-000061430000}"/>
    <cellStyle name="Normal 202 2 6 3" xfId="17250" xr:uid="{00000000-0005-0000-0000-000062430000}"/>
    <cellStyle name="Normal 202 2 7" xfId="17251" xr:uid="{00000000-0005-0000-0000-000063430000}"/>
    <cellStyle name="Normal 202 3" xfId="17252" xr:uid="{00000000-0005-0000-0000-000064430000}"/>
    <cellStyle name="Normal 202 3 2" xfId="17253" xr:uid="{00000000-0005-0000-0000-000065430000}"/>
    <cellStyle name="Normal 202 3 2 2" xfId="17254" xr:uid="{00000000-0005-0000-0000-000066430000}"/>
    <cellStyle name="Normal 202 3 3" xfId="17255" xr:uid="{00000000-0005-0000-0000-000067430000}"/>
    <cellStyle name="Normal 202 3 3 2" xfId="17256" xr:uid="{00000000-0005-0000-0000-000068430000}"/>
    <cellStyle name="Normal 202 3 3 2 2" xfId="17257" xr:uid="{00000000-0005-0000-0000-000069430000}"/>
    <cellStyle name="Normal 202 3 3 3" xfId="17258" xr:uid="{00000000-0005-0000-0000-00006A430000}"/>
    <cellStyle name="Normal 202 3 4" xfId="17259" xr:uid="{00000000-0005-0000-0000-00006B430000}"/>
    <cellStyle name="Normal 202 3 4 2" xfId="17260" xr:uid="{00000000-0005-0000-0000-00006C430000}"/>
    <cellStyle name="Normal 202 3 4 2 2" xfId="17261" xr:uid="{00000000-0005-0000-0000-00006D430000}"/>
    <cellStyle name="Normal 202 3 4 3" xfId="17262" xr:uid="{00000000-0005-0000-0000-00006E430000}"/>
    <cellStyle name="Normal 202 3 5" xfId="17263" xr:uid="{00000000-0005-0000-0000-00006F430000}"/>
    <cellStyle name="Normal 202 4" xfId="17264" xr:uid="{00000000-0005-0000-0000-000070430000}"/>
    <cellStyle name="Normal 202 4 2" xfId="17265" xr:uid="{00000000-0005-0000-0000-000071430000}"/>
    <cellStyle name="Normal 202 4 2 2" xfId="17266" xr:uid="{00000000-0005-0000-0000-000072430000}"/>
    <cellStyle name="Normal 202 4 2 2 2" xfId="17267" xr:uid="{00000000-0005-0000-0000-000073430000}"/>
    <cellStyle name="Normal 202 4 2 3" xfId="17268" xr:uid="{00000000-0005-0000-0000-000074430000}"/>
    <cellStyle name="Normal 202 4 2 3 2" xfId="17269" xr:uid="{00000000-0005-0000-0000-000075430000}"/>
    <cellStyle name="Normal 202 4 2 3 2 2" xfId="17270" xr:uid="{00000000-0005-0000-0000-000076430000}"/>
    <cellStyle name="Normal 202 4 2 3 3" xfId="17271" xr:uid="{00000000-0005-0000-0000-000077430000}"/>
    <cellStyle name="Normal 202 4 2 4" xfId="17272" xr:uid="{00000000-0005-0000-0000-000078430000}"/>
    <cellStyle name="Normal 202 4 3" xfId="17273" xr:uid="{00000000-0005-0000-0000-000079430000}"/>
    <cellStyle name="Normal 202 4 3 2" xfId="17274" xr:uid="{00000000-0005-0000-0000-00007A430000}"/>
    <cellStyle name="Normal 202 4 3 2 2" xfId="17275" xr:uid="{00000000-0005-0000-0000-00007B430000}"/>
    <cellStyle name="Normal 202 4 3 3" xfId="17276" xr:uid="{00000000-0005-0000-0000-00007C430000}"/>
    <cellStyle name="Normal 202 4 4" xfId="17277" xr:uid="{00000000-0005-0000-0000-00007D430000}"/>
    <cellStyle name="Normal 202 4 4 2" xfId="17278" xr:uid="{00000000-0005-0000-0000-00007E430000}"/>
    <cellStyle name="Normal 202 4 4 2 2" xfId="17279" xr:uid="{00000000-0005-0000-0000-00007F430000}"/>
    <cellStyle name="Normal 202 4 4 3" xfId="17280" xr:uid="{00000000-0005-0000-0000-000080430000}"/>
    <cellStyle name="Normal 202 4 5" xfId="17281" xr:uid="{00000000-0005-0000-0000-000081430000}"/>
    <cellStyle name="Normal 202 4 5 2" xfId="17282" xr:uid="{00000000-0005-0000-0000-000082430000}"/>
    <cellStyle name="Normal 202 4 5 2 2" xfId="17283" xr:uid="{00000000-0005-0000-0000-000083430000}"/>
    <cellStyle name="Normal 202 4 5 3" xfId="17284" xr:uid="{00000000-0005-0000-0000-000084430000}"/>
    <cellStyle name="Normal 202 4 6" xfId="17285" xr:uid="{00000000-0005-0000-0000-000085430000}"/>
    <cellStyle name="Normal 202 5" xfId="17286" xr:uid="{00000000-0005-0000-0000-000086430000}"/>
    <cellStyle name="Normal 202 5 2" xfId="17287" xr:uid="{00000000-0005-0000-0000-000087430000}"/>
    <cellStyle name="Normal 202 5 2 2" xfId="17288" xr:uid="{00000000-0005-0000-0000-000088430000}"/>
    <cellStyle name="Normal 202 5 3" xfId="17289" xr:uid="{00000000-0005-0000-0000-000089430000}"/>
    <cellStyle name="Normal 202 6" xfId="17290" xr:uid="{00000000-0005-0000-0000-00008A430000}"/>
    <cellStyle name="Normal 202 6 2" xfId="17291" xr:uid="{00000000-0005-0000-0000-00008B430000}"/>
    <cellStyle name="Normal 202 6 2 2" xfId="17292" xr:uid="{00000000-0005-0000-0000-00008C430000}"/>
    <cellStyle name="Normal 202 6 3" xfId="17293" xr:uid="{00000000-0005-0000-0000-00008D430000}"/>
    <cellStyle name="Normal 202 7" xfId="17294" xr:uid="{00000000-0005-0000-0000-00008E430000}"/>
    <cellStyle name="Normal 202 7 2" xfId="17295" xr:uid="{00000000-0005-0000-0000-00008F430000}"/>
    <cellStyle name="Normal 202 7 2 2" xfId="17296" xr:uid="{00000000-0005-0000-0000-000090430000}"/>
    <cellStyle name="Normal 202 7 3" xfId="17297" xr:uid="{00000000-0005-0000-0000-000091430000}"/>
    <cellStyle name="Normal 202 8" xfId="17298" xr:uid="{00000000-0005-0000-0000-000092430000}"/>
    <cellStyle name="Normal 203" xfId="17299" xr:uid="{00000000-0005-0000-0000-000093430000}"/>
    <cellStyle name="Normal 203 2" xfId="17300" xr:uid="{00000000-0005-0000-0000-000094430000}"/>
    <cellStyle name="Normal 203 2 2" xfId="17301" xr:uid="{00000000-0005-0000-0000-000095430000}"/>
    <cellStyle name="Normal 203 2 2 2" xfId="17302" xr:uid="{00000000-0005-0000-0000-000096430000}"/>
    <cellStyle name="Normal 203 2 2 2 2" xfId="17303" xr:uid="{00000000-0005-0000-0000-000097430000}"/>
    <cellStyle name="Normal 203 2 2 3" xfId="17304" xr:uid="{00000000-0005-0000-0000-000098430000}"/>
    <cellStyle name="Normal 203 2 2 3 2" xfId="17305" xr:uid="{00000000-0005-0000-0000-000099430000}"/>
    <cellStyle name="Normal 203 2 2 3 2 2" xfId="17306" xr:uid="{00000000-0005-0000-0000-00009A430000}"/>
    <cellStyle name="Normal 203 2 2 3 3" xfId="17307" xr:uid="{00000000-0005-0000-0000-00009B430000}"/>
    <cellStyle name="Normal 203 2 2 4" xfId="17308" xr:uid="{00000000-0005-0000-0000-00009C430000}"/>
    <cellStyle name="Normal 203 2 2 4 2" xfId="17309" xr:uid="{00000000-0005-0000-0000-00009D430000}"/>
    <cellStyle name="Normal 203 2 2 4 2 2" xfId="17310" xr:uid="{00000000-0005-0000-0000-00009E430000}"/>
    <cellStyle name="Normal 203 2 2 4 3" xfId="17311" xr:uid="{00000000-0005-0000-0000-00009F430000}"/>
    <cellStyle name="Normal 203 2 2 5" xfId="17312" xr:uid="{00000000-0005-0000-0000-0000A0430000}"/>
    <cellStyle name="Normal 203 2 3" xfId="17313" xr:uid="{00000000-0005-0000-0000-0000A1430000}"/>
    <cellStyle name="Normal 203 2 3 2" xfId="17314" xr:uid="{00000000-0005-0000-0000-0000A2430000}"/>
    <cellStyle name="Normal 203 2 3 2 2" xfId="17315" xr:uid="{00000000-0005-0000-0000-0000A3430000}"/>
    <cellStyle name="Normal 203 2 3 2 2 2" xfId="17316" xr:uid="{00000000-0005-0000-0000-0000A4430000}"/>
    <cellStyle name="Normal 203 2 3 2 3" xfId="17317" xr:uid="{00000000-0005-0000-0000-0000A5430000}"/>
    <cellStyle name="Normal 203 2 3 2 3 2" xfId="17318" xr:uid="{00000000-0005-0000-0000-0000A6430000}"/>
    <cellStyle name="Normal 203 2 3 2 3 2 2" xfId="17319" xr:uid="{00000000-0005-0000-0000-0000A7430000}"/>
    <cellStyle name="Normal 203 2 3 2 3 3" xfId="17320" xr:uid="{00000000-0005-0000-0000-0000A8430000}"/>
    <cellStyle name="Normal 203 2 3 2 4" xfId="17321" xr:uid="{00000000-0005-0000-0000-0000A9430000}"/>
    <cellStyle name="Normal 203 2 3 3" xfId="17322" xr:uid="{00000000-0005-0000-0000-0000AA430000}"/>
    <cellStyle name="Normal 203 2 3 3 2" xfId="17323" xr:uid="{00000000-0005-0000-0000-0000AB430000}"/>
    <cellStyle name="Normal 203 2 3 3 2 2" xfId="17324" xr:uid="{00000000-0005-0000-0000-0000AC430000}"/>
    <cellStyle name="Normal 203 2 3 3 3" xfId="17325" xr:uid="{00000000-0005-0000-0000-0000AD430000}"/>
    <cellStyle name="Normal 203 2 3 4" xfId="17326" xr:uid="{00000000-0005-0000-0000-0000AE430000}"/>
    <cellStyle name="Normal 203 2 3 4 2" xfId="17327" xr:uid="{00000000-0005-0000-0000-0000AF430000}"/>
    <cellStyle name="Normal 203 2 3 4 2 2" xfId="17328" xr:uid="{00000000-0005-0000-0000-0000B0430000}"/>
    <cellStyle name="Normal 203 2 3 4 3" xfId="17329" xr:uid="{00000000-0005-0000-0000-0000B1430000}"/>
    <cellStyle name="Normal 203 2 3 5" xfId="17330" xr:uid="{00000000-0005-0000-0000-0000B2430000}"/>
    <cellStyle name="Normal 203 2 3 5 2" xfId="17331" xr:uid="{00000000-0005-0000-0000-0000B3430000}"/>
    <cellStyle name="Normal 203 2 3 5 2 2" xfId="17332" xr:uid="{00000000-0005-0000-0000-0000B4430000}"/>
    <cellStyle name="Normal 203 2 3 5 3" xfId="17333" xr:uid="{00000000-0005-0000-0000-0000B5430000}"/>
    <cellStyle name="Normal 203 2 3 6" xfId="17334" xr:uid="{00000000-0005-0000-0000-0000B6430000}"/>
    <cellStyle name="Normal 203 2 4" xfId="17335" xr:uid="{00000000-0005-0000-0000-0000B7430000}"/>
    <cellStyle name="Normal 203 2 4 2" xfId="17336" xr:uid="{00000000-0005-0000-0000-0000B8430000}"/>
    <cellStyle name="Normal 203 2 4 2 2" xfId="17337" xr:uid="{00000000-0005-0000-0000-0000B9430000}"/>
    <cellStyle name="Normal 203 2 4 3" xfId="17338" xr:uid="{00000000-0005-0000-0000-0000BA430000}"/>
    <cellStyle name="Normal 203 2 5" xfId="17339" xr:uid="{00000000-0005-0000-0000-0000BB430000}"/>
    <cellStyle name="Normal 203 2 5 2" xfId="17340" xr:uid="{00000000-0005-0000-0000-0000BC430000}"/>
    <cellStyle name="Normal 203 2 5 2 2" xfId="17341" xr:uid="{00000000-0005-0000-0000-0000BD430000}"/>
    <cellStyle name="Normal 203 2 5 3" xfId="17342" xr:uid="{00000000-0005-0000-0000-0000BE430000}"/>
    <cellStyle name="Normal 203 2 6" xfId="17343" xr:uid="{00000000-0005-0000-0000-0000BF430000}"/>
    <cellStyle name="Normal 203 2 6 2" xfId="17344" xr:uid="{00000000-0005-0000-0000-0000C0430000}"/>
    <cellStyle name="Normal 203 2 6 2 2" xfId="17345" xr:uid="{00000000-0005-0000-0000-0000C1430000}"/>
    <cellStyle name="Normal 203 2 6 3" xfId="17346" xr:uid="{00000000-0005-0000-0000-0000C2430000}"/>
    <cellStyle name="Normal 203 2 7" xfId="17347" xr:uid="{00000000-0005-0000-0000-0000C3430000}"/>
    <cellStyle name="Normal 203 3" xfId="17348" xr:uid="{00000000-0005-0000-0000-0000C4430000}"/>
    <cellStyle name="Normal 203 3 2" xfId="17349" xr:uid="{00000000-0005-0000-0000-0000C5430000}"/>
    <cellStyle name="Normal 203 3 2 2" xfId="17350" xr:uid="{00000000-0005-0000-0000-0000C6430000}"/>
    <cellStyle name="Normal 203 3 3" xfId="17351" xr:uid="{00000000-0005-0000-0000-0000C7430000}"/>
    <cellStyle name="Normal 203 3 3 2" xfId="17352" xr:uid="{00000000-0005-0000-0000-0000C8430000}"/>
    <cellStyle name="Normal 203 3 3 2 2" xfId="17353" xr:uid="{00000000-0005-0000-0000-0000C9430000}"/>
    <cellStyle name="Normal 203 3 3 3" xfId="17354" xr:uid="{00000000-0005-0000-0000-0000CA430000}"/>
    <cellStyle name="Normal 203 3 4" xfId="17355" xr:uid="{00000000-0005-0000-0000-0000CB430000}"/>
    <cellStyle name="Normal 203 3 4 2" xfId="17356" xr:uid="{00000000-0005-0000-0000-0000CC430000}"/>
    <cellStyle name="Normal 203 3 4 2 2" xfId="17357" xr:uid="{00000000-0005-0000-0000-0000CD430000}"/>
    <cellStyle name="Normal 203 3 4 3" xfId="17358" xr:uid="{00000000-0005-0000-0000-0000CE430000}"/>
    <cellStyle name="Normal 203 3 5" xfId="17359" xr:uid="{00000000-0005-0000-0000-0000CF430000}"/>
    <cellStyle name="Normal 203 4" xfId="17360" xr:uid="{00000000-0005-0000-0000-0000D0430000}"/>
    <cellStyle name="Normal 203 4 2" xfId="17361" xr:uid="{00000000-0005-0000-0000-0000D1430000}"/>
    <cellStyle name="Normal 203 4 2 2" xfId="17362" xr:uid="{00000000-0005-0000-0000-0000D2430000}"/>
    <cellStyle name="Normal 203 4 2 2 2" xfId="17363" xr:uid="{00000000-0005-0000-0000-0000D3430000}"/>
    <cellStyle name="Normal 203 4 2 3" xfId="17364" xr:uid="{00000000-0005-0000-0000-0000D4430000}"/>
    <cellStyle name="Normal 203 4 2 3 2" xfId="17365" xr:uid="{00000000-0005-0000-0000-0000D5430000}"/>
    <cellStyle name="Normal 203 4 2 3 2 2" xfId="17366" xr:uid="{00000000-0005-0000-0000-0000D6430000}"/>
    <cellStyle name="Normal 203 4 2 3 3" xfId="17367" xr:uid="{00000000-0005-0000-0000-0000D7430000}"/>
    <cellStyle name="Normal 203 4 2 4" xfId="17368" xr:uid="{00000000-0005-0000-0000-0000D8430000}"/>
    <cellStyle name="Normal 203 4 3" xfId="17369" xr:uid="{00000000-0005-0000-0000-0000D9430000}"/>
    <cellStyle name="Normal 203 4 3 2" xfId="17370" xr:uid="{00000000-0005-0000-0000-0000DA430000}"/>
    <cellStyle name="Normal 203 4 3 2 2" xfId="17371" xr:uid="{00000000-0005-0000-0000-0000DB430000}"/>
    <cellStyle name="Normal 203 4 3 3" xfId="17372" xr:uid="{00000000-0005-0000-0000-0000DC430000}"/>
    <cellStyle name="Normal 203 4 4" xfId="17373" xr:uid="{00000000-0005-0000-0000-0000DD430000}"/>
    <cellStyle name="Normal 203 4 4 2" xfId="17374" xr:uid="{00000000-0005-0000-0000-0000DE430000}"/>
    <cellStyle name="Normal 203 4 4 2 2" xfId="17375" xr:uid="{00000000-0005-0000-0000-0000DF430000}"/>
    <cellStyle name="Normal 203 4 4 3" xfId="17376" xr:uid="{00000000-0005-0000-0000-0000E0430000}"/>
    <cellStyle name="Normal 203 4 5" xfId="17377" xr:uid="{00000000-0005-0000-0000-0000E1430000}"/>
    <cellStyle name="Normal 203 4 5 2" xfId="17378" xr:uid="{00000000-0005-0000-0000-0000E2430000}"/>
    <cellStyle name="Normal 203 4 5 2 2" xfId="17379" xr:uid="{00000000-0005-0000-0000-0000E3430000}"/>
    <cellStyle name="Normal 203 4 5 3" xfId="17380" xr:uid="{00000000-0005-0000-0000-0000E4430000}"/>
    <cellStyle name="Normal 203 4 6" xfId="17381" xr:uid="{00000000-0005-0000-0000-0000E5430000}"/>
    <cellStyle name="Normal 203 5" xfId="17382" xr:uid="{00000000-0005-0000-0000-0000E6430000}"/>
    <cellStyle name="Normal 203 5 2" xfId="17383" xr:uid="{00000000-0005-0000-0000-0000E7430000}"/>
    <cellStyle name="Normal 203 5 2 2" xfId="17384" xr:uid="{00000000-0005-0000-0000-0000E8430000}"/>
    <cellStyle name="Normal 203 5 3" xfId="17385" xr:uid="{00000000-0005-0000-0000-0000E9430000}"/>
    <cellStyle name="Normal 203 6" xfId="17386" xr:uid="{00000000-0005-0000-0000-0000EA430000}"/>
    <cellStyle name="Normal 203 6 2" xfId="17387" xr:uid="{00000000-0005-0000-0000-0000EB430000}"/>
    <cellStyle name="Normal 203 6 2 2" xfId="17388" xr:uid="{00000000-0005-0000-0000-0000EC430000}"/>
    <cellStyle name="Normal 203 6 3" xfId="17389" xr:uid="{00000000-0005-0000-0000-0000ED430000}"/>
    <cellStyle name="Normal 203 7" xfId="17390" xr:uid="{00000000-0005-0000-0000-0000EE430000}"/>
    <cellStyle name="Normal 203 7 2" xfId="17391" xr:uid="{00000000-0005-0000-0000-0000EF430000}"/>
    <cellStyle name="Normal 203 7 2 2" xfId="17392" xr:uid="{00000000-0005-0000-0000-0000F0430000}"/>
    <cellStyle name="Normal 203 7 3" xfId="17393" xr:uid="{00000000-0005-0000-0000-0000F1430000}"/>
    <cellStyle name="Normal 203 8" xfId="17394" xr:uid="{00000000-0005-0000-0000-0000F2430000}"/>
    <cellStyle name="Normal 204" xfId="17395" xr:uid="{00000000-0005-0000-0000-0000F3430000}"/>
    <cellStyle name="Normal 204 2" xfId="17396" xr:uid="{00000000-0005-0000-0000-0000F4430000}"/>
    <cellStyle name="Normal 204 2 2" xfId="17397" xr:uid="{00000000-0005-0000-0000-0000F5430000}"/>
    <cellStyle name="Normal 204 2 2 2" xfId="17398" xr:uid="{00000000-0005-0000-0000-0000F6430000}"/>
    <cellStyle name="Normal 204 2 3" xfId="17399" xr:uid="{00000000-0005-0000-0000-0000F7430000}"/>
    <cellStyle name="Normal 204 2 3 2" xfId="17400" xr:uid="{00000000-0005-0000-0000-0000F8430000}"/>
    <cellStyle name="Normal 204 2 3 2 2" xfId="17401" xr:uid="{00000000-0005-0000-0000-0000F9430000}"/>
    <cellStyle name="Normal 204 2 3 3" xfId="17402" xr:uid="{00000000-0005-0000-0000-0000FA430000}"/>
    <cellStyle name="Normal 204 2 4" xfId="17403" xr:uid="{00000000-0005-0000-0000-0000FB430000}"/>
    <cellStyle name="Normal 204 2 4 2" xfId="17404" xr:uid="{00000000-0005-0000-0000-0000FC430000}"/>
    <cellStyle name="Normal 204 2 4 2 2" xfId="17405" xr:uid="{00000000-0005-0000-0000-0000FD430000}"/>
    <cellStyle name="Normal 204 2 4 3" xfId="17406" xr:uid="{00000000-0005-0000-0000-0000FE430000}"/>
    <cellStyle name="Normal 204 2 5" xfId="17407" xr:uid="{00000000-0005-0000-0000-0000FF430000}"/>
    <cellStyle name="Normal 204 3" xfId="17408" xr:uid="{00000000-0005-0000-0000-000000440000}"/>
    <cellStyle name="Normal 204 3 2" xfId="17409" xr:uid="{00000000-0005-0000-0000-000001440000}"/>
    <cellStyle name="Normal 204 3 2 2" xfId="17410" xr:uid="{00000000-0005-0000-0000-000002440000}"/>
    <cellStyle name="Normal 204 3 2 2 2" xfId="17411" xr:uid="{00000000-0005-0000-0000-000003440000}"/>
    <cellStyle name="Normal 204 3 2 3" xfId="17412" xr:uid="{00000000-0005-0000-0000-000004440000}"/>
    <cellStyle name="Normal 204 3 2 3 2" xfId="17413" xr:uid="{00000000-0005-0000-0000-000005440000}"/>
    <cellStyle name="Normal 204 3 2 3 2 2" xfId="17414" xr:uid="{00000000-0005-0000-0000-000006440000}"/>
    <cellStyle name="Normal 204 3 2 3 3" xfId="17415" xr:uid="{00000000-0005-0000-0000-000007440000}"/>
    <cellStyle name="Normal 204 3 2 4" xfId="17416" xr:uid="{00000000-0005-0000-0000-000008440000}"/>
    <cellStyle name="Normal 204 3 3" xfId="17417" xr:uid="{00000000-0005-0000-0000-000009440000}"/>
    <cellStyle name="Normal 204 3 3 2" xfId="17418" xr:uid="{00000000-0005-0000-0000-00000A440000}"/>
    <cellStyle name="Normal 204 3 3 2 2" xfId="17419" xr:uid="{00000000-0005-0000-0000-00000B440000}"/>
    <cellStyle name="Normal 204 3 3 3" xfId="17420" xr:uid="{00000000-0005-0000-0000-00000C440000}"/>
    <cellStyle name="Normal 204 3 4" xfId="17421" xr:uid="{00000000-0005-0000-0000-00000D440000}"/>
    <cellStyle name="Normal 204 3 4 2" xfId="17422" xr:uid="{00000000-0005-0000-0000-00000E440000}"/>
    <cellStyle name="Normal 204 3 4 2 2" xfId="17423" xr:uid="{00000000-0005-0000-0000-00000F440000}"/>
    <cellStyle name="Normal 204 3 4 3" xfId="17424" xr:uid="{00000000-0005-0000-0000-000010440000}"/>
    <cellStyle name="Normal 204 3 5" xfId="17425" xr:uid="{00000000-0005-0000-0000-000011440000}"/>
    <cellStyle name="Normal 204 3 5 2" xfId="17426" xr:uid="{00000000-0005-0000-0000-000012440000}"/>
    <cellStyle name="Normal 204 3 5 2 2" xfId="17427" xr:uid="{00000000-0005-0000-0000-000013440000}"/>
    <cellStyle name="Normal 204 3 5 3" xfId="17428" xr:uid="{00000000-0005-0000-0000-000014440000}"/>
    <cellStyle name="Normal 204 3 6" xfId="17429" xr:uid="{00000000-0005-0000-0000-000015440000}"/>
    <cellStyle name="Normal 204 4" xfId="17430" xr:uid="{00000000-0005-0000-0000-000016440000}"/>
    <cellStyle name="Normal 204 4 2" xfId="17431" xr:uid="{00000000-0005-0000-0000-000017440000}"/>
    <cellStyle name="Normal 204 4 2 2" xfId="17432" xr:uid="{00000000-0005-0000-0000-000018440000}"/>
    <cellStyle name="Normal 204 4 3" xfId="17433" xr:uid="{00000000-0005-0000-0000-000019440000}"/>
    <cellStyle name="Normal 204 5" xfId="17434" xr:uid="{00000000-0005-0000-0000-00001A440000}"/>
    <cellStyle name="Normal 204 5 2" xfId="17435" xr:uid="{00000000-0005-0000-0000-00001B440000}"/>
    <cellStyle name="Normal 204 5 2 2" xfId="17436" xr:uid="{00000000-0005-0000-0000-00001C440000}"/>
    <cellStyle name="Normal 204 5 3" xfId="17437" xr:uid="{00000000-0005-0000-0000-00001D440000}"/>
    <cellStyle name="Normal 204 6" xfId="17438" xr:uid="{00000000-0005-0000-0000-00001E440000}"/>
    <cellStyle name="Normal 204 6 2" xfId="17439" xr:uid="{00000000-0005-0000-0000-00001F440000}"/>
    <cellStyle name="Normal 204 6 2 2" xfId="17440" xr:uid="{00000000-0005-0000-0000-000020440000}"/>
    <cellStyle name="Normal 204 6 3" xfId="17441" xr:uid="{00000000-0005-0000-0000-000021440000}"/>
    <cellStyle name="Normal 204 7" xfId="17442" xr:uid="{00000000-0005-0000-0000-000022440000}"/>
    <cellStyle name="Normal 205" xfId="17443" xr:uid="{00000000-0005-0000-0000-000023440000}"/>
    <cellStyle name="Normal 205 2" xfId="17444" xr:uid="{00000000-0005-0000-0000-000024440000}"/>
    <cellStyle name="Normal 205 2 2" xfId="17445" xr:uid="{00000000-0005-0000-0000-000025440000}"/>
    <cellStyle name="Normal 205 2 2 2" xfId="17446" xr:uid="{00000000-0005-0000-0000-000026440000}"/>
    <cellStyle name="Normal 205 2 3" xfId="17447" xr:uid="{00000000-0005-0000-0000-000027440000}"/>
    <cellStyle name="Normal 205 2 3 2" xfId="17448" xr:uid="{00000000-0005-0000-0000-000028440000}"/>
    <cellStyle name="Normal 205 2 3 2 2" xfId="17449" xr:uid="{00000000-0005-0000-0000-000029440000}"/>
    <cellStyle name="Normal 205 2 3 3" xfId="17450" xr:uid="{00000000-0005-0000-0000-00002A440000}"/>
    <cellStyle name="Normal 205 2 4" xfId="17451" xr:uid="{00000000-0005-0000-0000-00002B440000}"/>
    <cellStyle name="Normal 205 2 4 2" xfId="17452" xr:uid="{00000000-0005-0000-0000-00002C440000}"/>
    <cellStyle name="Normal 205 2 4 2 2" xfId="17453" xr:uid="{00000000-0005-0000-0000-00002D440000}"/>
    <cellStyle name="Normal 205 2 4 3" xfId="17454" xr:uid="{00000000-0005-0000-0000-00002E440000}"/>
    <cellStyle name="Normal 205 2 5" xfId="17455" xr:uid="{00000000-0005-0000-0000-00002F440000}"/>
    <cellStyle name="Normal 205 3" xfId="17456" xr:uid="{00000000-0005-0000-0000-000030440000}"/>
    <cellStyle name="Normal 205 3 2" xfId="17457" xr:uid="{00000000-0005-0000-0000-000031440000}"/>
    <cellStyle name="Normal 205 3 2 2" xfId="17458" xr:uid="{00000000-0005-0000-0000-000032440000}"/>
    <cellStyle name="Normal 205 3 2 2 2" xfId="17459" xr:uid="{00000000-0005-0000-0000-000033440000}"/>
    <cellStyle name="Normal 205 3 2 3" xfId="17460" xr:uid="{00000000-0005-0000-0000-000034440000}"/>
    <cellStyle name="Normal 205 3 2 3 2" xfId="17461" xr:uid="{00000000-0005-0000-0000-000035440000}"/>
    <cellStyle name="Normal 205 3 2 3 2 2" xfId="17462" xr:uid="{00000000-0005-0000-0000-000036440000}"/>
    <cellStyle name="Normal 205 3 2 3 3" xfId="17463" xr:uid="{00000000-0005-0000-0000-000037440000}"/>
    <cellStyle name="Normal 205 3 2 4" xfId="17464" xr:uid="{00000000-0005-0000-0000-000038440000}"/>
    <cellStyle name="Normal 205 3 3" xfId="17465" xr:uid="{00000000-0005-0000-0000-000039440000}"/>
    <cellStyle name="Normal 205 3 3 2" xfId="17466" xr:uid="{00000000-0005-0000-0000-00003A440000}"/>
    <cellStyle name="Normal 205 3 3 2 2" xfId="17467" xr:uid="{00000000-0005-0000-0000-00003B440000}"/>
    <cellStyle name="Normal 205 3 3 3" xfId="17468" xr:uid="{00000000-0005-0000-0000-00003C440000}"/>
    <cellStyle name="Normal 205 3 4" xfId="17469" xr:uid="{00000000-0005-0000-0000-00003D440000}"/>
    <cellStyle name="Normal 205 3 4 2" xfId="17470" xr:uid="{00000000-0005-0000-0000-00003E440000}"/>
    <cellStyle name="Normal 205 3 4 2 2" xfId="17471" xr:uid="{00000000-0005-0000-0000-00003F440000}"/>
    <cellStyle name="Normal 205 3 4 3" xfId="17472" xr:uid="{00000000-0005-0000-0000-000040440000}"/>
    <cellStyle name="Normal 205 3 5" xfId="17473" xr:uid="{00000000-0005-0000-0000-000041440000}"/>
    <cellStyle name="Normal 205 3 5 2" xfId="17474" xr:uid="{00000000-0005-0000-0000-000042440000}"/>
    <cellStyle name="Normal 205 3 5 2 2" xfId="17475" xr:uid="{00000000-0005-0000-0000-000043440000}"/>
    <cellStyle name="Normal 205 3 5 3" xfId="17476" xr:uid="{00000000-0005-0000-0000-000044440000}"/>
    <cellStyle name="Normal 205 3 6" xfId="17477" xr:uid="{00000000-0005-0000-0000-000045440000}"/>
    <cellStyle name="Normal 205 4" xfId="17478" xr:uid="{00000000-0005-0000-0000-000046440000}"/>
    <cellStyle name="Normal 205 4 2" xfId="17479" xr:uid="{00000000-0005-0000-0000-000047440000}"/>
    <cellStyle name="Normal 205 4 2 2" xfId="17480" xr:uid="{00000000-0005-0000-0000-000048440000}"/>
    <cellStyle name="Normal 205 4 3" xfId="17481" xr:uid="{00000000-0005-0000-0000-000049440000}"/>
    <cellStyle name="Normal 205 5" xfId="17482" xr:uid="{00000000-0005-0000-0000-00004A440000}"/>
    <cellStyle name="Normal 205 5 2" xfId="17483" xr:uid="{00000000-0005-0000-0000-00004B440000}"/>
    <cellStyle name="Normal 205 5 2 2" xfId="17484" xr:uid="{00000000-0005-0000-0000-00004C440000}"/>
    <cellStyle name="Normal 205 5 3" xfId="17485" xr:uid="{00000000-0005-0000-0000-00004D440000}"/>
    <cellStyle name="Normal 205 6" xfId="17486" xr:uid="{00000000-0005-0000-0000-00004E440000}"/>
    <cellStyle name="Normal 205 6 2" xfId="17487" xr:uid="{00000000-0005-0000-0000-00004F440000}"/>
    <cellStyle name="Normal 205 6 2 2" xfId="17488" xr:uid="{00000000-0005-0000-0000-000050440000}"/>
    <cellStyle name="Normal 205 6 3" xfId="17489" xr:uid="{00000000-0005-0000-0000-000051440000}"/>
    <cellStyle name="Normal 205 7" xfId="17490" xr:uid="{00000000-0005-0000-0000-000052440000}"/>
    <cellStyle name="Normal 206" xfId="17491" xr:uid="{00000000-0005-0000-0000-000053440000}"/>
    <cellStyle name="Normal 206 2" xfId="17492" xr:uid="{00000000-0005-0000-0000-000054440000}"/>
    <cellStyle name="Normal 206 2 2" xfId="17493" xr:uid="{00000000-0005-0000-0000-000055440000}"/>
    <cellStyle name="Normal 206 2 2 2" xfId="17494" xr:uid="{00000000-0005-0000-0000-000056440000}"/>
    <cellStyle name="Normal 206 2 3" xfId="17495" xr:uid="{00000000-0005-0000-0000-000057440000}"/>
    <cellStyle name="Normal 206 2 3 2" xfId="17496" xr:uid="{00000000-0005-0000-0000-000058440000}"/>
    <cellStyle name="Normal 206 2 3 2 2" xfId="17497" xr:uid="{00000000-0005-0000-0000-000059440000}"/>
    <cellStyle name="Normal 206 2 3 3" xfId="17498" xr:uid="{00000000-0005-0000-0000-00005A440000}"/>
    <cellStyle name="Normal 206 2 4" xfId="17499" xr:uid="{00000000-0005-0000-0000-00005B440000}"/>
    <cellStyle name="Normal 206 2 4 2" xfId="17500" xr:uid="{00000000-0005-0000-0000-00005C440000}"/>
    <cellStyle name="Normal 206 2 4 2 2" xfId="17501" xr:uid="{00000000-0005-0000-0000-00005D440000}"/>
    <cellStyle name="Normal 206 2 4 3" xfId="17502" xr:uid="{00000000-0005-0000-0000-00005E440000}"/>
    <cellStyle name="Normal 206 2 5" xfId="17503" xr:uid="{00000000-0005-0000-0000-00005F440000}"/>
    <cellStyle name="Normal 206 3" xfId="17504" xr:uid="{00000000-0005-0000-0000-000060440000}"/>
    <cellStyle name="Normal 206 3 2" xfId="17505" xr:uid="{00000000-0005-0000-0000-000061440000}"/>
    <cellStyle name="Normal 206 3 2 2" xfId="17506" xr:uid="{00000000-0005-0000-0000-000062440000}"/>
    <cellStyle name="Normal 206 3 2 2 2" xfId="17507" xr:uid="{00000000-0005-0000-0000-000063440000}"/>
    <cellStyle name="Normal 206 3 2 3" xfId="17508" xr:uid="{00000000-0005-0000-0000-000064440000}"/>
    <cellStyle name="Normal 206 3 2 3 2" xfId="17509" xr:uid="{00000000-0005-0000-0000-000065440000}"/>
    <cellStyle name="Normal 206 3 2 3 2 2" xfId="17510" xr:uid="{00000000-0005-0000-0000-000066440000}"/>
    <cellStyle name="Normal 206 3 2 3 3" xfId="17511" xr:uid="{00000000-0005-0000-0000-000067440000}"/>
    <cellStyle name="Normal 206 3 2 4" xfId="17512" xr:uid="{00000000-0005-0000-0000-000068440000}"/>
    <cellStyle name="Normal 206 3 3" xfId="17513" xr:uid="{00000000-0005-0000-0000-000069440000}"/>
    <cellStyle name="Normal 206 3 3 2" xfId="17514" xr:uid="{00000000-0005-0000-0000-00006A440000}"/>
    <cellStyle name="Normal 206 3 3 2 2" xfId="17515" xr:uid="{00000000-0005-0000-0000-00006B440000}"/>
    <cellStyle name="Normal 206 3 3 3" xfId="17516" xr:uid="{00000000-0005-0000-0000-00006C440000}"/>
    <cellStyle name="Normal 206 3 4" xfId="17517" xr:uid="{00000000-0005-0000-0000-00006D440000}"/>
    <cellStyle name="Normal 206 3 4 2" xfId="17518" xr:uid="{00000000-0005-0000-0000-00006E440000}"/>
    <cellStyle name="Normal 206 3 4 2 2" xfId="17519" xr:uid="{00000000-0005-0000-0000-00006F440000}"/>
    <cellStyle name="Normal 206 3 4 3" xfId="17520" xr:uid="{00000000-0005-0000-0000-000070440000}"/>
    <cellStyle name="Normal 206 3 5" xfId="17521" xr:uid="{00000000-0005-0000-0000-000071440000}"/>
    <cellStyle name="Normal 206 3 5 2" xfId="17522" xr:uid="{00000000-0005-0000-0000-000072440000}"/>
    <cellStyle name="Normal 206 3 5 2 2" xfId="17523" xr:uid="{00000000-0005-0000-0000-000073440000}"/>
    <cellStyle name="Normal 206 3 5 3" xfId="17524" xr:uid="{00000000-0005-0000-0000-000074440000}"/>
    <cellStyle name="Normal 206 3 6" xfId="17525" xr:uid="{00000000-0005-0000-0000-000075440000}"/>
    <cellStyle name="Normal 206 4" xfId="17526" xr:uid="{00000000-0005-0000-0000-000076440000}"/>
    <cellStyle name="Normal 206 4 2" xfId="17527" xr:uid="{00000000-0005-0000-0000-000077440000}"/>
    <cellStyle name="Normal 206 4 2 2" xfId="17528" xr:uid="{00000000-0005-0000-0000-000078440000}"/>
    <cellStyle name="Normal 206 4 3" xfId="17529" xr:uid="{00000000-0005-0000-0000-000079440000}"/>
    <cellStyle name="Normal 206 5" xfId="17530" xr:uid="{00000000-0005-0000-0000-00007A440000}"/>
    <cellStyle name="Normal 206 5 2" xfId="17531" xr:uid="{00000000-0005-0000-0000-00007B440000}"/>
    <cellStyle name="Normal 206 5 2 2" xfId="17532" xr:uid="{00000000-0005-0000-0000-00007C440000}"/>
    <cellStyle name="Normal 206 5 3" xfId="17533" xr:uid="{00000000-0005-0000-0000-00007D440000}"/>
    <cellStyle name="Normal 206 6" xfId="17534" xr:uid="{00000000-0005-0000-0000-00007E440000}"/>
    <cellStyle name="Normal 206 6 2" xfId="17535" xr:uid="{00000000-0005-0000-0000-00007F440000}"/>
    <cellStyle name="Normal 206 6 2 2" xfId="17536" xr:uid="{00000000-0005-0000-0000-000080440000}"/>
    <cellStyle name="Normal 206 6 3" xfId="17537" xr:uid="{00000000-0005-0000-0000-000081440000}"/>
    <cellStyle name="Normal 206 7" xfId="17538" xr:uid="{00000000-0005-0000-0000-000082440000}"/>
    <cellStyle name="Normal 207" xfId="17539" xr:uid="{00000000-0005-0000-0000-000083440000}"/>
    <cellStyle name="Normal 207 2" xfId="17540" xr:uid="{00000000-0005-0000-0000-000084440000}"/>
    <cellStyle name="Normal 207 2 2" xfId="17541" xr:uid="{00000000-0005-0000-0000-000085440000}"/>
    <cellStyle name="Normal 207 2 2 2" xfId="17542" xr:uid="{00000000-0005-0000-0000-000086440000}"/>
    <cellStyle name="Normal 207 2 3" xfId="17543" xr:uid="{00000000-0005-0000-0000-000087440000}"/>
    <cellStyle name="Normal 207 2 3 2" xfId="17544" xr:uid="{00000000-0005-0000-0000-000088440000}"/>
    <cellStyle name="Normal 207 2 3 2 2" xfId="17545" xr:uid="{00000000-0005-0000-0000-000089440000}"/>
    <cellStyle name="Normal 207 2 3 3" xfId="17546" xr:uid="{00000000-0005-0000-0000-00008A440000}"/>
    <cellStyle name="Normal 207 2 4" xfId="17547" xr:uid="{00000000-0005-0000-0000-00008B440000}"/>
    <cellStyle name="Normal 207 2 4 2" xfId="17548" xr:uid="{00000000-0005-0000-0000-00008C440000}"/>
    <cellStyle name="Normal 207 2 4 2 2" xfId="17549" xr:uid="{00000000-0005-0000-0000-00008D440000}"/>
    <cellStyle name="Normal 207 2 4 3" xfId="17550" xr:uid="{00000000-0005-0000-0000-00008E440000}"/>
    <cellStyle name="Normal 207 2 5" xfId="17551" xr:uid="{00000000-0005-0000-0000-00008F440000}"/>
    <cellStyle name="Normal 207 3" xfId="17552" xr:uid="{00000000-0005-0000-0000-000090440000}"/>
    <cellStyle name="Normal 207 3 2" xfId="17553" xr:uid="{00000000-0005-0000-0000-000091440000}"/>
    <cellStyle name="Normal 207 3 2 2" xfId="17554" xr:uid="{00000000-0005-0000-0000-000092440000}"/>
    <cellStyle name="Normal 207 3 2 2 2" xfId="17555" xr:uid="{00000000-0005-0000-0000-000093440000}"/>
    <cellStyle name="Normal 207 3 2 3" xfId="17556" xr:uid="{00000000-0005-0000-0000-000094440000}"/>
    <cellStyle name="Normal 207 3 2 3 2" xfId="17557" xr:uid="{00000000-0005-0000-0000-000095440000}"/>
    <cellStyle name="Normal 207 3 2 3 2 2" xfId="17558" xr:uid="{00000000-0005-0000-0000-000096440000}"/>
    <cellStyle name="Normal 207 3 2 3 3" xfId="17559" xr:uid="{00000000-0005-0000-0000-000097440000}"/>
    <cellStyle name="Normal 207 3 2 4" xfId="17560" xr:uid="{00000000-0005-0000-0000-000098440000}"/>
    <cellStyle name="Normal 207 3 3" xfId="17561" xr:uid="{00000000-0005-0000-0000-000099440000}"/>
    <cellStyle name="Normal 207 3 3 2" xfId="17562" xr:uid="{00000000-0005-0000-0000-00009A440000}"/>
    <cellStyle name="Normal 207 3 3 2 2" xfId="17563" xr:uid="{00000000-0005-0000-0000-00009B440000}"/>
    <cellStyle name="Normal 207 3 3 3" xfId="17564" xr:uid="{00000000-0005-0000-0000-00009C440000}"/>
    <cellStyle name="Normal 207 3 4" xfId="17565" xr:uid="{00000000-0005-0000-0000-00009D440000}"/>
    <cellStyle name="Normal 207 3 4 2" xfId="17566" xr:uid="{00000000-0005-0000-0000-00009E440000}"/>
    <cellStyle name="Normal 207 3 4 2 2" xfId="17567" xr:uid="{00000000-0005-0000-0000-00009F440000}"/>
    <cellStyle name="Normal 207 3 4 3" xfId="17568" xr:uid="{00000000-0005-0000-0000-0000A0440000}"/>
    <cellStyle name="Normal 207 3 5" xfId="17569" xr:uid="{00000000-0005-0000-0000-0000A1440000}"/>
    <cellStyle name="Normal 207 3 5 2" xfId="17570" xr:uid="{00000000-0005-0000-0000-0000A2440000}"/>
    <cellStyle name="Normal 207 3 5 2 2" xfId="17571" xr:uid="{00000000-0005-0000-0000-0000A3440000}"/>
    <cellStyle name="Normal 207 3 5 3" xfId="17572" xr:uid="{00000000-0005-0000-0000-0000A4440000}"/>
    <cellStyle name="Normal 207 3 6" xfId="17573" xr:uid="{00000000-0005-0000-0000-0000A5440000}"/>
    <cellStyle name="Normal 207 4" xfId="17574" xr:uid="{00000000-0005-0000-0000-0000A6440000}"/>
    <cellStyle name="Normal 207 4 2" xfId="17575" xr:uid="{00000000-0005-0000-0000-0000A7440000}"/>
    <cellStyle name="Normal 207 4 2 2" xfId="17576" xr:uid="{00000000-0005-0000-0000-0000A8440000}"/>
    <cellStyle name="Normal 207 4 3" xfId="17577" xr:uid="{00000000-0005-0000-0000-0000A9440000}"/>
    <cellStyle name="Normal 207 5" xfId="17578" xr:uid="{00000000-0005-0000-0000-0000AA440000}"/>
    <cellStyle name="Normal 207 5 2" xfId="17579" xr:uid="{00000000-0005-0000-0000-0000AB440000}"/>
    <cellStyle name="Normal 207 5 2 2" xfId="17580" xr:uid="{00000000-0005-0000-0000-0000AC440000}"/>
    <cellStyle name="Normal 207 5 3" xfId="17581" xr:uid="{00000000-0005-0000-0000-0000AD440000}"/>
    <cellStyle name="Normal 207 6" xfId="17582" xr:uid="{00000000-0005-0000-0000-0000AE440000}"/>
    <cellStyle name="Normal 207 6 2" xfId="17583" xr:uid="{00000000-0005-0000-0000-0000AF440000}"/>
    <cellStyle name="Normal 207 6 2 2" xfId="17584" xr:uid="{00000000-0005-0000-0000-0000B0440000}"/>
    <cellStyle name="Normal 207 6 3" xfId="17585" xr:uid="{00000000-0005-0000-0000-0000B1440000}"/>
    <cellStyle name="Normal 207 7" xfId="17586" xr:uid="{00000000-0005-0000-0000-0000B2440000}"/>
    <cellStyle name="Normal 208" xfId="17587" xr:uid="{00000000-0005-0000-0000-0000B3440000}"/>
    <cellStyle name="Normal 208 2" xfId="17588" xr:uid="{00000000-0005-0000-0000-0000B4440000}"/>
    <cellStyle name="Normal 208 2 2" xfId="17589" xr:uid="{00000000-0005-0000-0000-0000B5440000}"/>
    <cellStyle name="Normal 208 2 2 2" xfId="17590" xr:uid="{00000000-0005-0000-0000-0000B6440000}"/>
    <cellStyle name="Normal 208 2 3" xfId="17591" xr:uid="{00000000-0005-0000-0000-0000B7440000}"/>
    <cellStyle name="Normal 208 2 3 2" xfId="17592" xr:uid="{00000000-0005-0000-0000-0000B8440000}"/>
    <cellStyle name="Normal 208 2 3 2 2" xfId="17593" xr:uid="{00000000-0005-0000-0000-0000B9440000}"/>
    <cellStyle name="Normal 208 2 3 3" xfId="17594" xr:uid="{00000000-0005-0000-0000-0000BA440000}"/>
    <cellStyle name="Normal 208 2 4" xfId="17595" xr:uid="{00000000-0005-0000-0000-0000BB440000}"/>
    <cellStyle name="Normal 208 2 4 2" xfId="17596" xr:uid="{00000000-0005-0000-0000-0000BC440000}"/>
    <cellStyle name="Normal 208 2 4 2 2" xfId="17597" xr:uid="{00000000-0005-0000-0000-0000BD440000}"/>
    <cellStyle name="Normal 208 2 4 3" xfId="17598" xr:uid="{00000000-0005-0000-0000-0000BE440000}"/>
    <cellStyle name="Normal 208 2 5" xfId="17599" xr:uid="{00000000-0005-0000-0000-0000BF440000}"/>
    <cellStyle name="Normal 208 3" xfId="17600" xr:uid="{00000000-0005-0000-0000-0000C0440000}"/>
    <cellStyle name="Normal 208 3 2" xfId="17601" xr:uid="{00000000-0005-0000-0000-0000C1440000}"/>
    <cellStyle name="Normal 208 3 2 2" xfId="17602" xr:uid="{00000000-0005-0000-0000-0000C2440000}"/>
    <cellStyle name="Normal 208 3 2 2 2" xfId="17603" xr:uid="{00000000-0005-0000-0000-0000C3440000}"/>
    <cellStyle name="Normal 208 3 2 3" xfId="17604" xr:uid="{00000000-0005-0000-0000-0000C4440000}"/>
    <cellStyle name="Normal 208 3 2 3 2" xfId="17605" xr:uid="{00000000-0005-0000-0000-0000C5440000}"/>
    <cellStyle name="Normal 208 3 2 3 2 2" xfId="17606" xr:uid="{00000000-0005-0000-0000-0000C6440000}"/>
    <cellStyle name="Normal 208 3 2 3 3" xfId="17607" xr:uid="{00000000-0005-0000-0000-0000C7440000}"/>
    <cellStyle name="Normal 208 3 2 4" xfId="17608" xr:uid="{00000000-0005-0000-0000-0000C8440000}"/>
    <cellStyle name="Normal 208 3 3" xfId="17609" xr:uid="{00000000-0005-0000-0000-0000C9440000}"/>
    <cellStyle name="Normal 208 3 3 2" xfId="17610" xr:uid="{00000000-0005-0000-0000-0000CA440000}"/>
    <cellStyle name="Normal 208 3 3 2 2" xfId="17611" xr:uid="{00000000-0005-0000-0000-0000CB440000}"/>
    <cellStyle name="Normal 208 3 3 3" xfId="17612" xr:uid="{00000000-0005-0000-0000-0000CC440000}"/>
    <cellStyle name="Normal 208 3 4" xfId="17613" xr:uid="{00000000-0005-0000-0000-0000CD440000}"/>
    <cellStyle name="Normal 208 3 4 2" xfId="17614" xr:uid="{00000000-0005-0000-0000-0000CE440000}"/>
    <cellStyle name="Normal 208 3 4 2 2" xfId="17615" xr:uid="{00000000-0005-0000-0000-0000CF440000}"/>
    <cellStyle name="Normal 208 3 4 3" xfId="17616" xr:uid="{00000000-0005-0000-0000-0000D0440000}"/>
    <cellStyle name="Normal 208 3 5" xfId="17617" xr:uid="{00000000-0005-0000-0000-0000D1440000}"/>
    <cellStyle name="Normal 208 3 5 2" xfId="17618" xr:uid="{00000000-0005-0000-0000-0000D2440000}"/>
    <cellStyle name="Normal 208 3 5 2 2" xfId="17619" xr:uid="{00000000-0005-0000-0000-0000D3440000}"/>
    <cellStyle name="Normal 208 3 5 3" xfId="17620" xr:uid="{00000000-0005-0000-0000-0000D4440000}"/>
    <cellStyle name="Normal 208 3 6" xfId="17621" xr:uid="{00000000-0005-0000-0000-0000D5440000}"/>
    <cellStyle name="Normal 208 4" xfId="17622" xr:uid="{00000000-0005-0000-0000-0000D6440000}"/>
    <cellStyle name="Normal 208 4 2" xfId="17623" xr:uid="{00000000-0005-0000-0000-0000D7440000}"/>
    <cellStyle name="Normal 208 4 2 2" xfId="17624" xr:uid="{00000000-0005-0000-0000-0000D8440000}"/>
    <cellStyle name="Normal 208 4 3" xfId="17625" xr:uid="{00000000-0005-0000-0000-0000D9440000}"/>
    <cellStyle name="Normal 208 5" xfId="17626" xr:uid="{00000000-0005-0000-0000-0000DA440000}"/>
    <cellStyle name="Normal 208 5 2" xfId="17627" xr:uid="{00000000-0005-0000-0000-0000DB440000}"/>
    <cellStyle name="Normal 208 5 2 2" xfId="17628" xr:uid="{00000000-0005-0000-0000-0000DC440000}"/>
    <cellStyle name="Normal 208 5 3" xfId="17629" xr:uid="{00000000-0005-0000-0000-0000DD440000}"/>
    <cellStyle name="Normal 208 6" xfId="17630" xr:uid="{00000000-0005-0000-0000-0000DE440000}"/>
    <cellStyle name="Normal 208 6 2" xfId="17631" xr:uid="{00000000-0005-0000-0000-0000DF440000}"/>
    <cellStyle name="Normal 208 6 2 2" xfId="17632" xr:uid="{00000000-0005-0000-0000-0000E0440000}"/>
    <cellStyle name="Normal 208 6 3" xfId="17633" xr:uid="{00000000-0005-0000-0000-0000E1440000}"/>
    <cellStyle name="Normal 208 7" xfId="17634" xr:uid="{00000000-0005-0000-0000-0000E2440000}"/>
    <cellStyle name="Normal 209" xfId="17635" xr:uid="{00000000-0005-0000-0000-0000E3440000}"/>
    <cellStyle name="Normal 209 2" xfId="17636" xr:uid="{00000000-0005-0000-0000-0000E4440000}"/>
    <cellStyle name="Normal 209 2 2" xfId="17637" xr:uid="{00000000-0005-0000-0000-0000E5440000}"/>
    <cellStyle name="Normal 209 2 2 2" xfId="17638" xr:uid="{00000000-0005-0000-0000-0000E6440000}"/>
    <cellStyle name="Normal 209 2 3" xfId="17639" xr:uid="{00000000-0005-0000-0000-0000E7440000}"/>
    <cellStyle name="Normal 209 2 3 2" xfId="17640" xr:uid="{00000000-0005-0000-0000-0000E8440000}"/>
    <cellStyle name="Normal 209 2 3 2 2" xfId="17641" xr:uid="{00000000-0005-0000-0000-0000E9440000}"/>
    <cellStyle name="Normal 209 2 3 3" xfId="17642" xr:uid="{00000000-0005-0000-0000-0000EA440000}"/>
    <cellStyle name="Normal 209 2 4" xfId="17643" xr:uid="{00000000-0005-0000-0000-0000EB440000}"/>
    <cellStyle name="Normal 209 2 4 2" xfId="17644" xr:uid="{00000000-0005-0000-0000-0000EC440000}"/>
    <cellStyle name="Normal 209 2 4 2 2" xfId="17645" xr:uid="{00000000-0005-0000-0000-0000ED440000}"/>
    <cellStyle name="Normal 209 2 4 3" xfId="17646" xr:uid="{00000000-0005-0000-0000-0000EE440000}"/>
    <cellStyle name="Normal 209 2 5" xfId="17647" xr:uid="{00000000-0005-0000-0000-0000EF440000}"/>
    <cellStyle name="Normal 209 3" xfId="17648" xr:uid="{00000000-0005-0000-0000-0000F0440000}"/>
    <cellStyle name="Normal 209 3 2" xfId="17649" xr:uid="{00000000-0005-0000-0000-0000F1440000}"/>
    <cellStyle name="Normal 209 3 2 2" xfId="17650" xr:uid="{00000000-0005-0000-0000-0000F2440000}"/>
    <cellStyle name="Normal 209 3 2 2 2" xfId="17651" xr:uid="{00000000-0005-0000-0000-0000F3440000}"/>
    <cellStyle name="Normal 209 3 2 3" xfId="17652" xr:uid="{00000000-0005-0000-0000-0000F4440000}"/>
    <cellStyle name="Normal 209 3 2 3 2" xfId="17653" xr:uid="{00000000-0005-0000-0000-0000F5440000}"/>
    <cellStyle name="Normal 209 3 2 3 2 2" xfId="17654" xr:uid="{00000000-0005-0000-0000-0000F6440000}"/>
    <cellStyle name="Normal 209 3 2 3 3" xfId="17655" xr:uid="{00000000-0005-0000-0000-0000F7440000}"/>
    <cellStyle name="Normal 209 3 2 4" xfId="17656" xr:uid="{00000000-0005-0000-0000-0000F8440000}"/>
    <cellStyle name="Normal 209 3 3" xfId="17657" xr:uid="{00000000-0005-0000-0000-0000F9440000}"/>
    <cellStyle name="Normal 209 3 3 2" xfId="17658" xr:uid="{00000000-0005-0000-0000-0000FA440000}"/>
    <cellStyle name="Normal 209 3 3 2 2" xfId="17659" xr:uid="{00000000-0005-0000-0000-0000FB440000}"/>
    <cellStyle name="Normal 209 3 3 3" xfId="17660" xr:uid="{00000000-0005-0000-0000-0000FC440000}"/>
    <cellStyle name="Normal 209 3 4" xfId="17661" xr:uid="{00000000-0005-0000-0000-0000FD440000}"/>
    <cellStyle name="Normal 209 3 4 2" xfId="17662" xr:uid="{00000000-0005-0000-0000-0000FE440000}"/>
    <cellStyle name="Normal 209 3 4 2 2" xfId="17663" xr:uid="{00000000-0005-0000-0000-0000FF440000}"/>
    <cellStyle name="Normal 209 3 4 3" xfId="17664" xr:uid="{00000000-0005-0000-0000-000000450000}"/>
    <cellStyle name="Normal 209 3 5" xfId="17665" xr:uid="{00000000-0005-0000-0000-000001450000}"/>
    <cellStyle name="Normal 209 3 5 2" xfId="17666" xr:uid="{00000000-0005-0000-0000-000002450000}"/>
    <cellStyle name="Normal 209 3 5 2 2" xfId="17667" xr:uid="{00000000-0005-0000-0000-000003450000}"/>
    <cellStyle name="Normal 209 3 5 3" xfId="17668" xr:uid="{00000000-0005-0000-0000-000004450000}"/>
    <cellStyle name="Normal 209 3 6" xfId="17669" xr:uid="{00000000-0005-0000-0000-000005450000}"/>
    <cellStyle name="Normal 209 4" xfId="17670" xr:uid="{00000000-0005-0000-0000-000006450000}"/>
    <cellStyle name="Normal 209 4 2" xfId="17671" xr:uid="{00000000-0005-0000-0000-000007450000}"/>
    <cellStyle name="Normal 209 4 2 2" xfId="17672" xr:uid="{00000000-0005-0000-0000-000008450000}"/>
    <cellStyle name="Normal 209 4 3" xfId="17673" xr:uid="{00000000-0005-0000-0000-000009450000}"/>
    <cellStyle name="Normal 209 5" xfId="17674" xr:uid="{00000000-0005-0000-0000-00000A450000}"/>
    <cellStyle name="Normal 209 5 2" xfId="17675" xr:uid="{00000000-0005-0000-0000-00000B450000}"/>
    <cellStyle name="Normal 209 5 2 2" xfId="17676" xr:uid="{00000000-0005-0000-0000-00000C450000}"/>
    <cellStyle name="Normal 209 5 3" xfId="17677" xr:uid="{00000000-0005-0000-0000-00000D450000}"/>
    <cellStyle name="Normal 209 6" xfId="17678" xr:uid="{00000000-0005-0000-0000-00000E450000}"/>
    <cellStyle name="Normal 209 6 2" xfId="17679" xr:uid="{00000000-0005-0000-0000-00000F450000}"/>
    <cellStyle name="Normal 209 6 2 2" xfId="17680" xr:uid="{00000000-0005-0000-0000-000010450000}"/>
    <cellStyle name="Normal 209 6 3" xfId="17681" xr:uid="{00000000-0005-0000-0000-000011450000}"/>
    <cellStyle name="Normal 209 7" xfId="17682" xr:uid="{00000000-0005-0000-0000-000012450000}"/>
    <cellStyle name="Normal 21" xfId="17683" xr:uid="{00000000-0005-0000-0000-000013450000}"/>
    <cellStyle name="Normal 21 2" xfId="17684" xr:uid="{00000000-0005-0000-0000-000014450000}"/>
    <cellStyle name="Normal 21 2 2" xfId="17685" xr:uid="{00000000-0005-0000-0000-000015450000}"/>
    <cellStyle name="Normal 21 2 2 2" xfId="17686" xr:uid="{00000000-0005-0000-0000-000016450000}"/>
    <cellStyle name="Normal 21 2 2 2 2" xfId="17687" xr:uid="{00000000-0005-0000-0000-000017450000}"/>
    <cellStyle name="Normal 21 2 2 3" xfId="17688" xr:uid="{00000000-0005-0000-0000-000018450000}"/>
    <cellStyle name="Normal 21 2 2 3 2" xfId="17689" xr:uid="{00000000-0005-0000-0000-000019450000}"/>
    <cellStyle name="Normal 21 2 2 3 2 2" xfId="17690" xr:uid="{00000000-0005-0000-0000-00001A450000}"/>
    <cellStyle name="Normal 21 2 2 3 3" xfId="17691" xr:uid="{00000000-0005-0000-0000-00001B450000}"/>
    <cellStyle name="Normal 21 2 2 4" xfId="17692" xr:uid="{00000000-0005-0000-0000-00001C450000}"/>
    <cellStyle name="Normal 21 2 2 4 2" xfId="17693" xr:uid="{00000000-0005-0000-0000-00001D450000}"/>
    <cellStyle name="Normal 21 2 2 4 2 2" xfId="17694" xr:uid="{00000000-0005-0000-0000-00001E450000}"/>
    <cellStyle name="Normal 21 2 2 4 3" xfId="17695" xr:uid="{00000000-0005-0000-0000-00001F450000}"/>
    <cellStyle name="Normal 21 2 2 5" xfId="17696" xr:uid="{00000000-0005-0000-0000-000020450000}"/>
    <cellStyle name="Normal 21 2 3" xfId="17697" xr:uid="{00000000-0005-0000-0000-000021450000}"/>
    <cellStyle name="Normal 21 2 3 2" xfId="17698" xr:uid="{00000000-0005-0000-0000-000022450000}"/>
    <cellStyle name="Normal 21 2 3 2 2" xfId="17699" xr:uid="{00000000-0005-0000-0000-000023450000}"/>
    <cellStyle name="Normal 21 2 3 3" xfId="17700" xr:uid="{00000000-0005-0000-0000-000024450000}"/>
    <cellStyle name="Normal 21 2 4" xfId="17701" xr:uid="{00000000-0005-0000-0000-000025450000}"/>
    <cellStyle name="Normal 21 2 4 2" xfId="17702" xr:uid="{00000000-0005-0000-0000-000026450000}"/>
    <cellStyle name="Normal 21 2 4 2 2" xfId="17703" xr:uid="{00000000-0005-0000-0000-000027450000}"/>
    <cellStyle name="Normal 21 2 4 3" xfId="17704" xr:uid="{00000000-0005-0000-0000-000028450000}"/>
    <cellStyle name="Normal 21 2 5" xfId="17705" xr:uid="{00000000-0005-0000-0000-000029450000}"/>
    <cellStyle name="Normal 21 2 5 2" xfId="17706" xr:uid="{00000000-0005-0000-0000-00002A450000}"/>
    <cellStyle name="Normal 21 2 5 2 2" xfId="17707" xr:uid="{00000000-0005-0000-0000-00002B450000}"/>
    <cellStyle name="Normal 21 2 5 3" xfId="17708" xr:uid="{00000000-0005-0000-0000-00002C450000}"/>
    <cellStyle name="Normal 21 2 6" xfId="17709" xr:uid="{00000000-0005-0000-0000-00002D450000}"/>
    <cellStyle name="Normal 21 3" xfId="17710" xr:uid="{00000000-0005-0000-0000-00002E450000}"/>
    <cellStyle name="Normal 21 3 2" xfId="17711" xr:uid="{00000000-0005-0000-0000-00002F450000}"/>
    <cellStyle name="Normal 21 3 2 2" xfId="17712" xr:uid="{00000000-0005-0000-0000-000030450000}"/>
    <cellStyle name="Normal 21 3 3" xfId="17713" xr:uid="{00000000-0005-0000-0000-000031450000}"/>
    <cellStyle name="Normal 21 3 3 2" xfId="17714" xr:uid="{00000000-0005-0000-0000-000032450000}"/>
    <cellStyle name="Normal 21 3 3 2 2" xfId="17715" xr:uid="{00000000-0005-0000-0000-000033450000}"/>
    <cellStyle name="Normal 21 3 3 3" xfId="17716" xr:uid="{00000000-0005-0000-0000-000034450000}"/>
    <cellStyle name="Normal 21 3 4" xfId="17717" xr:uid="{00000000-0005-0000-0000-000035450000}"/>
    <cellStyle name="Normal 21 3 4 2" xfId="17718" xr:uid="{00000000-0005-0000-0000-000036450000}"/>
    <cellStyle name="Normal 21 3 4 2 2" xfId="17719" xr:uid="{00000000-0005-0000-0000-000037450000}"/>
    <cellStyle name="Normal 21 3 4 3" xfId="17720" xr:uid="{00000000-0005-0000-0000-000038450000}"/>
    <cellStyle name="Normal 21 3 5" xfId="17721" xr:uid="{00000000-0005-0000-0000-000039450000}"/>
    <cellStyle name="Normal 21 4" xfId="17722" xr:uid="{00000000-0005-0000-0000-00003A450000}"/>
    <cellStyle name="Normal 21 4 2" xfId="17723" xr:uid="{00000000-0005-0000-0000-00003B450000}"/>
    <cellStyle name="Normal 21 4 2 2" xfId="17724" xr:uid="{00000000-0005-0000-0000-00003C450000}"/>
    <cellStyle name="Normal 21 4 2 2 2" xfId="17725" xr:uid="{00000000-0005-0000-0000-00003D450000}"/>
    <cellStyle name="Normal 21 4 2 3" xfId="17726" xr:uid="{00000000-0005-0000-0000-00003E450000}"/>
    <cellStyle name="Normal 21 4 2 3 2" xfId="17727" xr:uid="{00000000-0005-0000-0000-00003F450000}"/>
    <cellStyle name="Normal 21 4 2 3 2 2" xfId="17728" xr:uid="{00000000-0005-0000-0000-000040450000}"/>
    <cellStyle name="Normal 21 4 2 3 3" xfId="17729" xr:uid="{00000000-0005-0000-0000-000041450000}"/>
    <cellStyle name="Normal 21 4 2 4" xfId="17730" xr:uid="{00000000-0005-0000-0000-000042450000}"/>
    <cellStyle name="Normal 21 4 3" xfId="17731" xr:uid="{00000000-0005-0000-0000-000043450000}"/>
    <cellStyle name="Normal 21 4 3 2" xfId="17732" xr:uid="{00000000-0005-0000-0000-000044450000}"/>
    <cellStyle name="Normal 21 4 3 2 2" xfId="17733" xr:uid="{00000000-0005-0000-0000-000045450000}"/>
    <cellStyle name="Normal 21 4 3 3" xfId="17734" xr:uid="{00000000-0005-0000-0000-000046450000}"/>
    <cellStyle name="Normal 21 4 4" xfId="17735" xr:uid="{00000000-0005-0000-0000-000047450000}"/>
    <cellStyle name="Normal 21 4 4 2" xfId="17736" xr:uid="{00000000-0005-0000-0000-000048450000}"/>
    <cellStyle name="Normal 21 4 4 2 2" xfId="17737" xr:uid="{00000000-0005-0000-0000-000049450000}"/>
    <cellStyle name="Normal 21 4 4 3" xfId="17738" xr:uid="{00000000-0005-0000-0000-00004A450000}"/>
    <cellStyle name="Normal 21 4 5" xfId="17739" xr:uid="{00000000-0005-0000-0000-00004B450000}"/>
    <cellStyle name="Normal 21 4 5 2" xfId="17740" xr:uid="{00000000-0005-0000-0000-00004C450000}"/>
    <cellStyle name="Normal 21 4 5 2 2" xfId="17741" xr:uid="{00000000-0005-0000-0000-00004D450000}"/>
    <cellStyle name="Normal 21 4 5 3" xfId="17742" xr:uid="{00000000-0005-0000-0000-00004E450000}"/>
    <cellStyle name="Normal 21 4 6" xfId="17743" xr:uid="{00000000-0005-0000-0000-00004F450000}"/>
    <cellStyle name="Normal 21 5" xfId="17744" xr:uid="{00000000-0005-0000-0000-000050450000}"/>
    <cellStyle name="Normal 210" xfId="17745" xr:uid="{00000000-0005-0000-0000-000051450000}"/>
    <cellStyle name="Normal 210 2" xfId="17746" xr:uid="{00000000-0005-0000-0000-000052450000}"/>
    <cellStyle name="Normal 210 2 2" xfId="17747" xr:uid="{00000000-0005-0000-0000-000053450000}"/>
    <cellStyle name="Normal 210 2 2 2" xfId="17748" xr:uid="{00000000-0005-0000-0000-000054450000}"/>
    <cellStyle name="Normal 210 2 3" xfId="17749" xr:uid="{00000000-0005-0000-0000-000055450000}"/>
    <cellStyle name="Normal 210 2 3 2" xfId="17750" xr:uid="{00000000-0005-0000-0000-000056450000}"/>
    <cellStyle name="Normal 210 2 3 2 2" xfId="17751" xr:uid="{00000000-0005-0000-0000-000057450000}"/>
    <cellStyle name="Normal 210 2 3 3" xfId="17752" xr:uid="{00000000-0005-0000-0000-000058450000}"/>
    <cellStyle name="Normal 210 2 4" xfId="17753" xr:uid="{00000000-0005-0000-0000-000059450000}"/>
    <cellStyle name="Normal 210 2 4 2" xfId="17754" xr:uid="{00000000-0005-0000-0000-00005A450000}"/>
    <cellStyle name="Normal 210 2 4 2 2" xfId="17755" xr:uid="{00000000-0005-0000-0000-00005B450000}"/>
    <cellStyle name="Normal 210 2 4 3" xfId="17756" xr:uid="{00000000-0005-0000-0000-00005C450000}"/>
    <cellStyle name="Normal 210 2 5" xfId="17757" xr:uid="{00000000-0005-0000-0000-00005D450000}"/>
    <cellStyle name="Normal 210 3" xfId="17758" xr:uid="{00000000-0005-0000-0000-00005E450000}"/>
    <cellStyle name="Normal 210 3 2" xfId="17759" xr:uid="{00000000-0005-0000-0000-00005F450000}"/>
    <cellStyle name="Normal 210 3 2 2" xfId="17760" xr:uid="{00000000-0005-0000-0000-000060450000}"/>
    <cellStyle name="Normal 210 3 2 2 2" xfId="17761" xr:uid="{00000000-0005-0000-0000-000061450000}"/>
    <cellStyle name="Normal 210 3 2 3" xfId="17762" xr:uid="{00000000-0005-0000-0000-000062450000}"/>
    <cellStyle name="Normal 210 3 2 3 2" xfId="17763" xr:uid="{00000000-0005-0000-0000-000063450000}"/>
    <cellStyle name="Normal 210 3 2 3 2 2" xfId="17764" xr:uid="{00000000-0005-0000-0000-000064450000}"/>
    <cellStyle name="Normal 210 3 2 3 3" xfId="17765" xr:uid="{00000000-0005-0000-0000-000065450000}"/>
    <cellStyle name="Normal 210 3 2 4" xfId="17766" xr:uid="{00000000-0005-0000-0000-000066450000}"/>
    <cellStyle name="Normal 210 3 3" xfId="17767" xr:uid="{00000000-0005-0000-0000-000067450000}"/>
    <cellStyle name="Normal 210 3 3 2" xfId="17768" xr:uid="{00000000-0005-0000-0000-000068450000}"/>
    <cellStyle name="Normal 210 3 3 2 2" xfId="17769" xr:uid="{00000000-0005-0000-0000-000069450000}"/>
    <cellStyle name="Normal 210 3 3 3" xfId="17770" xr:uid="{00000000-0005-0000-0000-00006A450000}"/>
    <cellStyle name="Normal 210 3 4" xfId="17771" xr:uid="{00000000-0005-0000-0000-00006B450000}"/>
    <cellStyle name="Normal 210 3 4 2" xfId="17772" xr:uid="{00000000-0005-0000-0000-00006C450000}"/>
    <cellStyle name="Normal 210 3 4 2 2" xfId="17773" xr:uid="{00000000-0005-0000-0000-00006D450000}"/>
    <cellStyle name="Normal 210 3 4 3" xfId="17774" xr:uid="{00000000-0005-0000-0000-00006E450000}"/>
    <cellStyle name="Normal 210 3 5" xfId="17775" xr:uid="{00000000-0005-0000-0000-00006F450000}"/>
    <cellStyle name="Normal 210 3 5 2" xfId="17776" xr:uid="{00000000-0005-0000-0000-000070450000}"/>
    <cellStyle name="Normal 210 3 5 2 2" xfId="17777" xr:uid="{00000000-0005-0000-0000-000071450000}"/>
    <cellStyle name="Normal 210 3 5 3" xfId="17778" xr:uid="{00000000-0005-0000-0000-000072450000}"/>
    <cellStyle name="Normal 210 3 6" xfId="17779" xr:uid="{00000000-0005-0000-0000-000073450000}"/>
    <cellStyle name="Normal 210 4" xfId="17780" xr:uid="{00000000-0005-0000-0000-000074450000}"/>
    <cellStyle name="Normal 210 4 2" xfId="17781" xr:uid="{00000000-0005-0000-0000-000075450000}"/>
    <cellStyle name="Normal 210 4 2 2" xfId="17782" xr:uid="{00000000-0005-0000-0000-000076450000}"/>
    <cellStyle name="Normal 210 4 3" xfId="17783" xr:uid="{00000000-0005-0000-0000-000077450000}"/>
    <cellStyle name="Normal 210 5" xfId="17784" xr:uid="{00000000-0005-0000-0000-000078450000}"/>
    <cellStyle name="Normal 210 5 2" xfId="17785" xr:uid="{00000000-0005-0000-0000-000079450000}"/>
    <cellStyle name="Normal 210 5 2 2" xfId="17786" xr:uid="{00000000-0005-0000-0000-00007A450000}"/>
    <cellStyle name="Normal 210 5 3" xfId="17787" xr:uid="{00000000-0005-0000-0000-00007B450000}"/>
    <cellStyle name="Normal 210 6" xfId="17788" xr:uid="{00000000-0005-0000-0000-00007C450000}"/>
    <cellStyle name="Normal 210 6 2" xfId="17789" xr:uid="{00000000-0005-0000-0000-00007D450000}"/>
    <cellStyle name="Normal 210 6 2 2" xfId="17790" xr:uid="{00000000-0005-0000-0000-00007E450000}"/>
    <cellStyle name="Normal 210 6 3" xfId="17791" xr:uid="{00000000-0005-0000-0000-00007F450000}"/>
    <cellStyle name="Normal 210 7" xfId="17792" xr:uid="{00000000-0005-0000-0000-000080450000}"/>
    <cellStyle name="Normal 211" xfId="17793" xr:uid="{00000000-0005-0000-0000-000081450000}"/>
    <cellStyle name="Normal 211 2" xfId="17794" xr:uid="{00000000-0005-0000-0000-000082450000}"/>
    <cellStyle name="Normal 211 2 2" xfId="17795" xr:uid="{00000000-0005-0000-0000-000083450000}"/>
    <cellStyle name="Normal 211 2 2 2" xfId="17796" xr:uid="{00000000-0005-0000-0000-000084450000}"/>
    <cellStyle name="Normal 211 2 3" xfId="17797" xr:uid="{00000000-0005-0000-0000-000085450000}"/>
    <cellStyle name="Normal 211 2 3 2" xfId="17798" xr:uid="{00000000-0005-0000-0000-000086450000}"/>
    <cellStyle name="Normal 211 2 3 2 2" xfId="17799" xr:uid="{00000000-0005-0000-0000-000087450000}"/>
    <cellStyle name="Normal 211 2 3 3" xfId="17800" xr:uid="{00000000-0005-0000-0000-000088450000}"/>
    <cellStyle name="Normal 211 2 4" xfId="17801" xr:uid="{00000000-0005-0000-0000-000089450000}"/>
    <cellStyle name="Normal 211 2 4 2" xfId="17802" xr:uid="{00000000-0005-0000-0000-00008A450000}"/>
    <cellStyle name="Normal 211 2 4 2 2" xfId="17803" xr:uid="{00000000-0005-0000-0000-00008B450000}"/>
    <cellStyle name="Normal 211 2 4 3" xfId="17804" xr:uid="{00000000-0005-0000-0000-00008C450000}"/>
    <cellStyle name="Normal 211 2 5" xfId="17805" xr:uid="{00000000-0005-0000-0000-00008D450000}"/>
    <cellStyle name="Normal 211 3" xfId="17806" xr:uid="{00000000-0005-0000-0000-00008E450000}"/>
    <cellStyle name="Normal 211 3 2" xfId="17807" xr:uid="{00000000-0005-0000-0000-00008F450000}"/>
    <cellStyle name="Normal 211 3 2 2" xfId="17808" xr:uid="{00000000-0005-0000-0000-000090450000}"/>
    <cellStyle name="Normal 211 3 2 2 2" xfId="17809" xr:uid="{00000000-0005-0000-0000-000091450000}"/>
    <cellStyle name="Normal 211 3 2 3" xfId="17810" xr:uid="{00000000-0005-0000-0000-000092450000}"/>
    <cellStyle name="Normal 211 3 2 3 2" xfId="17811" xr:uid="{00000000-0005-0000-0000-000093450000}"/>
    <cellStyle name="Normal 211 3 2 3 2 2" xfId="17812" xr:uid="{00000000-0005-0000-0000-000094450000}"/>
    <cellStyle name="Normal 211 3 2 3 3" xfId="17813" xr:uid="{00000000-0005-0000-0000-000095450000}"/>
    <cellStyle name="Normal 211 3 2 4" xfId="17814" xr:uid="{00000000-0005-0000-0000-000096450000}"/>
    <cellStyle name="Normal 211 3 3" xfId="17815" xr:uid="{00000000-0005-0000-0000-000097450000}"/>
    <cellStyle name="Normal 211 3 3 2" xfId="17816" xr:uid="{00000000-0005-0000-0000-000098450000}"/>
    <cellStyle name="Normal 211 3 3 2 2" xfId="17817" xr:uid="{00000000-0005-0000-0000-000099450000}"/>
    <cellStyle name="Normal 211 3 3 3" xfId="17818" xr:uid="{00000000-0005-0000-0000-00009A450000}"/>
    <cellStyle name="Normal 211 3 4" xfId="17819" xr:uid="{00000000-0005-0000-0000-00009B450000}"/>
    <cellStyle name="Normal 211 3 4 2" xfId="17820" xr:uid="{00000000-0005-0000-0000-00009C450000}"/>
    <cellStyle name="Normal 211 3 4 2 2" xfId="17821" xr:uid="{00000000-0005-0000-0000-00009D450000}"/>
    <cellStyle name="Normal 211 3 4 3" xfId="17822" xr:uid="{00000000-0005-0000-0000-00009E450000}"/>
    <cellStyle name="Normal 211 3 5" xfId="17823" xr:uid="{00000000-0005-0000-0000-00009F450000}"/>
    <cellStyle name="Normal 211 3 5 2" xfId="17824" xr:uid="{00000000-0005-0000-0000-0000A0450000}"/>
    <cellStyle name="Normal 211 3 5 2 2" xfId="17825" xr:uid="{00000000-0005-0000-0000-0000A1450000}"/>
    <cellStyle name="Normal 211 3 5 3" xfId="17826" xr:uid="{00000000-0005-0000-0000-0000A2450000}"/>
    <cellStyle name="Normal 211 3 6" xfId="17827" xr:uid="{00000000-0005-0000-0000-0000A3450000}"/>
    <cellStyle name="Normal 211 4" xfId="17828" xr:uid="{00000000-0005-0000-0000-0000A4450000}"/>
    <cellStyle name="Normal 211 4 2" xfId="17829" xr:uid="{00000000-0005-0000-0000-0000A5450000}"/>
    <cellStyle name="Normal 211 4 2 2" xfId="17830" xr:uid="{00000000-0005-0000-0000-0000A6450000}"/>
    <cellStyle name="Normal 211 4 3" xfId="17831" xr:uid="{00000000-0005-0000-0000-0000A7450000}"/>
    <cellStyle name="Normal 211 5" xfId="17832" xr:uid="{00000000-0005-0000-0000-0000A8450000}"/>
    <cellStyle name="Normal 211 5 2" xfId="17833" xr:uid="{00000000-0005-0000-0000-0000A9450000}"/>
    <cellStyle name="Normal 211 5 2 2" xfId="17834" xr:uid="{00000000-0005-0000-0000-0000AA450000}"/>
    <cellStyle name="Normal 211 5 3" xfId="17835" xr:uid="{00000000-0005-0000-0000-0000AB450000}"/>
    <cellStyle name="Normal 211 6" xfId="17836" xr:uid="{00000000-0005-0000-0000-0000AC450000}"/>
    <cellStyle name="Normal 211 6 2" xfId="17837" xr:uid="{00000000-0005-0000-0000-0000AD450000}"/>
    <cellStyle name="Normal 211 6 2 2" xfId="17838" xr:uid="{00000000-0005-0000-0000-0000AE450000}"/>
    <cellStyle name="Normal 211 6 3" xfId="17839" xr:uid="{00000000-0005-0000-0000-0000AF450000}"/>
    <cellStyle name="Normal 211 7" xfId="17840" xr:uid="{00000000-0005-0000-0000-0000B0450000}"/>
    <cellStyle name="Normal 212" xfId="17841" xr:uid="{00000000-0005-0000-0000-0000B1450000}"/>
    <cellStyle name="Normal 212 2" xfId="17842" xr:uid="{00000000-0005-0000-0000-0000B2450000}"/>
    <cellStyle name="Normal 212 2 2" xfId="17843" xr:uid="{00000000-0005-0000-0000-0000B3450000}"/>
    <cellStyle name="Normal 212 2 2 2" xfId="17844" xr:uid="{00000000-0005-0000-0000-0000B4450000}"/>
    <cellStyle name="Normal 212 2 3" xfId="17845" xr:uid="{00000000-0005-0000-0000-0000B5450000}"/>
    <cellStyle name="Normal 212 2 3 2" xfId="17846" xr:uid="{00000000-0005-0000-0000-0000B6450000}"/>
    <cellStyle name="Normal 212 2 3 2 2" xfId="17847" xr:uid="{00000000-0005-0000-0000-0000B7450000}"/>
    <cellStyle name="Normal 212 2 3 3" xfId="17848" xr:uid="{00000000-0005-0000-0000-0000B8450000}"/>
    <cellStyle name="Normal 212 2 4" xfId="17849" xr:uid="{00000000-0005-0000-0000-0000B9450000}"/>
    <cellStyle name="Normal 212 2 4 2" xfId="17850" xr:uid="{00000000-0005-0000-0000-0000BA450000}"/>
    <cellStyle name="Normal 212 2 4 2 2" xfId="17851" xr:uid="{00000000-0005-0000-0000-0000BB450000}"/>
    <cellStyle name="Normal 212 2 4 3" xfId="17852" xr:uid="{00000000-0005-0000-0000-0000BC450000}"/>
    <cellStyle name="Normal 212 2 5" xfId="17853" xr:uid="{00000000-0005-0000-0000-0000BD450000}"/>
    <cellStyle name="Normal 212 3" xfId="17854" xr:uid="{00000000-0005-0000-0000-0000BE450000}"/>
    <cellStyle name="Normal 212 3 2" xfId="17855" xr:uid="{00000000-0005-0000-0000-0000BF450000}"/>
    <cellStyle name="Normal 212 3 2 2" xfId="17856" xr:uid="{00000000-0005-0000-0000-0000C0450000}"/>
    <cellStyle name="Normal 212 3 2 2 2" xfId="17857" xr:uid="{00000000-0005-0000-0000-0000C1450000}"/>
    <cellStyle name="Normal 212 3 2 3" xfId="17858" xr:uid="{00000000-0005-0000-0000-0000C2450000}"/>
    <cellStyle name="Normal 212 3 2 3 2" xfId="17859" xr:uid="{00000000-0005-0000-0000-0000C3450000}"/>
    <cellStyle name="Normal 212 3 2 3 2 2" xfId="17860" xr:uid="{00000000-0005-0000-0000-0000C4450000}"/>
    <cellStyle name="Normal 212 3 2 3 3" xfId="17861" xr:uid="{00000000-0005-0000-0000-0000C5450000}"/>
    <cellStyle name="Normal 212 3 2 4" xfId="17862" xr:uid="{00000000-0005-0000-0000-0000C6450000}"/>
    <cellStyle name="Normal 212 3 3" xfId="17863" xr:uid="{00000000-0005-0000-0000-0000C7450000}"/>
    <cellStyle name="Normal 212 3 3 2" xfId="17864" xr:uid="{00000000-0005-0000-0000-0000C8450000}"/>
    <cellStyle name="Normal 212 3 3 2 2" xfId="17865" xr:uid="{00000000-0005-0000-0000-0000C9450000}"/>
    <cellStyle name="Normal 212 3 3 3" xfId="17866" xr:uid="{00000000-0005-0000-0000-0000CA450000}"/>
    <cellStyle name="Normal 212 3 4" xfId="17867" xr:uid="{00000000-0005-0000-0000-0000CB450000}"/>
    <cellStyle name="Normal 212 3 4 2" xfId="17868" xr:uid="{00000000-0005-0000-0000-0000CC450000}"/>
    <cellStyle name="Normal 212 3 4 2 2" xfId="17869" xr:uid="{00000000-0005-0000-0000-0000CD450000}"/>
    <cellStyle name="Normal 212 3 4 3" xfId="17870" xr:uid="{00000000-0005-0000-0000-0000CE450000}"/>
    <cellStyle name="Normal 212 3 5" xfId="17871" xr:uid="{00000000-0005-0000-0000-0000CF450000}"/>
    <cellStyle name="Normal 212 3 5 2" xfId="17872" xr:uid="{00000000-0005-0000-0000-0000D0450000}"/>
    <cellStyle name="Normal 212 3 5 2 2" xfId="17873" xr:uid="{00000000-0005-0000-0000-0000D1450000}"/>
    <cellStyle name="Normal 212 3 5 3" xfId="17874" xr:uid="{00000000-0005-0000-0000-0000D2450000}"/>
    <cellStyle name="Normal 212 3 6" xfId="17875" xr:uid="{00000000-0005-0000-0000-0000D3450000}"/>
    <cellStyle name="Normal 212 4" xfId="17876" xr:uid="{00000000-0005-0000-0000-0000D4450000}"/>
    <cellStyle name="Normal 212 4 2" xfId="17877" xr:uid="{00000000-0005-0000-0000-0000D5450000}"/>
    <cellStyle name="Normal 212 4 2 2" xfId="17878" xr:uid="{00000000-0005-0000-0000-0000D6450000}"/>
    <cellStyle name="Normal 212 4 3" xfId="17879" xr:uid="{00000000-0005-0000-0000-0000D7450000}"/>
    <cellStyle name="Normal 212 5" xfId="17880" xr:uid="{00000000-0005-0000-0000-0000D8450000}"/>
    <cellStyle name="Normal 212 5 2" xfId="17881" xr:uid="{00000000-0005-0000-0000-0000D9450000}"/>
    <cellStyle name="Normal 212 5 2 2" xfId="17882" xr:uid="{00000000-0005-0000-0000-0000DA450000}"/>
    <cellStyle name="Normal 212 5 3" xfId="17883" xr:uid="{00000000-0005-0000-0000-0000DB450000}"/>
    <cellStyle name="Normal 212 6" xfId="17884" xr:uid="{00000000-0005-0000-0000-0000DC450000}"/>
    <cellStyle name="Normal 212 6 2" xfId="17885" xr:uid="{00000000-0005-0000-0000-0000DD450000}"/>
    <cellStyle name="Normal 212 6 2 2" xfId="17886" xr:uid="{00000000-0005-0000-0000-0000DE450000}"/>
    <cellStyle name="Normal 212 6 3" xfId="17887" xr:uid="{00000000-0005-0000-0000-0000DF450000}"/>
    <cellStyle name="Normal 212 7" xfId="17888" xr:uid="{00000000-0005-0000-0000-0000E0450000}"/>
    <cellStyle name="Normal 213" xfId="17889" xr:uid="{00000000-0005-0000-0000-0000E1450000}"/>
    <cellStyle name="Normal 213 2" xfId="17890" xr:uid="{00000000-0005-0000-0000-0000E2450000}"/>
    <cellStyle name="Normal 213 2 2" xfId="17891" xr:uid="{00000000-0005-0000-0000-0000E3450000}"/>
    <cellStyle name="Normal 213 2 2 2" xfId="17892" xr:uid="{00000000-0005-0000-0000-0000E4450000}"/>
    <cellStyle name="Normal 213 2 3" xfId="17893" xr:uid="{00000000-0005-0000-0000-0000E5450000}"/>
    <cellStyle name="Normal 213 2 3 2" xfId="17894" xr:uid="{00000000-0005-0000-0000-0000E6450000}"/>
    <cellStyle name="Normal 213 2 3 2 2" xfId="17895" xr:uid="{00000000-0005-0000-0000-0000E7450000}"/>
    <cellStyle name="Normal 213 2 3 3" xfId="17896" xr:uid="{00000000-0005-0000-0000-0000E8450000}"/>
    <cellStyle name="Normal 213 2 4" xfId="17897" xr:uid="{00000000-0005-0000-0000-0000E9450000}"/>
    <cellStyle name="Normal 213 2 4 2" xfId="17898" xr:uid="{00000000-0005-0000-0000-0000EA450000}"/>
    <cellStyle name="Normal 213 2 4 2 2" xfId="17899" xr:uid="{00000000-0005-0000-0000-0000EB450000}"/>
    <cellStyle name="Normal 213 2 4 3" xfId="17900" xr:uid="{00000000-0005-0000-0000-0000EC450000}"/>
    <cellStyle name="Normal 213 2 5" xfId="17901" xr:uid="{00000000-0005-0000-0000-0000ED450000}"/>
    <cellStyle name="Normal 213 3" xfId="17902" xr:uid="{00000000-0005-0000-0000-0000EE450000}"/>
    <cellStyle name="Normal 213 3 2" xfId="17903" xr:uid="{00000000-0005-0000-0000-0000EF450000}"/>
    <cellStyle name="Normal 213 3 2 2" xfId="17904" xr:uid="{00000000-0005-0000-0000-0000F0450000}"/>
    <cellStyle name="Normal 213 3 2 2 2" xfId="17905" xr:uid="{00000000-0005-0000-0000-0000F1450000}"/>
    <cellStyle name="Normal 213 3 2 3" xfId="17906" xr:uid="{00000000-0005-0000-0000-0000F2450000}"/>
    <cellStyle name="Normal 213 3 2 3 2" xfId="17907" xr:uid="{00000000-0005-0000-0000-0000F3450000}"/>
    <cellStyle name="Normal 213 3 2 3 2 2" xfId="17908" xr:uid="{00000000-0005-0000-0000-0000F4450000}"/>
    <cellStyle name="Normal 213 3 2 3 3" xfId="17909" xr:uid="{00000000-0005-0000-0000-0000F5450000}"/>
    <cellStyle name="Normal 213 3 2 4" xfId="17910" xr:uid="{00000000-0005-0000-0000-0000F6450000}"/>
    <cellStyle name="Normal 213 3 3" xfId="17911" xr:uid="{00000000-0005-0000-0000-0000F7450000}"/>
    <cellStyle name="Normal 213 3 3 2" xfId="17912" xr:uid="{00000000-0005-0000-0000-0000F8450000}"/>
    <cellStyle name="Normal 213 3 3 2 2" xfId="17913" xr:uid="{00000000-0005-0000-0000-0000F9450000}"/>
    <cellStyle name="Normal 213 3 3 3" xfId="17914" xr:uid="{00000000-0005-0000-0000-0000FA450000}"/>
    <cellStyle name="Normal 213 3 4" xfId="17915" xr:uid="{00000000-0005-0000-0000-0000FB450000}"/>
    <cellStyle name="Normal 213 3 4 2" xfId="17916" xr:uid="{00000000-0005-0000-0000-0000FC450000}"/>
    <cellStyle name="Normal 213 3 4 2 2" xfId="17917" xr:uid="{00000000-0005-0000-0000-0000FD450000}"/>
    <cellStyle name="Normal 213 3 4 3" xfId="17918" xr:uid="{00000000-0005-0000-0000-0000FE450000}"/>
    <cellStyle name="Normal 213 3 5" xfId="17919" xr:uid="{00000000-0005-0000-0000-0000FF450000}"/>
    <cellStyle name="Normal 213 3 5 2" xfId="17920" xr:uid="{00000000-0005-0000-0000-000000460000}"/>
    <cellStyle name="Normal 213 3 5 2 2" xfId="17921" xr:uid="{00000000-0005-0000-0000-000001460000}"/>
    <cellStyle name="Normal 213 3 5 3" xfId="17922" xr:uid="{00000000-0005-0000-0000-000002460000}"/>
    <cellStyle name="Normal 213 3 6" xfId="17923" xr:uid="{00000000-0005-0000-0000-000003460000}"/>
    <cellStyle name="Normal 213 4" xfId="17924" xr:uid="{00000000-0005-0000-0000-000004460000}"/>
    <cellStyle name="Normal 213 4 2" xfId="17925" xr:uid="{00000000-0005-0000-0000-000005460000}"/>
    <cellStyle name="Normal 213 4 2 2" xfId="17926" xr:uid="{00000000-0005-0000-0000-000006460000}"/>
    <cellStyle name="Normal 213 4 3" xfId="17927" xr:uid="{00000000-0005-0000-0000-000007460000}"/>
    <cellStyle name="Normal 213 5" xfId="17928" xr:uid="{00000000-0005-0000-0000-000008460000}"/>
    <cellStyle name="Normal 213 5 2" xfId="17929" xr:uid="{00000000-0005-0000-0000-000009460000}"/>
    <cellStyle name="Normal 213 5 2 2" xfId="17930" xr:uid="{00000000-0005-0000-0000-00000A460000}"/>
    <cellStyle name="Normal 213 5 3" xfId="17931" xr:uid="{00000000-0005-0000-0000-00000B460000}"/>
    <cellStyle name="Normal 213 6" xfId="17932" xr:uid="{00000000-0005-0000-0000-00000C460000}"/>
    <cellStyle name="Normal 213 6 2" xfId="17933" xr:uid="{00000000-0005-0000-0000-00000D460000}"/>
    <cellStyle name="Normal 213 6 2 2" xfId="17934" xr:uid="{00000000-0005-0000-0000-00000E460000}"/>
    <cellStyle name="Normal 213 6 3" xfId="17935" xr:uid="{00000000-0005-0000-0000-00000F460000}"/>
    <cellStyle name="Normal 213 7" xfId="17936" xr:uid="{00000000-0005-0000-0000-000010460000}"/>
    <cellStyle name="Normal 214" xfId="17937" xr:uid="{00000000-0005-0000-0000-000011460000}"/>
    <cellStyle name="Normal 214 2" xfId="17938" xr:uid="{00000000-0005-0000-0000-000012460000}"/>
    <cellStyle name="Normal 214 2 2" xfId="17939" xr:uid="{00000000-0005-0000-0000-000013460000}"/>
    <cellStyle name="Normal 214 2 2 2" xfId="17940" xr:uid="{00000000-0005-0000-0000-000014460000}"/>
    <cellStyle name="Normal 214 2 3" xfId="17941" xr:uid="{00000000-0005-0000-0000-000015460000}"/>
    <cellStyle name="Normal 214 2 3 2" xfId="17942" xr:uid="{00000000-0005-0000-0000-000016460000}"/>
    <cellStyle name="Normal 214 2 3 2 2" xfId="17943" xr:uid="{00000000-0005-0000-0000-000017460000}"/>
    <cellStyle name="Normal 214 2 3 3" xfId="17944" xr:uid="{00000000-0005-0000-0000-000018460000}"/>
    <cellStyle name="Normal 214 2 4" xfId="17945" xr:uid="{00000000-0005-0000-0000-000019460000}"/>
    <cellStyle name="Normal 214 2 4 2" xfId="17946" xr:uid="{00000000-0005-0000-0000-00001A460000}"/>
    <cellStyle name="Normal 214 2 4 2 2" xfId="17947" xr:uid="{00000000-0005-0000-0000-00001B460000}"/>
    <cellStyle name="Normal 214 2 4 3" xfId="17948" xr:uid="{00000000-0005-0000-0000-00001C460000}"/>
    <cellStyle name="Normal 214 2 5" xfId="17949" xr:uid="{00000000-0005-0000-0000-00001D460000}"/>
    <cellStyle name="Normal 214 3" xfId="17950" xr:uid="{00000000-0005-0000-0000-00001E460000}"/>
    <cellStyle name="Normal 214 3 2" xfId="17951" xr:uid="{00000000-0005-0000-0000-00001F460000}"/>
    <cellStyle name="Normal 214 3 2 2" xfId="17952" xr:uid="{00000000-0005-0000-0000-000020460000}"/>
    <cellStyle name="Normal 214 3 2 2 2" xfId="17953" xr:uid="{00000000-0005-0000-0000-000021460000}"/>
    <cellStyle name="Normal 214 3 2 3" xfId="17954" xr:uid="{00000000-0005-0000-0000-000022460000}"/>
    <cellStyle name="Normal 214 3 2 3 2" xfId="17955" xr:uid="{00000000-0005-0000-0000-000023460000}"/>
    <cellStyle name="Normal 214 3 2 3 2 2" xfId="17956" xr:uid="{00000000-0005-0000-0000-000024460000}"/>
    <cellStyle name="Normal 214 3 2 3 3" xfId="17957" xr:uid="{00000000-0005-0000-0000-000025460000}"/>
    <cellStyle name="Normal 214 3 2 4" xfId="17958" xr:uid="{00000000-0005-0000-0000-000026460000}"/>
    <cellStyle name="Normal 214 3 3" xfId="17959" xr:uid="{00000000-0005-0000-0000-000027460000}"/>
    <cellStyle name="Normal 214 3 3 2" xfId="17960" xr:uid="{00000000-0005-0000-0000-000028460000}"/>
    <cellStyle name="Normal 214 3 3 2 2" xfId="17961" xr:uid="{00000000-0005-0000-0000-000029460000}"/>
    <cellStyle name="Normal 214 3 3 3" xfId="17962" xr:uid="{00000000-0005-0000-0000-00002A460000}"/>
    <cellStyle name="Normal 214 3 4" xfId="17963" xr:uid="{00000000-0005-0000-0000-00002B460000}"/>
    <cellStyle name="Normal 214 3 4 2" xfId="17964" xr:uid="{00000000-0005-0000-0000-00002C460000}"/>
    <cellStyle name="Normal 214 3 4 2 2" xfId="17965" xr:uid="{00000000-0005-0000-0000-00002D460000}"/>
    <cellStyle name="Normal 214 3 4 3" xfId="17966" xr:uid="{00000000-0005-0000-0000-00002E460000}"/>
    <cellStyle name="Normal 214 3 5" xfId="17967" xr:uid="{00000000-0005-0000-0000-00002F460000}"/>
    <cellStyle name="Normal 214 3 5 2" xfId="17968" xr:uid="{00000000-0005-0000-0000-000030460000}"/>
    <cellStyle name="Normal 214 3 5 2 2" xfId="17969" xr:uid="{00000000-0005-0000-0000-000031460000}"/>
    <cellStyle name="Normal 214 3 5 3" xfId="17970" xr:uid="{00000000-0005-0000-0000-000032460000}"/>
    <cellStyle name="Normal 214 3 6" xfId="17971" xr:uid="{00000000-0005-0000-0000-000033460000}"/>
    <cellStyle name="Normal 214 4" xfId="17972" xr:uid="{00000000-0005-0000-0000-000034460000}"/>
    <cellStyle name="Normal 214 4 2" xfId="17973" xr:uid="{00000000-0005-0000-0000-000035460000}"/>
    <cellStyle name="Normal 214 4 2 2" xfId="17974" xr:uid="{00000000-0005-0000-0000-000036460000}"/>
    <cellStyle name="Normal 214 4 3" xfId="17975" xr:uid="{00000000-0005-0000-0000-000037460000}"/>
    <cellStyle name="Normal 214 5" xfId="17976" xr:uid="{00000000-0005-0000-0000-000038460000}"/>
    <cellStyle name="Normal 214 5 2" xfId="17977" xr:uid="{00000000-0005-0000-0000-000039460000}"/>
    <cellStyle name="Normal 214 5 2 2" xfId="17978" xr:uid="{00000000-0005-0000-0000-00003A460000}"/>
    <cellStyle name="Normal 214 5 3" xfId="17979" xr:uid="{00000000-0005-0000-0000-00003B460000}"/>
    <cellStyle name="Normal 214 6" xfId="17980" xr:uid="{00000000-0005-0000-0000-00003C460000}"/>
    <cellStyle name="Normal 214 6 2" xfId="17981" xr:uid="{00000000-0005-0000-0000-00003D460000}"/>
    <cellStyle name="Normal 214 6 2 2" xfId="17982" xr:uid="{00000000-0005-0000-0000-00003E460000}"/>
    <cellStyle name="Normal 214 6 3" xfId="17983" xr:uid="{00000000-0005-0000-0000-00003F460000}"/>
    <cellStyle name="Normal 214 7" xfId="17984" xr:uid="{00000000-0005-0000-0000-000040460000}"/>
    <cellStyle name="Normal 215" xfId="17985" xr:uid="{00000000-0005-0000-0000-000041460000}"/>
    <cellStyle name="Normal 215 2" xfId="17986" xr:uid="{00000000-0005-0000-0000-000042460000}"/>
    <cellStyle name="Normal 215 2 2" xfId="17987" xr:uid="{00000000-0005-0000-0000-000043460000}"/>
    <cellStyle name="Normal 215 2 2 2" xfId="17988" xr:uid="{00000000-0005-0000-0000-000044460000}"/>
    <cellStyle name="Normal 215 2 3" xfId="17989" xr:uid="{00000000-0005-0000-0000-000045460000}"/>
    <cellStyle name="Normal 215 2 3 2" xfId="17990" xr:uid="{00000000-0005-0000-0000-000046460000}"/>
    <cellStyle name="Normal 215 2 3 2 2" xfId="17991" xr:uid="{00000000-0005-0000-0000-000047460000}"/>
    <cellStyle name="Normal 215 2 3 3" xfId="17992" xr:uid="{00000000-0005-0000-0000-000048460000}"/>
    <cellStyle name="Normal 215 2 4" xfId="17993" xr:uid="{00000000-0005-0000-0000-000049460000}"/>
    <cellStyle name="Normal 215 2 4 2" xfId="17994" xr:uid="{00000000-0005-0000-0000-00004A460000}"/>
    <cellStyle name="Normal 215 2 4 2 2" xfId="17995" xr:uid="{00000000-0005-0000-0000-00004B460000}"/>
    <cellStyle name="Normal 215 2 4 3" xfId="17996" xr:uid="{00000000-0005-0000-0000-00004C460000}"/>
    <cellStyle name="Normal 215 2 5" xfId="17997" xr:uid="{00000000-0005-0000-0000-00004D460000}"/>
    <cellStyle name="Normal 215 3" xfId="17998" xr:uid="{00000000-0005-0000-0000-00004E460000}"/>
    <cellStyle name="Normal 215 3 2" xfId="17999" xr:uid="{00000000-0005-0000-0000-00004F460000}"/>
    <cellStyle name="Normal 215 3 2 2" xfId="18000" xr:uid="{00000000-0005-0000-0000-000050460000}"/>
    <cellStyle name="Normal 215 3 2 2 2" xfId="18001" xr:uid="{00000000-0005-0000-0000-000051460000}"/>
    <cellStyle name="Normal 215 3 2 3" xfId="18002" xr:uid="{00000000-0005-0000-0000-000052460000}"/>
    <cellStyle name="Normal 215 3 2 3 2" xfId="18003" xr:uid="{00000000-0005-0000-0000-000053460000}"/>
    <cellStyle name="Normal 215 3 2 3 2 2" xfId="18004" xr:uid="{00000000-0005-0000-0000-000054460000}"/>
    <cellStyle name="Normal 215 3 2 3 3" xfId="18005" xr:uid="{00000000-0005-0000-0000-000055460000}"/>
    <cellStyle name="Normal 215 3 2 4" xfId="18006" xr:uid="{00000000-0005-0000-0000-000056460000}"/>
    <cellStyle name="Normal 215 3 3" xfId="18007" xr:uid="{00000000-0005-0000-0000-000057460000}"/>
    <cellStyle name="Normal 215 3 3 2" xfId="18008" xr:uid="{00000000-0005-0000-0000-000058460000}"/>
    <cellStyle name="Normal 215 3 3 2 2" xfId="18009" xr:uid="{00000000-0005-0000-0000-000059460000}"/>
    <cellStyle name="Normal 215 3 3 3" xfId="18010" xr:uid="{00000000-0005-0000-0000-00005A460000}"/>
    <cellStyle name="Normal 215 3 4" xfId="18011" xr:uid="{00000000-0005-0000-0000-00005B460000}"/>
    <cellStyle name="Normal 215 3 4 2" xfId="18012" xr:uid="{00000000-0005-0000-0000-00005C460000}"/>
    <cellStyle name="Normal 215 3 4 2 2" xfId="18013" xr:uid="{00000000-0005-0000-0000-00005D460000}"/>
    <cellStyle name="Normal 215 3 4 3" xfId="18014" xr:uid="{00000000-0005-0000-0000-00005E460000}"/>
    <cellStyle name="Normal 215 3 5" xfId="18015" xr:uid="{00000000-0005-0000-0000-00005F460000}"/>
    <cellStyle name="Normal 215 3 5 2" xfId="18016" xr:uid="{00000000-0005-0000-0000-000060460000}"/>
    <cellStyle name="Normal 215 3 5 2 2" xfId="18017" xr:uid="{00000000-0005-0000-0000-000061460000}"/>
    <cellStyle name="Normal 215 3 5 3" xfId="18018" xr:uid="{00000000-0005-0000-0000-000062460000}"/>
    <cellStyle name="Normal 215 3 6" xfId="18019" xr:uid="{00000000-0005-0000-0000-000063460000}"/>
    <cellStyle name="Normal 215 4" xfId="18020" xr:uid="{00000000-0005-0000-0000-000064460000}"/>
    <cellStyle name="Normal 215 4 2" xfId="18021" xr:uid="{00000000-0005-0000-0000-000065460000}"/>
    <cellStyle name="Normal 215 4 2 2" xfId="18022" xr:uid="{00000000-0005-0000-0000-000066460000}"/>
    <cellStyle name="Normal 215 4 3" xfId="18023" xr:uid="{00000000-0005-0000-0000-000067460000}"/>
    <cellStyle name="Normal 215 5" xfId="18024" xr:uid="{00000000-0005-0000-0000-000068460000}"/>
    <cellStyle name="Normal 215 5 2" xfId="18025" xr:uid="{00000000-0005-0000-0000-000069460000}"/>
    <cellStyle name="Normal 215 5 2 2" xfId="18026" xr:uid="{00000000-0005-0000-0000-00006A460000}"/>
    <cellStyle name="Normal 215 5 3" xfId="18027" xr:uid="{00000000-0005-0000-0000-00006B460000}"/>
    <cellStyle name="Normal 215 6" xfId="18028" xr:uid="{00000000-0005-0000-0000-00006C460000}"/>
    <cellStyle name="Normal 215 6 2" xfId="18029" xr:uid="{00000000-0005-0000-0000-00006D460000}"/>
    <cellStyle name="Normal 215 6 2 2" xfId="18030" xr:uid="{00000000-0005-0000-0000-00006E460000}"/>
    <cellStyle name="Normal 215 6 3" xfId="18031" xr:uid="{00000000-0005-0000-0000-00006F460000}"/>
    <cellStyle name="Normal 215 7" xfId="18032" xr:uid="{00000000-0005-0000-0000-000070460000}"/>
    <cellStyle name="Normal 216" xfId="18033" xr:uid="{00000000-0005-0000-0000-000071460000}"/>
    <cellStyle name="Normal 216 2" xfId="18034" xr:uid="{00000000-0005-0000-0000-000072460000}"/>
    <cellStyle name="Normal 216 2 2" xfId="18035" xr:uid="{00000000-0005-0000-0000-000073460000}"/>
    <cellStyle name="Normal 216 2 2 2" xfId="18036" xr:uid="{00000000-0005-0000-0000-000074460000}"/>
    <cellStyle name="Normal 216 2 3" xfId="18037" xr:uid="{00000000-0005-0000-0000-000075460000}"/>
    <cellStyle name="Normal 216 2 3 2" xfId="18038" xr:uid="{00000000-0005-0000-0000-000076460000}"/>
    <cellStyle name="Normal 216 2 3 2 2" xfId="18039" xr:uid="{00000000-0005-0000-0000-000077460000}"/>
    <cellStyle name="Normal 216 2 3 3" xfId="18040" xr:uid="{00000000-0005-0000-0000-000078460000}"/>
    <cellStyle name="Normal 216 2 4" xfId="18041" xr:uid="{00000000-0005-0000-0000-000079460000}"/>
    <cellStyle name="Normal 216 2 4 2" xfId="18042" xr:uid="{00000000-0005-0000-0000-00007A460000}"/>
    <cellStyle name="Normal 216 2 4 2 2" xfId="18043" xr:uid="{00000000-0005-0000-0000-00007B460000}"/>
    <cellStyle name="Normal 216 2 4 3" xfId="18044" xr:uid="{00000000-0005-0000-0000-00007C460000}"/>
    <cellStyle name="Normal 216 2 5" xfId="18045" xr:uid="{00000000-0005-0000-0000-00007D460000}"/>
    <cellStyle name="Normal 216 3" xfId="18046" xr:uid="{00000000-0005-0000-0000-00007E460000}"/>
    <cellStyle name="Normal 216 3 2" xfId="18047" xr:uid="{00000000-0005-0000-0000-00007F460000}"/>
    <cellStyle name="Normal 216 3 2 2" xfId="18048" xr:uid="{00000000-0005-0000-0000-000080460000}"/>
    <cellStyle name="Normal 216 3 2 2 2" xfId="18049" xr:uid="{00000000-0005-0000-0000-000081460000}"/>
    <cellStyle name="Normal 216 3 2 3" xfId="18050" xr:uid="{00000000-0005-0000-0000-000082460000}"/>
    <cellStyle name="Normal 216 3 2 3 2" xfId="18051" xr:uid="{00000000-0005-0000-0000-000083460000}"/>
    <cellStyle name="Normal 216 3 2 3 2 2" xfId="18052" xr:uid="{00000000-0005-0000-0000-000084460000}"/>
    <cellStyle name="Normal 216 3 2 3 3" xfId="18053" xr:uid="{00000000-0005-0000-0000-000085460000}"/>
    <cellStyle name="Normal 216 3 2 4" xfId="18054" xr:uid="{00000000-0005-0000-0000-000086460000}"/>
    <cellStyle name="Normal 216 3 3" xfId="18055" xr:uid="{00000000-0005-0000-0000-000087460000}"/>
    <cellStyle name="Normal 216 3 3 2" xfId="18056" xr:uid="{00000000-0005-0000-0000-000088460000}"/>
    <cellStyle name="Normal 216 3 3 2 2" xfId="18057" xr:uid="{00000000-0005-0000-0000-000089460000}"/>
    <cellStyle name="Normal 216 3 3 3" xfId="18058" xr:uid="{00000000-0005-0000-0000-00008A460000}"/>
    <cellStyle name="Normal 216 3 4" xfId="18059" xr:uid="{00000000-0005-0000-0000-00008B460000}"/>
    <cellStyle name="Normal 216 3 4 2" xfId="18060" xr:uid="{00000000-0005-0000-0000-00008C460000}"/>
    <cellStyle name="Normal 216 3 4 2 2" xfId="18061" xr:uid="{00000000-0005-0000-0000-00008D460000}"/>
    <cellStyle name="Normal 216 3 4 3" xfId="18062" xr:uid="{00000000-0005-0000-0000-00008E460000}"/>
    <cellStyle name="Normal 216 3 5" xfId="18063" xr:uid="{00000000-0005-0000-0000-00008F460000}"/>
    <cellStyle name="Normal 216 3 5 2" xfId="18064" xr:uid="{00000000-0005-0000-0000-000090460000}"/>
    <cellStyle name="Normal 216 3 5 2 2" xfId="18065" xr:uid="{00000000-0005-0000-0000-000091460000}"/>
    <cellStyle name="Normal 216 3 5 3" xfId="18066" xr:uid="{00000000-0005-0000-0000-000092460000}"/>
    <cellStyle name="Normal 216 3 6" xfId="18067" xr:uid="{00000000-0005-0000-0000-000093460000}"/>
    <cellStyle name="Normal 216 4" xfId="18068" xr:uid="{00000000-0005-0000-0000-000094460000}"/>
    <cellStyle name="Normal 216 4 2" xfId="18069" xr:uid="{00000000-0005-0000-0000-000095460000}"/>
    <cellStyle name="Normal 216 4 2 2" xfId="18070" xr:uid="{00000000-0005-0000-0000-000096460000}"/>
    <cellStyle name="Normal 216 4 3" xfId="18071" xr:uid="{00000000-0005-0000-0000-000097460000}"/>
    <cellStyle name="Normal 216 5" xfId="18072" xr:uid="{00000000-0005-0000-0000-000098460000}"/>
    <cellStyle name="Normal 216 5 2" xfId="18073" xr:uid="{00000000-0005-0000-0000-000099460000}"/>
    <cellStyle name="Normal 216 5 2 2" xfId="18074" xr:uid="{00000000-0005-0000-0000-00009A460000}"/>
    <cellStyle name="Normal 216 5 3" xfId="18075" xr:uid="{00000000-0005-0000-0000-00009B460000}"/>
    <cellStyle name="Normal 216 6" xfId="18076" xr:uid="{00000000-0005-0000-0000-00009C460000}"/>
    <cellStyle name="Normal 216 6 2" xfId="18077" xr:uid="{00000000-0005-0000-0000-00009D460000}"/>
    <cellStyle name="Normal 216 6 2 2" xfId="18078" xr:uid="{00000000-0005-0000-0000-00009E460000}"/>
    <cellStyle name="Normal 216 6 3" xfId="18079" xr:uid="{00000000-0005-0000-0000-00009F460000}"/>
    <cellStyle name="Normal 216 7" xfId="18080" xr:uid="{00000000-0005-0000-0000-0000A0460000}"/>
    <cellStyle name="Normal 217" xfId="18081" xr:uid="{00000000-0005-0000-0000-0000A1460000}"/>
    <cellStyle name="Normal 217 2" xfId="18082" xr:uid="{00000000-0005-0000-0000-0000A2460000}"/>
    <cellStyle name="Normal 217 2 2" xfId="18083" xr:uid="{00000000-0005-0000-0000-0000A3460000}"/>
    <cellStyle name="Normal 217 2 2 2" xfId="18084" xr:uid="{00000000-0005-0000-0000-0000A4460000}"/>
    <cellStyle name="Normal 217 2 2 2 2" xfId="18085" xr:uid="{00000000-0005-0000-0000-0000A5460000}"/>
    <cellStyle name="Normal 217 2 2 3" xfId="18086" xr:uid="{00000000-0005-0000-0000-0000A6460000}"/>
    <cellStyle name="Normal 217 2 2 3 2" xfId="18087" xr:uid="{00000000-0005-0000-0000-0000A7460000}"/>
    <cellStyle name="Normal 217 2 2 3 2 2" xfId="18088" xr:uid="{00000000-0005-0000-0000-0000A8460000}"/>
    <cellStyle name="Normal 217 2 2 3 3" xfId="18089" xr:uid="{00000000-0005-0000-0000-0000A9460000}"/>
    <cellStyle name="Normal 217 2 2 4" xfId="18090" xr:uid="{00000000-0005-0000-0000-0000AA460000}"/>
    <cellStyle name="Normal 217 2 2 4 2" xfId="18091" xr:uid="{00000000-0005-0000-0000-0000AB460000}"/>
    <cellStyle name="Normal 217 2 2 4 2 2" xfId="18092" xr:uid="{00000000-0005-0000-0000-0000AC460000}"/>
    <cellStyle name="Normal 217 2 2 4 3" xfId="18093" xr:uid="{00000000-0005-0000-0000-0000AD460000}"/>
    <cellStyle name="Normal 217 2 2 5" xfId="18094" xr:uid="{00000000-0005-0000-0000-0000AE460000}"/>
    <cellStyle name="Normal 217 2 3" xfId="18095" xr:uid="{00000000-0005-0000-0000-0000AF460000}"/>
    <cellStyle name="Normal 217 2 3 2" xfId="18096" xr:uid="{00000000-0005-0000-0000-0000B0460000}"/>
    <cellStyle name="Normal 217 2 3 2 2" xfId="18097" xr:uid="{00000000-0005-0000-0000-0000B1460000}"/>
    <cellStyle name="Normal 217 2 3 2 2 2" xfId="18098" xr:uid="{00000000-0005-0000-0000-0000B2460000}"/>
    <cellStyle name="Normal 217 2 3 2 3" xfId="18099" xr:uid="{00000000-0005-0000-0000-0000B3460000}"/>
    <cellStyle name="Normal 217 2 3 2 3 2" xfId="18100" xr:uid="{00000000-0005-0000-0000-0000B4460000}"/>
    <cellStyle name="Normal 217 2 3 2 3 2 2" xfId="18101" xr:uid="{00000000-0005-0000-0000-0000B5460000}"/>
    <cellStyle name="Normal 217 2 3 2 3 3" xfId="18102" xr:uid="{00000000-0005-0000-0000-0000B6460000}"/>
    <cellStyle name="Normal 217 2 3 2 4" xfId="18103" xr:uid="{00000000-0005-0000-0000-0000B7460000}"/>
    <cellStyle name="Normal 217 2 3 3" xfId="18104" xr:uid="{00000000-0005-0000-0000-0000B8460000}"/>
    <cellStyle name="Normal 217 2 3 3 2" xfId="18105" xr:uid="{00000000-0005-0000-0000-0000B9460000}"/>
    <cellStyle name="Normal 217 2 3 3 2 2" xfId="18106" xr:uid="{00000000-0005-0000-0000-0000BA460000}"/>
    <cellStyle name="Normal 217 2 3 3 3" xfId="18107" xr:uid="{00000000-0005-0000-0000-0000BB460000}"/>
    <cellStyle name="Normal 217 2 3 4" xfId="18108" xr:uid="{00000000-0005-0000-0000-0000BC460000}"/>
    <cellStyle name="Normal 217 2 3 4 2" xfId="18109" xr:uid="{00000000-0005-0000-0000-0000BD460000}"/>
    <cellStyle name="Normal 217 2 3 4 2 2" xfId="18110" xr:uid="{00000000-0005-0000-0000-0000BE460000}"/>
    <cellStyle name="Normal 217 2 3 4 3" xfId="18111" xr:uid="{00000000-0005-0000-0000-0000BF460000}"/>
    <cellStyle name="Normal 217 2 3 5" xfId="18112" xr:uid="{00000000-0005-0000-0000-0000C0460000}"/>
    <cellStyle name="Normal 217 2 3 5 2" xfId="18113" xr:uid="{00000000-0005-0000-0000-0000C1460000}"/>
    <cellStyle name="Normal 217 2 3 5 2 2" xfId="18114" xr:uid="{00000000-0005-0000-0000-0000C2460000}"/>
    <cellStyle name="Normal 217 2 3 5 3" xfId="18115" xr:uid="{00000000-0005-0000-0000-0000C3460000}"/>
    <cellStyle name="Normal 217 2 3 6" xfId="18116" xr:uid="{00000000-0005-0000-0000-0000C4460000}"/>
    <cellStyle name="Normal 217 2 4" xfId="18117" xr:uid="{00000000-0005-0000-0000-0000C5460000}"/>
    <cellStyle name="Normal 217 2 4 2" xfId="18118" xr:uid="{00000000-0005-0000-0000-0000C6460000}"/>
    <cellStyle name="Normal 217 2 4 2 2" xfId="18119" xr:uid="{00000000-0005-0000-0000-0000C7460000}"/>
    <cellStyle name="Normal 217 2 4 3" xfId="18120" xr:uid="{00000000-0005-0000-0000-0000C8460000}"/>
    <cellStyle name="Normal 217 2 5" xfId="18121" xr:uid="{00000000-0005-0000-0000-0000C9460000}"/>
    <cellStyle name="Normal 217 2 5 2" xfId="18122" xr:uid="{00000000-0005-0000-0000-0000CA460000}"/>
    <cellStyle name="Normal 217 2 5 2 2" xfId="18123" xr:uid="{00000000-0005-0000-0000-0000CB460000}"/>
    <cellStyle name="Normal 217 2 5 3" xfId="18124" xr:uid="{00000000-0005-0000-0000-0000CC460000}"/>
    <cellStyle name="Normal 217 2 6" xfId="18125" xr:uid="{00000000-0005-0000-0000-0000CD460000}"/>
    <cellStyle name="Normal 217 2 6 2" xfId="18126" xr:uid="{00000000-0005-0000-0000-0000CE460000}"/>
    <cellStyle name="Normal 217 2 6 2 2" xfId="18127" xr:uid="{00000000-0005-0000-0000-0000CF460000}"/>
    <cellStyle name="Normal 217 2 6 3" xfId="18128" xr:uid="{00000000-0005-0000-0000-0000D0460000}"/>
    <cellStyle name="Normal 217 2 7" xfId="18129" xr:uid="{00000000-0005-0000-0000-0000D1460000}"/>
    <cellStyle name="Normal 217 3" xfId="18130" xr:uid="{00000000-0005-0000-0000-0000D2460000}"/>
    <cellStyle name="Normal 217 3 2" xfId="18131" xr:uid="{00000000-0005-0000-0000-0000D3460000}"/>
    <cellStyle name="Normal 217 3 2 2" xfId="18132" xr:uid="{00000000-0005-0000-0000-0000D4460000}"/>
    <cellStyle name="Normal 217 3 3" xfId="18133" xr:uid="{00000000-0005-0000-0000-0000D5460000}"/>
    <cellStyle name="Normal 217 3 3 2" xfId="18134" xr:uid="{00000000-0005-0000-0000-0000D6460000}"/>
    <cellStyle name="Normal 217 3 3 2 2" xfId="18135" xr:uid="{00000000-0005-0000-0000-0000D7460000}"/>
    <cellStyle name="Normal 217 3 3 3" xfId="18136" xr:uid="{00000000-0005-0000-0000-0000D8460000}"/>
    <cellStyle name="Normal 217 3 4" xfId="18137" xr:uid="{00000000-0005-0000-0000-0000D9460000}"/>
    <cellStyle name="Normal 217 3 4 2" xfId="18138" xr:uid="{00000000-0005-0000-0000-0000DA460000}"/>
    <cellStyle name="Normal 217 3 4 2 2" xfId="18139" xr:uid="{00000000-0005-0000-0000-0000DB460000}"/>
    <cellStyle name="Normal 217 3 4 3" xfId="18140" xr:uid="{00000000-0005-0000-0000-0000DC460000}"/>
    <cellStyle name="Normal 217 3 5" xfId="18141" xr:uid="{00000000-0005-0000-0000-0000DD460000}"/>
    <cellStyle name="Normal 217 4" xfId="18142" xr:uid="{00000000-0005-0000-0000-0000DE460000}"/>
    <cellStyle name="Normal 217 4 2" xfId="18143" xr:uid="{00000000-0005-0000-0000-0000DF460000}"/>
    <cellStyle name="Normal 217 4 2 2" xfId="18144" xr:uid="{00000000-0005-0000-0000-0000E0460000}"/>
    <cellStyle name="Normal 217 4 2 2 2" xfId="18145" xr:uid="{00000000-0005-0000-0000-0000E1460000}"/>
    <cellStyle name="Normal 217 4 2 3" xfId="18146" xr:uid="{00000000-0005-0000-0000-0000E2460000}"/>
    <cellStyle name="Normal 217 4 2 3 2" xfId="18147" xr:uid="{00000000-0005-0000-0000-0000E3460000}"/>
    <cellStyle name="Normal 217 4 2 3 2 2" xfId="18148" xr:uid="{00000000-0005-0000-0000-0000E4460000}"/>
    <cellStyle name="Normal 217 4 2 3 3" xfId="18149" xr:uid="{00000000-0005-0000-0000-0000E5460000}"/>
    <cellStyle name="Normal 217 4 2 4" xfId="18150" xr:uid="{00000000-0005-0000-0000-0000E6460000}"/>
    <cellStyle name="Normal 217 4 3" xfId="18151" xr:uid="{00000000-0005-0000-0000-0000E7460000}"/>
    <cellStyle name="Normal 217 4 3 2" xfId="18152" xr:uid="{00000000-0005-0000-0000-0000E8460000}"/>
    <cellStyle name="Normal 217 4 3 2 2" xfId="18153" xr:uid="{00000000-0005-0000-0000-0000E9460000}"/>
    <cellStyle name="Normal 217 4 3 3" xfId="18154" xr:uid="{00000000-0005-0000-0000-0000EA460000}"/>
    <cellStyle name="Normal 217 4 4" xfId="18155" xr:uid="{00000000-0005-0000-0000-0000EB460000}"/>
    <cellStyle name="Normal 217 4 4 2" xfId="18156" xr:uid="{00000000-0005-0000-0000-0000EC460000}"/>
    <cellStyle name="Normal 217 4 4 2 2" xfId="18157" xr:uid="{00000000-0005-0000-0000-0000ED460000}"/>
    <cellStyle name="Normal 217 4 4 3" xfId="18158" xr:uid="{00000000-0005-0000-0000-0000EE460000}"/>
    <cellStyle name="Normal 217 4 5" xfId="18159" xr:uid="{00000000-0005-0000-0000-0000EF460000}"/>
    <cellStyle name="Normal 217 4 5 2" xfId="18160" xr:uid="{00000000-0005-0000-0000-0000F0460000}"/>
    <cellStyle name="Normal 217 4 5 2 2" xfId="18161" xr:uid="{00000000-0005-0000-0000-0000F1460000}"/>
    <cellStyle name="Normal 217 4 5 3" xfId="18162" xr:uid="{00000000-0005-0000-0000-0000F2460000}"/>
    <cellStyle name="Normal 217 4 6" xfId="18163" xr:uid="{00000000-0005-0000-0000-0000F3460000}"/>
    <cellStyle name="Normal 217 5" xfId="18164" xr:uid="{00000000-0005-0000-0000-0000F4460000}"/>
    <cellStyle name="Normal 217 5 2" xfId="18165" xr:uid="{00000000-0005-0000-0000-0000F5460000}"/>
    <cellStyle name="Normal 217 5 2 2" xfId="18166" xr:uid="{00000000-0005-0000-0000-0000F6460000}"/>
    <cellStyle name="Normal 217 5 3" xfId="18167" xr:uid="{00000000-0005-0000-0000-0000F7460000}"/>
    <cellStyle name="Normal 217 6" xfId="18168" xr:uid="{00000000-0005-0000-0000-0000F8460000}"/>
    <cellStyle name="Normal 217 6 2" xfId="18169" xr:uid="{00000000-0005-0000-0000-0000F9460000}"/>
    <cellStyle name="Normal 217 6 2 2" xfId="18170" xr:uid="{00000000-0005-0000-0000-0000FA460000}"/>
    <cellStyle name="Normal 217 6 3" xfId="18171" xr:uid="{00000000-0005-0000-0000-0000FB460000}"/>
    <cellStyle name="Normal 217 7" xfId="18172" xr:uid="{00000000-0005-0000-0000-0000FC460000}"/>
    <cellStyle name="Normal 217 7 2" xfId="18173" xr:uid="{00000000-0005-0000-0000-0000FD460000}"/>
    <cellStyle name="Normal 217 7 2 2" xfId="18174" xr:uid="{00000000-0005-0000-0000-0000FE460000}"/>
    <cellStyle name="Normal 217 7 3" xfId="18175" xr:uid="{00000000-0005-0000-0000-0000FF460000}"/>
    <cellStyle name="Normal 217 8" xfId="18176" xr:uid="{00000000-0005-0000-0000-000000470000}"/>
    <cellStyle name="Normal 218" xfId="18177" xr:uid="{00000000-0005-0000-0000-000001470000}"/>
    <cellStyle name="Normal 218 2" xfId="18178" xr:uid="{00000000-0005-0000-0000-000002470000}"/>
    <cellStyle name="Normal 218 2 2" xfId="18179" xr:uid="{00000000-0005-0000-0000-000003470000}"/>
    <cellStyle name="Normal 218 2 2 2" xfId="18180" xr:uid="{00000000-0005-0000-0000-000004470000}"/>
    <cellStyle name="Normal 218 2 2 2 2" xfId="18181" xr:uid="{00000000-0005-0000-0000-000005470000}"/>
    <cellStyle name="Normal 218 2 2 3" xfId="18182" xr:uid="{00000000-0005-0000-0000-000006470000}"/>
    <cellStyle name="Normal 218 2 2 3 2" xfId="18183" xr:uid="{00000000-0005-0000-0000-000007470000}"/>
    <cellStyle name="Normal 218 2 2 3 2 2" xfId="18184" xr:uid="{00000000-0005-0000-0000-000008470000}"/>
    <cellStyle name="Normal 218 2 2 3 3" xfId="18185" xr:uid="{00000000-0005-0000-0000-000009470000}"/>
    <cellStyle name="Normal 218 2 2 4" xfId="18186" xr:uid="{00000000-0005-0000-0000-00000A470000}"/>
    <cellStyle name="Normal 218 2 2 4 2" xfId="18187" xr:uid="{00000000-0005-0000-0000-00000B470000}"/>
    <cellStyle name="Normal 218 2 2 4 2 2" xfId="18188" xr:uid="{00000000-0005-0000-0000-00000C470000}"/>
    <cellStyle name="Normal 218 2 2 4 3" xfId="18189" xr:uid="{00000000-0005-0000-0000-00000D470000}"/>
    <cellStyle name="Normal 218 2 2 5" xfId="18190" xr:uid="{00000000-0005-0000-0000-00000E470000}"/>
    <cellStyle name="Normal 218 2 3" xfId="18191" xr:uid="{00000000-0005-0000-0000-00000F470000}"/>
    <cellStyle name="Normal 218 2 3 2" xfId="18192" xr:uid="{00000000-0005-0000-0000-000010470000}"/>
    <cellStyle name="Normal 218 2 3 2 2" xfId="18193" xr:uid="{00000000-0005-0000-0000-000011470000}"/>
    <cellStyle name="Normal 218 2 3 2 2 2" xfId="18194" xr:uid="{00000000-0005-0000-0000-000012470000}"/>
    <cellStyle name="Normal 218 2 3 2 3" xfId="18195" xr:uid="{00000000-0005-0000-0000-000013470000}"/>
    <cellStyle name="Normal 218 2 3 2 3 2" xfId="18196" xr:uid="{00000000-0005-0000-0000-000014470000}"/>
    <cellStyle name="Normal 218 2 3 2 3 2 2" xfId="18197" xr:uid="{00000000-0005-0000-0000-000015470000}"/>
    <cellStyle name="Normal 218 2 3 2 3 3" xfId="18198" xr:uid="{00000000-0005-0000-0000-000016470000}"/>
    <cellStyle name="Normal 218 2 3 2 4" xfId="18199" xr:uid="{00000000-0005-0000-0000-000017470000}"/>
    <cellStyle name="Normal 218 2 3 3" xfId="18200" xr:uid="{00000000-0005-0000-0000-000018470000}"/>
    <cellStyle name="Normal 218 2 3 3 2" xfId="18201" xr:uid="{00000000-0005-0000-0000-000019470000}"/>
    <cellStyle name="Normal 218 2 3 3 2 2" xfId="18202" xr:uid="{00000000-0005-0000-0000-00001A470000}"/>
    <cellStyle name="Normal 218 2 3 3 3" xfId="18203" xr:uid="{00000000-0005-0000-0000-00001B470000}"/>
    <cellStyle name="Normal 218 2 3 4" xfId="18204" xr:uid="{00000000-0005-0000-0000-00001C470000}"/>
    <cellStyle name="Normal 218 2 3 4 2" xfId="18205" xr:uid="{00000000-0005-0000-0000-00001D470000}"/>
    <cellStyle name="Normal 218 2 3 4 2 2" xfId="18206" xr:uid="{00000000-0005-0000-0000-00001E470000}"/>
    <cellStyle name="Normal 218 2 3 4 3" xfId="18207" xr:uid="{00000000-0005-0000-0000-00001F470000}"/>
    <cellStyle name="Normal 218 2 3 5" xfId="18208" xr:uid="{00000000-0005-0000-0000-000020470000}"/>
    <cellStyle name="Normal 218 2 3 5 2" xfId="18209" xr:uid="{00000000-0005-0000-0000-000021470000}"/>
    <cellStyle name="Normal 218 2 3 5 2 2" xfId="18210" xr:uid="{00000000-0005-0000-0000-000022470000}"/>
    <cellStyle name="Normal 218 2 3 5 3" xfId="18211" xr:uid="{00000000-0005-0000-0000-000023470000}"/>
    <cellStyle name="Normal 218 2 3 6" xfId="18212" xr:uid="{00000000-0005-0000-0000-000024470000}"/>
    <cellStyle name="Normal 218 2 4" xfId="18213" xr:uid="{00000000-0005-0000-0000-000025470000}"/>
    <cellStyle name="Normal 218 2 4 2" xfId="18214" xr:uid="{00000000-0005-0000-0000-000026470000}"/>
    <cellStyle name="Normal 218 2 4 2 2" xfId="18215" xr:uid="{00000000-0005-0000-0000-000027470000}"/>
    <cellStyle name="Normal 218 2 4 3" xfId="18216" xr:uid="{00000000-0005-0000-0000-000028470000}"/>
    <cellStyle name="Normal 218 2 5" xfId="18217" xr:uid="{00000000-0005-0000-0000-000029470000}"/>
    <cellStyle name="Normal 218 2 5 2" xfId="18218" xr:uid="{00000000-0005-0000-0000-00002A470000}"/>
    <cellStyle name="Normal 218 2 5 2 2" xfId="18219" xr:uid="{00000000-0005-0000-0000-00002B470000}"/>
    <cellStyle name="Normal 218 2 5 3" xfId="18220" xr:uid="{00000000-0005-0000-0000-00002C470000}"/>
    <cellStyle name="Normal 218 2 6" xfId="18221" xr:uid="{00000000-0005-0000-0000-00002D470000}"/>
    <cellStyle name="Normal 218 2 6 2" xfId="18222" xr:uid="{00000000-0005-0000-0000-00002E470000}"/>
    <cellStyle name="Normal 218 2 6 2 2" xfId="18223" xr:uid="{00000000-0005-0000-0000-00002F470000}"/>
    <cellStyle name="Normal 218 2 6 3" xfId="18224" xr:uid="{00000000-0005-0000-0000-000030470000}"/>
    <cellStyle name="Normal 218 2 7" xfId="18225" xr:uid="{00000000-0005-0000-0000-000031470000}"/>
    <cellStyle name="Normal 218 3" xfId="18226" xr:uid="{00000000-0005-0000-0000-000032470000}"/>
    <cellStyle name="Normal 218 3 2" xfId="18227" xr:uid="{00000000-0005-0000-0000-000033470000}"/>
    <cellStyle name="Normal 218 3 2 2" xfId="18228" xr:uid="{00000000-0005-0000-0000-000034470000}"/>
    <cellStyle name="Normal 218 3 3" xfId="18229" xr:uid="{00000000-0005-0000-0000-000035470000}"/>
    <cellStyle name="Normal 218 3 3 2" xfId="18230" xr:uid="{00000000-0005-0000-0000-000036470000}"/>
    <cellStyle name="Normal 218 3 3 2 2" xfId="18231" xr:uid="{00000000-0005-0000-0000-000037470000}"/>
    <cellStyle name="Normal 218 3 3 3" xfId="18232" xr:uid="{00000000-0005-0000-0000-000038470000}"/>
    <cellStyle name="Normal 218 3 4" xfId="18233" xr:uid="{00000000-0005-0000-0000-000039470000}"/>
    <cellStyle name="Normal 218 3 4 2" xfId="18234" xr:uid="{00000000-0005-0000-0000-00003A470000}"/>
    <cellStyle name="Normal 218 3 4 2 2" xfId="18235" xr:uid="{00000000-0005-0000-0000-00003B470000}"/>
    <cellStyle name="Normal 218 3 4 3" xfId="18236" xr:uid="{00000000-0005-0000-0000-00003C470000}"/>
    <cellStyle name="Normal 218 3 5" xfId="18237" xr:uid="{00000000-0005-0000-0000-00003D470000}"/>
    <cellStyle name="Normal 218 4" xfId="18238" xr:uid="{00000000-0005-0000-0000-00003E470000}"/>
    <cellStyle name="Normal 218 4 2" xfId="18239" xr:uid="{00000000-0005-0000-0000-00003F470000}"/>
    <cellStyle name="Normal 218 4 2 2" xfId="18240" xr:uid="{00000000-0005-0000-0000-000040470000}"/>
    <cellStyle name="Normal 218 4 2 2 2" xfId="18241" xr:uid="{00000000-0005-0000-0000-000041470000}"/>
    <cellStyle name="Normal 218 4 2 3" xfId="18242" xr:uid="{00000000-0005-0000-0000-000042470000}"/>
    <cellStyle name="Normal 218 4 2 3 2" xfId="18243" xr:uid="{00000000-0005-0000-0000-000043470000}"/>
    <cellStyle name="Normal 218 4 2 3 2 2" xfId="18244" xr:uid="{00000000-0005-0000-0000-000044470000}"/>
    <cellStyle name="Normal 218 4 2 3 3" xfId="18245" xr:uid="{00000000-0005-0000-0000-000045470000}"/>
    <cellStyle name="Normal 218 4 2 4" xfId="18246" xr:uid="{00000000-0005-0000-0000-000046470000}"/>
    <cellStyle name="Normal 218 4 3" xfId="18247" xr:uid="{00000000-0005-0000-0000-000047470000}"/>
    <cellStyle name="Normal 218 4 3 2" xfId="18248" xr:uid="{00000000-0005-0000-0000-000048470000}"/>
    <cellStyle name="Normal 218 4 3 2 2" xfId="18249" xr:uid="{00000000-0005-0000-0000-000049470000}"/>
    <cellStyle name="Normal 218 4 3 3" xfId="18250" xr:uid="{00000000-0005-0000-0000-00004A470000}"/>
    <cellStyle name="Normal 218 4 4" xfId="18251" xr:uid="{00000000-0005-0000-0000-00004B470000}"/>
    <cellStyle name="Normal 218 4 4 2" xfId="18252" xr:uid="{00000000-0005-0000-0000-00004C470000}"/>
    <cellStyle name="Normal 218 4 4 2 2" xfId="18253" xr:uid="{00000000-0005-0000-0000-00004D470000}"/>
    <cellStyle name="Normal 218 4 4 3" xfId="18254" xr:uid="{00000000-0005-0000-0000-00004E470000}"/>
    <cellStyle name="Normal 218 4 5" xfId="18255" xr:uid="{00000000-0005-0000-0000-00004F470000}"/>
    <cellStyle name="Normal 218 4 5 2" xfId="18256" xr:uid="{00000000-0005-0000-0000-000050470000}"/>
    <cellStyle name="Normal 218 4 5 2 2" xfId="18257" xr:uid="{00000000-0005-0000-0000-000051470000}"/>
    <cellStyle name="Normal 218 4 5 3" xfId="18258" xr:uid="{00000000-0005-0000-0000-000052470000}"/>
    <cellStyle name="Normal 218 4 6" xfId="18259" xr:uid="{00000000-0005-0000-0000-000053470000}"/>
    <cellStyle name="Normal 218 5" xfId="18260" xr:uid="{00000000-0005-0000-0000-000054470000}"/>
    <cellStyle name="Normal 218 5 2" xfId="18261" xr:uid="{00000000-0005-0000-0000-000055470000}"/>
    <cellStyle name="Normal 218 5 2 2" xfId="18262" xr:uid="{00000000-0005-0000-0000-000056470000}"/>
    <cellStyle name="Normal 218 5 3" xfId="18263" xr:uid="{00000000-0005-0000-0000-000057470000}"/>
    <cellStyle name="Normal 218 6" xfId="18264" xr:uid="{00000000-0005-0000-0000-000058470000}"/>
    <cellStyle name="Normal 218 6 2" xfId="18265" xr:uid="{00000000-0005-0000-0000-000059470000}"/>
    <cellStyle name="Normal 218 6 2 2" xfId="18266" xr:uid="{00000000-0005-0000-0000-00005A470000}"/>
    <cellStyle name="Normal 218 6 3" xfId="18267" xr:uid="{00000000-0005-0000-0000-00005B470000}"/>
    <cellStyle name="Normal 218 7" xfId="18268" xr:uid="{00000000-0005-0000-0000-00005C470000}"/>
    <cellStyle name="Normal 218 7 2" xfId="18269" xr:uid="{00000000-0005-0000-0000-00005D470000}"/>
    <cellStyle name="Normal 218 7 2 2" xfId="18270" xr:uid="{00000000-0005-0000-0000-00005E470000}"/>
    <cellStyle name="Normal 218 7 3" xfId="18271" xr:uid="{00000000-0005-0000-0000-00005F470000}"/>
    <cellStyle name="Normal 218 8" xfId="18272" xr:uid="{00000000-0005-0000-0000-000060470000}"/>
    <cellStyle name="Normal 219" xfId="18273" xr:uid="{00000000-0005-0000-0000-000061470000}"/>
    <cellStyle name="Normal 219 2" xfId="18274" xr:uid="{00000000-0005-0000-0000-000062470000}"/>
    <cellStyle name="Normal 219 2 2" xfId="18275" xr:uid="{00000000-0005-0000-0000-000063470000}"/>
    <cellStyle name="Normal 219 2 2 2" xfId="18276" xr:uid="{00000000-0005-0000-0000-000064470000}"/>
    <cellStyle name="Normal 219 2 2 2 2" xfId="18277" xr:uid="{00000000-0005-0000-0000-000065470000}"/>
    <cellStyle name="Normal 219 2 2 3" xfId="18278" xr:uid="{00000000-0005-0000-0000-000066470000}"/>
    <cellStyle name="Normal 219 2 2 3 2" xfId="18279" xr:uid="{00000000-0005-0000-0000-000067470000}"/>
    <cellStyle name="Normal 219 2 2 3 2 2" xfId="18280" xr:uid="{00000000-0005-0000-0000-000068470000}"/>
    <cellStyle name="Normal 219 2 2 3 3" xfId="18281" xr:uid="{00000000-0005-0000-0000-000069470000}"/>
    <cellStyle name="Normal 219 2 2 4" xfId="18282" xr:uid="{00000000-0005-0000-0000-00006A470000}"/>
    <cellStyle name="Normal 219 2 2 4 2" xfId="18283" xr:uid="{00000000-0005-0000-0000-00006B470000}"/>
    <cellStyle name="Normal 219 2 2 4 2 2" xfId="18284" xr:uid="{00000000-0005-0000-0000-00006C470000}"/>
    <cellStyle name="Normal 219 2 2 4 3" xfId="18285" xr:uid="{00000000-0005-0000-0000-00006D470000}"/>
    <cellStyle name="Normal 219 2 2 5" xfId="18286" xr:uid="{00000000-0005-0000-0000-00006E470000}"/>
    <cellStyle name="Normal 219 2 3" xfId="18287" xr:uid="{00000000-0005-0000-0000-00006F470000}"/>
    <cellStyle name="Normal 219 2 3 2" xfId="18288" xr:uid="{00000000-0005-0000-0000-000070470000}"/>
    <cellStyle name="Normal 219 2 3 2 2" xfId="18289" xr:uid="{00000000-0005-0000-0000-000071470000}"/>
    <cellStyle name="Normal 219 2 3 2 2 2" xfId="18290" xr:uid="{00000000-0005-0000-0000-000072470000}"/>
    <cellStyle name="Normal 219 2 3 2 3" xfId="18291" xr:uid="{00000000-0005-0000-0000-000073470000}"/>
    <cellStyle name="Normal 219 2 3 2 3 2" xfId="18292" xr:uid="{00000000-0005-0000-0000-000074470000}"/>
    <cellStyle name="Normal 219 2 3 2 3 2 2" xfId="18293" xr:uid="{00000000-0005-0000-0000-000075470000}"/>
    <cellStyle name="Normal 219 2 3 2 3 3" xfId="18294" xr:uid="{00000000-0005-0000-0000-000076470000}"/>
    <cellStyle name="Normal 219 2 3 2 4" xfId="18295" xr:uid="{00000000-0005-0000-0000-000077470000}"/>
    <cellStyle name="Normal 219 2 3 3" xfId="18296" xr:uid="{00000000-0005-0000-0000-000078470000}"/>
    <cellStyle name="Normal 219 2 3 3 2" xfId="18297" xr:uid="{00000000-0005-0000-0000-000079470000}"/>
    <cellStyle name="Normal 219 2 3 3 2 2" xfId="18298" xr:uid="{00000000-0005-0000-0000-00007A470000}"/>
    <cellStyle name="Normal 219 2 3 3 3" xfId="18299" xr:uid="{00000000-0005-0000-0000-00007B470000}"/>
    <cellStyle name="Normal 219 2 3 4" xfId="18300" xr:uid="{00000000-0005-0000-0000-00007C470000}"/>
    <cellStyle name="Normal 219 2 3 4 2" xfId="18301" xr:uid="{00000000-0005-0000-0000-00007D470000}"/>
    <cellStyle name="Normal 219 2 3 4 2 2" xfId="18302" xr:uid="{00000000-0005-0000-0000-00007E470000}"/>
    <cellStyle name="Normal 219 2 3 4 3" xfId="18303" xr:uid="{00000000-0005-0000-0000-00007F470000}"/>
    <cellStyle name="Normal 219 2 3 5" xfId="18304" xr:uid="{00000000-0005-0000-0000-000080470000}"/>
    <cellStyle name="Normal 219 2 3 5 2" xfId="18305" xr:uid="{00000000-0005-0000-0000-000081470000}"/>
    <cellStyle name="Normal 219 2 3 5 2 2" xfId="18306" xr:uid="{00000000-0005-0000-0000-000082470000}"/>
    <cellStyle name="Normal 219 2 3 5 3" xfId="18307" xr:uid="{00000000-0005-0000-0000-000083470000}"/>
    <cellStyle name="Normal 219 2 3 6" xfId="18308" xr:uid="{00000000-0005-0000-0000-000084470000}"/>
    <cellStyle name="Normal 219 2 4" xfId="18309" xr:uid="{00000000-0005-0000-0000-000085470000}"/>
    <cellStyle name="Normal 219 2 4 2" xfId="18310" xr:uid="{00000000-0005-0000-0000-000086470000}"/>
    <cellStyle name="Normal 219 2 4 2 2" xfId="18311" xr:uid="{00000000-0005-0000-0000-000087470000}"/>
    <cellStyle name="Normal 219 2 4 3" xfId="18312" xr:uid="{00000000-0005-0000-0000-000088470000}"/>
    <cellStyle name="Normal 219 2 5" xfId="18313" xr:uid="{00000000-0005-0000-0000-000089470000}"/>
    <cellStyle name="Normal 219 2 5 2" xfId="18314" xr:uid="{00000000-0005-0000-0000-00008A470000}"/>
    <cellStyle name="Normal 219 2 5 2 2" xfId="18315" xr:uid="{00000000-0005-0000-0000-00008B470000}"/>
    <cellStyle name="Normal 219 2 5 3" xfId="18316" xr:uid="{00000000-0005-0000-0000-00008C470000}"/>
    <cellStyle name="Normal 219 2 6" xfId="18317" xr:uid="{00000000-0005-0000-0000-00008D470000}"/>
    <cellStyle name="Normal 219 2 6 2" xfId="18318" xr:uid="{00000000-0005-0000-0000-00008E470000}"/>
    <cellStyle name="Normal 219 2 6 2 2" xfId="18319" xr:uid="{00000000-0005-0000-0000-00008F470000}"/>
    <cellStyle name="Normal 219 2 6 3" xfId="18320" xr:uid="{00000000-0005-0000-0000-000090470000}"/>
    <cellStyle name="Normal 219 2 7" xfId="18321" xr:uid="{00000000-0005-0000-0000-000091470000}"/>
    <cellStyle name="Normal 219 3" xfId="18322" xr:uid="{00000000-0005-0000-0000-000092470000}"/>
    <cellStyle name="Normal 219 3 2" xfId="18323" xr:uid="{00000000-0005-0000-0000-000093470000}"/>
    <cellStyle name="Normal 219 3 2 2" xfId="18324" xr:uid="{00000000-0005-0000-0000-000094470000}"/>
    <cellStyle name="Normal 219 3 3" xfId="18325" xr:uid="{00000000-0005-0000-0000-000095470000}"/>
    <cellStyle name="Normal 219 3 3 2" xfId="18326" xr:uid="{00000000-0005-0000-0000-000096470000}"/>
    <cellStyle name="Normal 219 3 3 2 2" xfId="18327" xr:uid="{00000000-0005-0000-0000-000097470000}"/>
    <cellStyle name="Normal 219 3 3 3" xfId="18328" xr:uid="{00000000-0005-0000-0000-000098470000}"/>
    <cellStyle name="Normal 219 3 4" xfId="18329" xr:uid="{00000000-0005-0000-0000-000099470000}"/>
    <cellStyle name="Normal 219 3 4 2" xfId="18330" xr:uid="{00000000-0005-0000-0000-00009A470000}"/>
    <cellStyle name="Normal 219 3 4 2 2" xfId="18331" xr:uid="{00000000-0005-0000-0000-00009B470000}"/>
    <cellStyle name="Normal 219 3 4 3" xfId="18332" xr:uid="{00000000-0005-0000-0000-00009C470000}"/>
    <cellStyle name="Normal 219 3 5" xfId="18333" xr:uid="{00000000-0005-0000-0000-00009D470000}"/>
    <cellStyle name="Normal 219 4" xfId="18334" xr:uid="{00000000-0005-0000-0000-00009E470000}"/>
    <cellStyle name="Normal 219 4 2" xfId="18335" xr:uid="{00000000-0005-0000-0000-00009F470000}"/>
    <cellStyle name="Normal 219 4 2 2" xfId="18336" xr:uid="{00000000-0005-0000-0000-0000A0470000}"/>
    <cellStyle name="Normal 219 4 2 2 2" xfId="18337" xr:uid="{00000000-0005-0000-0000-0000A1470000}"/>
    <cellStyle name="Normal 219 4 2 3" xfId="18338" xr:uid="{00000000-0005-0000-0000-0000A2470000}"/>
    <cellStyle name="Normal 219 4 2 3 2" xfId="18339" xr:uid="{00000000-0005-0000-0000-0000A3470000}"/>
    <cellStyle name="Normal 219 4 2 3 2 2" xfId="18340" xr:uid="{00000000-0005-0000-0000-0000A4470000}"/>
    <cellStyle name="Normal 219 4 2 3 3" xfId="18341" xr:uid="{00000000-0005-0000-0000-0000A5470000}"/>
    <cellStyle name="Normal 219 4 2 4" xfId="18342" xr:uid="{00000000-0005-0000-0000-0000A6470000}"/>
    <cellStyle name="Normal 219 4 3" xfId="18343" xr:uid="{00000000-0005-0000-0000-0000A7470000}"/>
    <cellStyle name="Normal 219 4 3 2" xfId="18344" xr:uid="{00000000-0005-0000-0000-0000A8470000}"/>
    <cellStyle name="Normal 219 4 3 2 2" xfId="18345" xr:uid="{00000000-0005-0000-0000-0000A9470000}"/>
    <cellStyle name="Normal 219 4 3 3" xfId="18346" xr:uid="{00000000-0005-0000-0000-0000AA470000}"/>
    <cellStyle name="Normal 219 4 4" xfId="18347" xr:uid="{00000000-0005-0000-0000-0000AB470000}"/>
    <cellStyle name="Normal 219 4 4 2" xfId="18348" xr:uid="{00000000-0005-0000-0000-0000AC470000}"/>
    <cellStyle name="Normal 219 4 4 2 2" xfId="18349" xr:uid="{00000000-0005-0000-0000-0000AD470000}"/>
    <cellStyle name="Normal 219 4 4 3" xfId="18350" xr:uid="{00000000-0005-0000-0000-0000AE470000}"/>
    <cellStyle name="Normal 219 4 5" xfId="18351" xr:uid="{00000000-0005-0000-0000-0000AF470000}"/>
    <cellStyle name="Normal 219 4 5 2" xfId="18352" xr:uid="{00000000-0005-0000-0000-0000B0470000}"/>
    <cellStyle name="Normal 219 4 5 2 2" xfId="18353" xr:uid="{00000000-0005-0000-0000-0000B1470000}"/>
    <cellStyle name="Normal 219 4 5 3" xfId="18354" xr:uid="{00000000-0005-0000-0000-0000B2470000}"/>
    <cellStyle name="Normal 219 4 6" xfId="18355" xr:uid="{00000000-0005-0000-0000-0000B3470000}"/>
    <cellStyle name="Normal 219 5" xfId="18356" xr:uid="{00000000-0005-0000-0000-0000B4470000}"/>
    <cellStyle name="Normal 219 5 2" xfId="18357" xr:uid="{00000000-0005-0000-0000-0000B5470000}"/>
    <cellStyle name="Normal 219 5 2 2" xfId="18358" xr:uid="{00000000-0005-0000-0000-0000B6470000}"/>
    <cellStyle name="Normal 219 5 3" xfId="18359" xr:uid="{00000000-0005-0000-0000-0000B7470000}"/>
    <cellStyle name="Normal 219 6" xfId="18360" xr:uid="{00000000-0005-0000-0000-0000B8470000}"/>
    <cellStyle name="Normal 219 6 2" xfId="18361" xr:uid="{00000000-0005-0000-0000-0000B9470000}"/>
    <cellStyle name="Normal 219 6 2 2" xfId="18362" xr:uid="{00000000-0005-0000-0000-0000BA470000}"/>
    <cellStyle name="Normal 219 6 3" xfId="18363" xr:uid="{00000000-0005-0000-0000-0000BB470000}"/>
    <cellStyle name="Normal 219 7" xfId="18364" xr:uid="{00000000-0005-0000-0000-0000BC470000}"/>
    <cellStyle name="Normal 219 7 2" xfId="18365" xr:uid="{00000000-0005-0000-0000-0000BD470000}"/>
    <cellStyle name="Normal 219 7 2 2" xfId="18366" xr:uid="{00000000-0005-0000-0000-0000BE470000}"/>
    <cellStyle name="Normal 219 7 3" xfId="18367" xr:uid="{00000000-0005-0000-0000-0000BF470000}"/>
    <cellStyle name="Normal 219 8" xfId="18368" xr:uid="{00000000-0005-0000-0000-0000C0470000}"/>
    <cellStyle name="Normal 22" xfId="18369" xr:uid="{00000000-0005-0000-0000-0000C1470000}"/>
    <cellStyle name="Normal 22 2" xfId="18370" xr:uid="{00000000-0005-0000-0000-0000C2470000}"/>
    <cellStyle name="Normal 22 2 2" xfId="18371" xr:uid="{00000000-0005-0000-0000-0000C3470000}"/>
    <cellStyle name="Normal 22 2 2 2" xfId="18372" xr:uid="{00000000-0005-0000-0000-0000C4470000}"/>
    <cellStyle name="Normal 22 2 2 2 2" xfId="18373" xr:uid="{00000000-0005-0000-0000-0000C5470000}"/>
    <cellStyle name="Normal 22 2 2 3" xfId="18374" xr:uid="{00000000-0005-0000-0000-0000C6470000}"/>
    <cellStyle name="Normal 22 2 2 3 2" xfId="18375" xr:uid="{00000000-0005-0000-0000-0000C7470000}"/>
    <cellStyle name="Normal 22 2 2 3 2 2" xfId="18376" xr:uid="{00000000-0005-0000-0000-0000C8470000}"/>
    <cellStyle name="Normal 22 2 2 3 3" xfId="18377" xr:uid="{00000000-0005-0000-0000-0000C9470000}"/>
    <cellStyle name="Normal 22 2 2 4" xfId="18378" xr:uid="{00000000-0005-0000-0000-0000CA470000}"/>
    <cellStyle name="Normal 22 2 2 4 2" xfId="18379" xr:uid="{00000000-0005-0000-0000-0000CB470000}"/>
    <cellStyle name="Normal 22 2 2 4 2 2" xfId="18380" xr:uid="{00000000-0005-0000-0000-0000CC470000}"/>
    <cellStyle name="Normal 22 2 2 4 3" xfId="18381" xr:uid="{00000000-0005-0000-0000-0000CD470000}"/>
    <cellStyle name="Normal 22 2 2 5" xfId="18382" xr:uid="{00000000-0005-0000-0000-0000CE470000}"/>
    <cellStyle name="Normal 22 2 3" xfId="18383" xr:uid="{00000000-0005-0000-0000-0000CF470000}"/>
    <cellStyle name="Normal 22 2 3 2" xfId="18384" xr:uid="{00000000-0005-0000-0000-0000D0470000}"/>
    <cellStyle name="Normal 22 2 3 2 2" xfId="18385" xr:uid="{00000000-0005-0000-0000-0000D1470000}"/>
    <cellStyle name="Normal 22 2 3 3" xfId="18386" xr:uid="{00000000-0005-0000-0000-0000D2470000}"/>
    <cellStyle name="Normal 22 2 4" xfId="18387" xr:uid="{00000000-0005-0000-0000-0000D3470000}"/>
    <cellStyle name="Normal 22 2 4 2" xfId="18388" xr:uid="{00000000-0005-0000-0000-0000D4470000}"/>
    <cellStyle name="Normal 22 2 4 2 2" xfId="18389" xr:uid="{00000000-0005-0000-0000-0000D5470000}"/>
    <cellStyle name="Normal 22 2 4 3" xfId="18390" xr:uid="{00000000-0005-0000-0000-0000D6470000}"/>
    <cellStyle name="Normal 22 2 5" xfId="18391" xr:uid="{00000000-0005-0000-0000-0000D7470000}"/>
    <cellStyle name="Normal 22 2 5 2" xfId="18392" xr:uid="{00000000-0005-0000-0000-0000D8470000}"/>
    <cellStyle name="Normal 22 2 5 2 2" xfId="18393" xr:uid="{00000000-0005-0000-0000-0000D9470000}"/>
    <cellStyle name="Normal 22 2 5 3" xfId="18394" xr:uid="{00000000-0005-0000-0000-0000DA470000}"/>
    <cellStyle name="Normal 22 2 6" xfId="18395" xr:uid="{00000000-0005-0000-0000-0000DB470000}"/>
    <cellStyle name="Normal 22 3" xfId="18396" xr:uid="{00000000-0005-0000-0000-0000DC470000}"/>
    <cellStyle name="Normal 22 3 2" xfId="18397" xr:uid="{00000000-0005-0000-0000-0000DD470000}"/>
    <cellStyle name="Normal 22 3 2 2" xfId="18398" xr:uid="{00000000-0005-0000-0000-0000DE470000}"/>
    <cellStyle name="Normal 22 3 3" xfId="18399" xr:uid="{00000000-0005-0000-0000-0000DF470000}"/>
    <cellStyle name="Normal 22 3 3 2" xfId="18400" xr:uid="{00000000-0005-0000-0000-0000E0470000}"/>
    <cellStyle name="Normal 22 3 3 2 2" xfId="18401" xr:uid="{00000000-0005-0000-0000-0000E1470000}"/>
    <cellStyle name="Normal 22 3 3 3" xfId="18402" xr:uid="{00000000-0005-0000-0000-0000E2470000}"/>
    <cellStyle name="Normal 22 3 4" xfId="18403" xr:uid="{00000000-0005-0000-0000-0000E3470000}"/>
    <cellStyle name="Normal 22 3 4 2" xfId="18404" xr:uid="{00000000-0005-0000-0000-0000E4470000}"/>
    <cellStyle name="Normal 22 3 4 2 2" xfId="18405" xr:uid="{00000000-0005-0000-0000-0000E5470000}"/>
    <cellStyle name="Normal 22 3 4 3" xfId="18406" xr:uid="{00000000-0005-0000-0000-0000E6470000}"/>
    <cellStyle name="Normal 22 3 5" xfId="18407" xr:uid="{00000000-0005-0000-0000-0000E7470000}"/>
    <cellStyle name="Normal 22 4" xfId="18408" xr:uid="{00000000-0005-0000-0000-0000E8470000}"/>
    <cellStyle name="Normal 22 4 2" xfId="18409" xr:uid="{00000000-0005-0000-0000-0000E9470000}"/>
    <cellStyle name="Normal 22 4 2 2" xfId="18410" xr:uid="{00000000-0005-0000-0000-0000EA470000}"/>
    <cellStyle name="Normal 22 4 2 2 2" xfId="18411" xr:uid="{00000000-0005-0000-0000-0000EB470000}"/>
    <cellStyle name="Normal 22 4 2 3" xfId="18412" xr:uid="{00000000-0005-0000-0000-0000EC470000}"/>
    <cellStyle name="Normal 22 4 2 3 2" xfId="18413" xr:uid="{00000000-0005-0000-0000-0000ED470000}"/>
    <cellStyle name="Normal 22 4 2 3 2 2" xfId="18414" xr:uid="{00000000-0005-0000-0000-0000EE470000}"/>
    <cellStyle name="Normal 22 4 2 3 3" xfId="18415" xr:uid="{00000000-0005-0000-0000-0000EF470000}"/>
    <cellStyle name="Normal 22 4 2 4" xfId="18416" xr:uid="{00000000-0005-0000-0000-0000F0470000}"/>
    <cellStyle name="Normal 22 4 3" xfId="18417" xr:uid="{00000000-0005-0000-0000-0000F1470000}"/>
    <cellStyle name="Normal 22 4 3 2" xfId="18418" xr:uid="{00000000-0005-0000-0000-0000F2470000}"/>
    <cellStyle name="Normal 22 4 3 2 2" xfId="18419" xr:uid="{00000000-0005-0000-0000-0000F3470000}"/>
    <cellStyle name="Normal 22 4 3 3" xfId="18420" xr:uid="{00000000-0005-0000-0000-0000F4470000}"/>
    <cellStyle name="Normal 22 4 4" xfId="18421" xr:uid="{00000000-0005-0000-0000-0000F5470000}"/>
    <cellStyle name="Normal 22 4 4 2" xfId="18422" xr:uid="{00000000-0005-0000-0000-0000F6470000}"/>
    <cellStyle name="Normal 22 4 4 2 2" xfId="18423" xr:uid="{00000000-0005-0000-0000-0000F7470000}"/>
    <cellStyle name="Normal 22 4 4 3" xfId="18424" xr:uid="{00000000-0005-0000-0000-0000F8470000}"/>
    <cellStyle name="Normal 22 4 5" xfId="18425" xr:uid="{00000000-0005-0000-0000-0000F9470000}"/>
    <cellStyle name="Normal 22 4 5 2" xfId="18426" xr:uid="{00000000-0005-0000-0000-0000FA470000}"/>
    <cellStyle name="Normal 22 4 5 2 2" xfId="18427" xr:uid="{00000000-0005-0000-0000-0000FB470000}"/>
    <cellStyle name="Normal 22 4 5 3" xfId="18428" xr:uid="{00000000-0005-0000-0000-0000FC470000}"/>
    <cellStyle name="Normal 22 4 6" xfId="18429" xr:uid="{00000000-0005-0000-0000-0000FD470000}"/>
    <cellStyle name="Normal 22 5" xfId="18430" xr:uid="{00000000-0005-0000-0000-0000FE470000}"/>
    <cellStyle name="Normal 220" xfId="18431" xr:uid="{00000000-0005-0000-0000-0000FF470000}"/>
    <cellStyle name="Normal 220 2" xfId="18432" xr:uid="{00000000-0005-0000-0000-000000480000}"/>
    <cellStyle name="Normal 220 2 2" xfId="18433" xr:uid="{00000000-0005-0000-0000-000001480000}"/>
    <cellStyle name="Normal 220 2 2 2" xfId="18434" xr:uid="{00000000-0005-0000-0000-000002480000}"/>
    <cellStyle name="Normal 220 2 2 2 2" xfId="18435" xr:uid="{00000000-0005-0000-0000-000003480000}"/>
    <cellStyle name="Normal 220 2 2 3" xfId="18436" xr:uid="{00000000-0005-0000-0000-000004480000}"/>
    <cellStyle name="Normal 220 2 2 3 2" xfId="18437" xr:uid="{00000000-0005-0000-0000-000005480000}"/>
    <cellStyle name="Normal 220 2 2 3 2 2" xfId="18438" xr:uid="{00000000-0005-0000-0000-000006480000}"/>
    <cellStyle name="Normal 220 2 2 3 3" xfId="18439" xr:uid="{00000000-0005-0000-0000-000007480000}"/>
    <cellStyle name="Normal 220 2 2 4" xfId="18440" xr:uid="{00000000-0005-0000-0000-000008480000}"/>
    <cellStyle name="Normal 220 2 2 4 2" xfId="18441" xr:uid="{00000000-0005-0000-0000-000009480000}"/>
    <cellStyle name="Normal 220 2 2 4 2 2" xfId="18442" xr:uid="{00000000-0005-0000-0000-00000A480000}"/>
    <cellStyle name="Normal 220 2 2 4 3" xfId="18443" xr:uid="{00000000-0005-0000-0000-00000B480000}"/>
    <cellStyle name="Normal 220 2 2 5" xfId="18444" xr:uid="{00000000-0005-0000-0000-00000C480000}"/>
    <cellStyle name="Normal 220 2 3" xfId="18445" xr:uid="{00000000-0005-0000-0000-00000D480000}"/>
    <cellStyle name="Normal 220 2 3 2" xfId="18446" xr:uid="{00000000-0005-0000-0000-00000E480000}"/>
    <cellStyle name="Normal 220 2 3 2 2" xfId="18447" xr:uid="{00000000-0005-0000-0000-00000F480000}"/>
    <cellStyle name="Normal 220 2 3 2 2 2" xfId="18448" xr:uid="{00000000-0005-0000-0000-000010480000}"/>
    <cellStyle name="Normal 220 2 3 2 3" xfId="18449" xr:uid="{00000000-0005-0000-0000-000011480000}"/>
    <cellStyle name="Normal 220 2 3 2 3 2" xfId="18450" xr:uid="{00000000-0005-0000-0000-000012480000}"/>
    <cellStyle name="Normal 220 2 3 2 3 2 2" xfId="18451" xr:uid="{00000000-0005-0000-0000-000013480000}"/>
    <cellStyle name="Normal 220 2 3 2 3 3" xfId="18452" xr:uid="{00000000-0005-0000-0000-000014480000}"/>
    <cellStyle name="Normal 220 2 3 2 4" xfId="18453" xr:uid="{00000000-0005-0000-0000-000015480000}"/>
    <cellStyle name="Normal 220 2 3 3" xfId="18454" xr:uid="{00000000-0005-0000-0000-000016480000}"/>
    <cellStyle name="Normal 220 2 3 3 2" xfId="18455" xr:uid="{00000000-0005-0000-0000-000017480000}"/>
    <cellStyle name="Normal 220 2 3 3 2 2" xfId="18456" xr:uid="{00000000-0005-0000-0000-000018480000}"/>
    <cellStyle name="Normal 220 2 3 3 3" xfId="18457" xr:uid="{00000000-0005-0000-0000-000019480000}"/>
    <cellStyle name="Normal 220 2 3 4" xfId="18458" xr:uid="{00000000-0005-0000-0000-00001A480000}"/>
    <cellStyle name="Normal 220 2 3 4 2" xfId="18459" xr:uid="{00000000-0005-0000-0000-00001B480000}"/>
    <cellStyle name="Normal 220 2 3 4 2 2" xfId="18460" xr:uid="{00000000-0005-0000-0000-00001C480000}"/>
    <cellStyle name="Normal 220 2 3 4 3" xfId="18461" xr:uid="{00000000-0005-0000-0000-00001D480000}"/>
    <cellStyle name="Normal 220 2 3 5" xfId="18462" xr:uid="{00000000-0005-0000-0000-00001E480000}"/>
    <cellStyle name="Normal 220 2 3 5 2" xfId="18463" xr:uid="{00000000-0005-0000-0000-00001F480000}"/>
    <cellStyle name="Normal 220 2 3 5 2 2" xfId="18464" xr:uid="{00000000-0005-0000-0000-000020480000}"/>
    <cellStyle name="Normal 220 2 3 5 3" xfId="18465" xr:uid="{00000000-0005-0000-0000-000021480000}"/>
    <cellStyle name="Normal 220 2 3 6" xfId="18466" xr:uid="{00000000-0005-0000-0000-000022480000}"/>
    <cellStyle name="Normal 220 2 4" xfId="18467" xr:uid="{00000000-0005-0000-0000-000023480000}"/>
    <cellStyle name="Normal 220 2 4 2" xfId="18468" xr:uid="{00000000-0005-0000-0000-000024480000}"/>
    <cellStyle name="Normal 220 2 4 2 2" xfId="18469" xr:uid="{00000000-0005-0000-0000-000025480000}"/>
    <cellStyle name="Normal 220 2 4 3" xfId="18470" xr:uid="{00000000-0005-0000-0000-000026480000}"/>
    <cellStyle name="Normal 220 2 5" xfId="18471" xr:uid="{00000000-0005-0000-0000-000027480000}"/>
    <cellStyle name="Normal 220 2 5 2" xfId="18472" xr:uid="{00000000-0005-0000-0000-000028480000}"/>
    <cellStyle name="Normal 220 2 5 2 2" xfId="18473" xr:uid="{00000000-0005-0000-0000-000029480000}"/>
    <cellStyle name="Normal 220 2 5 3" xfId="18474" xr:uid="{00000000-0005-0000-0000-00002A480000}"/>
    <cellStyle name="Normal 220 2 6" xfId="18475" xr:uid="{00000000-0005-0000-0000-00002B480000}"/>
    <cellStyle name="Normal 220 2 6 2" xfId="18476" xr:uid="{00000000-0005-0000-0000-00002C480000}"/>
    <cellStyle name="Normal 220 2 6 2 2" xfId="18477" xr:uid="{00000000-0005-0000-0000-00002D480000}"/>
    <cellStyle name="Normal 220 2 6 3" xfId="18478" xr:uid="{00000000-0005-0000-0000-00002E480000}"/>
    <cellStyle name="Normal 220 2 7" xfId="18479" xr:uid="{00000000-0005-0000-0000-00002F480000}"/>
    <cellStyle name="Normal 220 3" xfId="18480" xr:uid="{00000000-0005-0000-0000-000030480000}"/>
    <cellStyle name="Normal 220 3 2" xfId="18481" xr:uid="{00000000-0005-0000-0000-000031480000}"/>
    <cellStyle name="Normal 220 3 2 2" xfId="18482" xr:uid="{00000000-0005-0000-0000-000032480000}"/>
    <cellStyle name="Normal 220 3 3" xfId="18483" xr:uid="{00000000-0005-0000-0000-000033480000}"/>
    <cellStyle name="Normal 220 3 3 2" xfId="18484" xr:uid="{00000000-0005-0000-0000-000034480000}"/>
    <cellStyle name="Normal 220 3 3 2 2" xfId="18485" xr:uid="{00000000-0005-0000-0000-000035480000}"/>
    <cellStyle name="Normal 220 3 3 3" xfId="18486" xr:uid="{00000000-0005-0000-0000-000036480000}"/>
    <cellStyle name="Normal 220 3 4" xfId="18487" xr:uid="{00000000-0005-0000-0000-000037480000}"/>
    <cellStyle name="Normal 220 3 4 2" xfId="18488" xr:uid="{00000000-0005-0000-0000-000038480000}"/>
    <cellStyle name="Normal 220 3 4 2 2" xfId="18489" xr:uid="{00000000-0005-0000-0000-000039480000}"/>
    <cellStyle name="Normal 220 3 4 3" xfId="18490" xr:uid="{00000000-0005-0000-0000-00003A480000}"/>
    <cellStyle name="Normal 220 3 5" xfId="18491" xr:uid="{00000000-0005-0000-0000-00003B480000}"/>
    <cellStyle name="Normal 220 4" xfId="18492" xr:uid="{00000000-0005-0000-0000-00003C480000}"/>
    <cellStyle name="Normal 220 4 2" xfId="18493" xr:uid="{00000000-0005-0000-0000-00003D480000}"/>
    <cellStyle name="Normal 220 4 2 2" xfId="18494" xr:uid="{00000000-0005-0000-0000-00003E480000}"/>
    <cellStyle name="Normal 220 4 2 2 2" xfId="18495" xr:uid="{00000000-0005-0000-0000-00003F480000}"/>
    <cellStyle name="Normal 220 4 2 3" xfId="18496" xr:uid="{00000000-0005-0000-0000-000040480000}"/>
    <cellStyle name="Normal 220 4 2 3 2" xfId="18497" xr:uid="{00000000-0005-0000-0000-000041480000}"/>
    <cellStyle name="Normal 220 4 2 3 2 2" xfId="18498" xr:uid="{00000000-0005-0000-0000-000042480000}"/>
    <cellStyle name="Normal 220 4 2 3 3" xfId="18499" xr:uid="{00000000-0005-0000-0000-000043480000}"/>
    <cellStyle name="Normal 220 4 2 4" xfId="18500" xr:uid="{00000000-0005-0000-0000-000044480000}"/>
    <cellStyle name="Normal 220 4 3" xfId="18501" xr:uid="{00000000-0005-0000-0000-000045480000}"/>
    <cellStyle name="Normal 220 4 3 2" xfId="18502" xr:uid="{00000000-0005-0000-0000-000046480000}"/>
    <cellStyle name="Normal 220 4 3 2 2" xfId="18503" xr:uid="{00000000-0005-0000-0000-000047480000}"/>
    <cellStyle name="Normal 220 4 3 3" xfId="18504" xr:uid="{00000000-0005-0000-0000-000048480000}"/>
    <cellStyle name="Normal 220 4 4" xfId="18505" xr:uid="{00000000-0005-0000-0000-000049480000}"/>
    <cellStyle name="Normal 220 4 4 2" xfId="18506" xr:uid="{00000000-0005-0000-0000-00004A480000}"/>
    <cellStyle name="Normal 220 4 4 2 2" xfId="18507" xr:uid="{00000000-0005-0000-0000-00004B480000}"/>
    <cellStyle name="Normal 220 4 4 3" xfId="18508" xr:uid="{00000000-0005-0000-0000-00004C480000}"/>
    <cellStyle name="Normal 220 4 5" xfId="18509" xr:uid="{00000000-0005-0000-0000-00004D480000}"/>
    <cellStyle name="Normal 220 4 5 2" xfId="18510" xr:uid="{00000000-0005-0000-0000-00004E480000}"/>
    <cellStyle name="Normal 220 4 5 2 2" xfId="18511" xr:uid="{00000000-0005-0000-0000-00004F480000}"/>
    <cellStyle name="Normal 220 4 5 3" xfId="18512" xr:uid="{00000000-0005-0000-0000-000050480000}"/>
    <cellStyle name="Normal 220 4 6" xfId="18513" xr:uid="{00000000-0005-0000-0000-000051480000}"/>
    <cellStyle name="Normal 220 5" xfId="18514" xr:uid="{00000000-0005-0000-0000-000052480000}"/>
    <cellStyle name="Normal 220 5 2" xfId="18515" xr:uid="{00000000-0005-0000-0000-000053480000}"/>
    <cellStyle name="Normal 220 5 2 2" xfId="18516" xr:uid="{00000000-0005-0000-0000-000054480000}"/>
    <cellStyle name="Normal 220 5 3" xfId="18517" xr:uid="{00000000-0005-0000-0000-000055480000}"/>
    <cellStyle name="Normal 220 6" xfId="18518" xr:uid="{00000000-0005-0000-0000-000056480000}"/>
    <cellStyle name="Normal 220 6 2" xfId="18519" xr:uid="{00000000-0005-0000-0000-000057480000}"/>
    <cellStyle name="Normal 220 6 2 2" xfId="18520" xr:uid="{00000000-0005-0000-0000-000058480000}"/>
    <cellStyle name="Normal 220 6 3" xfId="18521" xr:uid="{00000000-0005-0000-0000-000059480000}"/>
    <cellStyle name="Normal 220 7" xfId="18522" xr:uid="{00000000-0005-0000-0000-00005A480000}"/>
    <cellStyle name="Normal 220 7 2" xfId="18523" xr:uid="{00000000-0005-0000-0000-00005B480000}"/>
    <cellStyle name="Normal 220 7 2 2" xfId="18524" xr:uid="{00000000-0005-0000-0000-00005C480000}"/>
    <cellStyle name="Normal 220 7 3" xfId="18525" xr:uid="{00000000-0005-0000-0000-00005D480000}"/>
    <cellStyle name="Normal 220 8" xfId="18526" xr:uid="{00000000-0005-0000-0000-00005E480000}"/>
    <cellStyle name="Normal 221" xfId="18527" xr:uid="{00000000-0005-0000-0000-00005F480000}"/>
    <cellStyle name="Normal 221 2" xfId="18528" xr:uid="{00000000-0005-0000-0000-000060480000}"/>
    <cellStyle name="Normal 221 2 2" xfId="18529" xr:uid="{00000000-0005-0000-0000-000061480000}"/>
    <cellStyle name="Normal 221 2 2 2" xfId="18530" xr:uid="{00000000-0005-0000-0000-000062480000}"/>
    <cellStyle name="Normal 221 2 2 2 2" xfId="18531" xr:uid="{00000000-0005-0000-0000-000063480000}"/>
    <cellStyle name="Normal 221 2 2 3" xfId="18532" xr:uid="{00000000-0005-0000-0000-000064480000}"/>
    <cellStyle name="Normal 221 2 2 3 2" xfId="18533" xr:uid="{00000000-0005-0000-0000-000065480000}"/>
    <cellStyle name="Normal 221 2 2 3 2 2" xfId="18534" xr:uid="{00000000-0005-0000-0000-000066480000}"/>
    <cellStyle name="Normal 221 2 2 3 3" xfId="18535" xr:uid="{00000000-0005-0000-0000-000067480000}"/>
    <cellStyle name="Normal 221 2 2 4" xfId="18536" xr:uid="{00000000-0005-0000-0000-000068480000}"/>
    <cellStyle name="Normal 221 2 2 4 2" xfId="18537" xr:uid="{00000000-0005-0000-0000-000069480000}"/>
    <cellStyle name="Normal 221 2 2 4 2 2" xfId="18538" xr:uid="{00000000-0005-0000-0000-00006A480000}"/>
    <cellStyle name="Normal 221 2 2 4 3" xfId="18539" xr:uid="{00000000-0005-0000-0000-00006B480000}"/>
    <cellStyle name="Normal 221 2 2 5" xfId="18540" xr:uid="{00000000-0005-0000-0000-00006C480000}"/>
    <cellStyle name="Normal 221 2 3" xfId="18541" xr:uid="{00000000-0005-0000-0000-00006D480000}"/>
    <cellStyle name="Normal 221 2 3 2" xfId="18542" xr:uid="{00000000-0005-0000-0000-00006E480000}"/>
    <cellStyle name="Normal 221 2 3 2 2" xfId="18543" xr:uid="{00000000-0005-0000-0000-00006F480000}"/>
    <cellStyle name="Normal 221 2 3 2 2 2" xfId="18544" xr:uid="{00000000-0005-0000-0000-000070480000}"/>
    <cellStyle name="Normal 221 2 3 2 3" xfId="18545" xr:uid="{00000000-0005-0000-0000-000071480000}"/>
    <cellStyle name="Normal 221 2 3 2 3 2" xfId="18546" xr:uid="{00000000-0005-0000-0000-000072480000}"/>
    <cellStyle name="Normal 221 2 3 2 3 2 2" xfId="18547" xr:uid="{00000000-0005-0000-0000-000073480000}"/>
    <cellStyle name="Normal 221 2 3 2 3 3" xfId="18548" xr:uid="{00000000-0005-0000-0000-000074480000}"/>
    <cellStyle name="Normal 221 2 3 2 4" xfId="18549" xr:uid="{00000000-0005-0000-0000-000075480000}"/>
    <cellStyle name="Normal 221 2 3 3" xfId="18550" xr:uid="{00000000-0005-0000-0000-000076480000}"/>
    <cellStyle name="Normal 221 2 3 3 2" xfId="18551" xr:uid="{00000000-0005-0000-0000-000077480000}"/>
    <cellStyle name="Normal 221 2 3 3 2 2" xfId="18552" xr:uid="{00000000-0005-0000-0000-000078480000}"/>
    <cellStyle name="Normal 221 2 3 3 3" xfId="18553" xr:uid="{00000000-0005-0000-0000-000079480000}"/>
    <cellStyle name="Normal 221 2 3 4" xfId="18554" xr:uid="{00000000-0005-0000-0000-00007A480000}"/>
    <cellStyle name="Normal 221 2 3 4 2" xfId="18555" xr:uid="{00000000-0005-0000-0000-00007B480000}"/>
    <cellStyle name="Normal 221 2 3 4 2 2" xfId="18556" xr:uid="{00000000-0005-0000-0000-00007C480000}"/>
    <cellStyle name="Normal 221 2 3 4 3" xfId="18557" xr:uid="{00000000-0005-0000-0000-00007D480000}"/>
    <cellStyle name="Normal 221 2 3 5" xfId="18558" xr:uid="{00000000-0005-0000-0000-00007E480000}"/>
    <cellStyle name="Normal 221 2 3 5 2" xfId="18559" xr:uid="{00000000-0005-0000-0000-00007F480000}"/>
    <cellStyle name="Normal 221 2 3 5 2 2" xfId="18560" xr:uid="{00000000-0005-0000-0000-000080480000}"/>
    <cellStyle name="Normal 221 2 3 5 3" xfId="18561" xr:uid="{00000000-0005-0000-0000-000081480000}"/>
    <cellStyle name="Normal 221 2 3 6" xfId="18562" xr:uid="{00000000-0005-0000-0000-000082480000}"/>
    <cellStyle name="Normal 221 2 4" xfId="18563" xr:uid="{00000000-0005-0000-0000-000083480000}"/>
    <cellStyle name="Normal 221 2 4 2" xfId="18564" xr:uid="{00000000-0005-0000-0000-000084480000}"/>
    <cellStyle name="Normal 221 2 4 2 2" xfId="18565" xr:uid="{00000000-0005-0000-0000-000085480000}"/>
    <cellStyle name="Normal 221 2 4 3" xfId="18566" xr:uid="{00000000-0005-0000-0000-000086480000}"/>
    <cellStyle name="Normal 221 2 5" xfId="18567" xr:uid="{00000000-0005-0000-0000-000087480000}"/>
    <cellStyle name="Normal 221 2 5 2" xfId="18568" xr:uid="{00000000-0005-0000-0000-000088480000}"/>
    <cellStyle name="Normal 221 2 5 2 2" xfId="18569" xr:uid="{00000000-0005-0000-0000-000089480000}"/>
    <cellStyle name="Normal 221 2 5 3" xfId="18570" xr:uid="{00000000-0005-0000-0000-00008A480000}"/>
    <cellStyle name="Normal 221 2 6" xfId="18571" xr:uid="{00000000-0005-0000-0000-00008B480000}"/>
    <cellStyle name="Normal 221 2 6 2" xfId="18572" xr:uid="{00000000-0005-0000-0000-00008C480000}"/>
    <cellStyle name="Normal 221 2 6 2 2" xfId="18573" xr:uid="{00000000-0005-0000-0000-00008D480000}"/>
    <cellStyle name="Normal 221 2 6 3" xfId="18574" xr:uid="{00000000-0005-0000-0000-00008E480000}"/>
    <cellStyle name="Normal 221 2 7" xfId="18575" xr:uid="{00000000-0005-0000-0000-00008F480000}"/>
    <cellStyle name="Normal 221 3" xfId="18576" xr:uid="{00000000-0005-0000-0000-000090480000}"/>
    <cellStyle name="Normal 221 3 2" xfId="18577" xr:uid="{00000000-0005-0000-0000-000091480000}"/>
    <cellStyle name="Normal 221 3 2 2" xfId="18578" xr:uid="{00000000-0005-0000-0000-000092480000}"/>
    <cellStyle name="Normal 221 3 3" xfId="18579" xr:uid="{00000000-0005-0000-0000-000093480000}"/>
    <cellStyle name="Normal 221 3 3 2" xfId="18580" xr:uid="{00000000-0005-0000-0000-000094480000}"/>
    <cellStyle name="Normal 221 3 3 2 2" xfId="18581" xr:uid="{00000000-0005-0000-0000-000095480000}"/>
    <cellStyle name="Normal 221 3 3 3" xfId="18582" xr:uid="{00000000-0005-0000-0000-000096480000}"/>
    <cellStyle name="Normal 221 3 4" xfId="18583" xr:uid="{00000000-0005-0000-0000-000097480000}"/>
    <cellStyle name="Normal 221 3 4 2" xfId="18584" xr:uid="{00000000-0005-0000-0000-000098480000}"/>
    <cellStyle name="Normal 221 3 4 2 2" xfId="18585" xr:uid="{00000000-0005-0000-0000-000099480000}"/>
    <cellStyle name="Normal 221 3 4 3" xfId="18586" xr:uid="{00000000-0005-0000-0000-00009A480000}"/>
    <cellStyle name="Normal 221 3 5" xfId="18587" xr:uid="{00000000-0005-0000-0000-00009B480000}"/>
    <cellStyle name="Normal 221 4" xfId="18588" xr:uid="{00000000-0005-0000-0000-00009C480000}"/>
    <cellStyle name="Normal 221 4 2" xfId="18589" xr:uid="{00000000-0005-0000-0000-00009D480000}"/>
    <cellStyle name="Normal 221 4 2 2" xfId="18590" xr:uid="{00000000-0005-0000-0000-00009E480000}"/>
    <cellStyle name="Normal 221 4 2 2 2" xfId="18591" xr:uid="{00000000-0005-0000-0000-00009F480000}"/>
    <cellStyle name="Normal 221 4 2 3" xfId="18592" xr:uid="{00000000-0005-0000-0000-0000A0480000}"/>
    <cellStyle name="Normal 221 4 2 3 2" xfId="18593" xr:uid="{00000000-0005-0000-0000-0000A1480000}"/>
    <cellStyle name="Normal 221 4 2 3 2 2" xfId="18594" xr:uid="{00000000-0005-0000-0000-0000A2480000}"/>
    <cellStyle name="Normal 221 4 2 3 3" xfId="18595" xr:uid="{00000000-0005-0000-0000-0000A3480000}"/>
    <cellStyle name="Normal 221 4 2 4" xfId="18596" xr:uid="{00000000-0005-0000-0000-0000A4480000}"/>
    <cellStyle name="Normal 221 4 3" xfId="18597" xr:uid="{00000000-0005-0000-0000-0000A5480000}"/>
    <cellStyle name="Normal 221 4 3 2" xfId="18598" xr:uid="{00000000-0005-0000-0000-0000A6480000}"/>
    <cellStyle name="Normal 221 4 3 2 2" xfId="18599" xr:uid="{00000000-0005-0000-0000-0000A7480000}"/>
    <cellStyle name="Normal 221 4 3 3" xfId="18600" xr:uid="{00000000-0005-0000-0000-0000A8480000}"/>
    <cellStyle name="Normal 221 4 4" xfId="18601" xr:uid="{00000000-0005-0000-0000-0000A9480000}"/>
    <cellStyle name="Normal 221 4 4 2" xfId="18602" xr:uid="{00000000-0005-0000-0000-0000AA480000}"/>
    <cellStyle name="Normal 221 4 4 2 2" xfId="18603" xr:uid="{00000000-0005-0000-0000-0000AB480000}"/>
    <cellStyle name="Normal 221 4 4 3" xfId="18604" xr:uid="{00000000-0005-0000-0000-0000AC480000}"/>
    <cellStyle name="Normal 221 4 5" xfId="18605" xr:uid="{00000000-0005-0000-0000-0000AD480000}"/>
    <cellStyle name="Normal 221 4 5 2" xfId="18606" xr:uid="{00000000-0005-0000-0000-0000AE480000}"/>
    <cellStyle name="Normal 221 4 5 2 2" xfId="18607" xr:uid="{00000000-0005-0000-0000-0000AF480000}"/>
    <cellStyle name="Normal 221 4 5 3" xfId="18608" xr:uid="{00000000-0005-0000-0000-0000B0480000}"/>
    <cellStyle name="Normal 221 4 6" xfId="18609" xr:uid="{00000000-0005-0000-0000-0000B1480000}"/>
    <cellStyle name="Normal 221 5" xfId="18610" xr:uid="{00000000-0005-0000-0000-0000B2480000}"/>
    <cellStyle name="Normal 221 5 2" xfId="18611" xr:uid="{00000000-0005-0000-0000-0000B3480000}"/>
    <cellStyle name="Normal 221 5 2 2" xfId="18612" xr:uid="{00000000-0005-0000-0000-0000B4480000}"/>
    <cellStyle name="Normal 221 5 3" xfId="18613" xr:uid="{00000000-0005-0000-0000-0000B5480000}"/>
    <cellStyle name="Normal 221 6" xfId="18614" xr:uid="{00000000-0005-0000-0000-0000B6480000}"/>
    <cellStyle name="Normal 221 6 2" xfId="18615" xr:uid="{00000000-0005-0000-0000-0000B7480000}"/>
    <cellStyle name="Normal 221 6 2 2" xfId="18616" xr:uid="{00000000-0005-0000-0000-0000B8480000}"/>
    <cellStyle name="Normal 221 6 3" xfId="18617" xr:uid="{00000000-0005-0000-0000-0000B9480000}"/>
    <cellStyle name="Normal 221 7" xfId="18618" xr:uid="{00000000-0005-0000-0000-0000BA480000}"/>
    <cellStyle name="Normal 221 7 2" xfId="18619" xr:uid="{00000000-0005-0000-0000-0000BB480000}"/>
    <cellStyle name="Normal 221 7 2 2" xfId="18620" xr:uid="{00000000-0005-0000-0000-0000BC480000}"/>
    <cellStyle name="Normal 221 7 3" xfId="18621" xr:uid="{00000000-0005-0000-0000-0000BD480000}"/>
    <cellStyle name="Normal 221 8" xfId="18622" xr:uid="{00000000-0005-0000-0000-0000BE480000}"/>
    <cellStyle name="Normal 222" xfId="18623" xr:uid="{00000000-0005-0000-0000-0000BF480000}"/>
    <cellStyle name="Normal 222 2" xfId="18624" xr:uid="{00000000-0005-0000-0000-0000C0480000}"/>
    <cellStyle name="Normal 222 2 2" xfId="18625" xr:uid="{00000000-0005-0000-0000-0000C1480000}"/>
    <cellStyle name="Normal 222 2 2 2" xfId="18626" xr:uid="{00000000-0005-0000-0000-0000C2480000}"/>
    <cellStyle name="Normal 222 2 2 2 2" xfId="18627" xr:uid="{00000000-0005-0000-0000-0000C3480000}"/>
    <cellStyle name="Normal 222 2 2 3" xfId="18628" xr:uid="{00000000-0005-0000-0000-0000C4480000}"/>
    <cellStyle name="Normal 222 2 2 3 2" xfId="18629" xr:uid="{00000000-0005-0000-0000-0000C5480000}"/>
    <cellStyle name="Normal 222 2 2 3 2 2" xfId="18630" xr:uid="{00000000-0005-0000-0000-0000C6480000}"/>
    <cellStyle name="Normal 222 2 2 3 3" xfId="18631" xr:uid="{00000000-0005-0000-0000-0000C7480000}"/>
    <cellStyle name="Normal 222 2 2 4" xfId="18632" xr:uid="{00000000-0005-0000-0000-0000C8480000}"/>
    <cellStyle name="Normal 222 2 2 4 2" xfId="18633" xr:uid="{00000000-0005-0000-0000-0000C9480000}"/>
    <cellStyle name="Normal 222 2 2 4 2 2" xfId="18634" xr:uid="{00000000-0005-0000-0000-0000CA480000}"/>
    <cellStyle name="Normal 222 2 2 4 3" xfId="18635" xr:uid="{00000000-0005-0000-0000-0000CB480000}"/>
    <cellStyle name="Normal 222 2 2 5" xfId="18636" xr:uid="{00000000-0005-0000-0000-0000CC480000}"/>
    <cellStyle name="Normal 222 2 3" xfId="18637" xr:uid="{00000000-0005-0000-0000-0000CD480000}"/>
    <cellStyle name="Normal 222 2 3 2" xfId="18638" xr:uid="{00000000-0005-0000-0000-0000CE480000}"/>
    <cellStyle name="Normal 222 2 3 2 2" xfId="18639" xr:uid="{00000000-0005-0000-0000-0000CF480000}"/>
    <cellStyle name="Normal 222 2 3 2 2 2" xfId="18640" xr:uid="{00000000-0005-0000-0000-0000D0480000}"/>
    <cellStyle name="Normal 222 2 3 2 3" xfId="18641" xr:uid="{00000000-0005-0000-0000-0000D1480000}"/>
    <cellStyle name="Normal 222 2 3 2 3 2" xfId="18642" xr:uid="{00000000-0005-0000-0000-0000D2480000}"/>
    <cellStyle name="Normal 222 2 3 2 3 2 2" xfId="18643" xr:uid="{00000000-0005-0000-0000-0000D3480000}"/>
    <cellStyle name="Normal 222 2 3 2 3 3" xfId="18644" xr:uid="{00000000-0005-0000-0000-0000D4480000}"/>
    <cellStyle name="Normal 222 2 3 2 4" xfId="18645" xr:uid="{00000000-0005-0000-0000-0000D5480000}"/>
    <cellStyle name="Normal 222 2 3 3" xfId="18646" xr:uid="{00000000-0005-0000-0000-0000D6480000}"/>
    <cellStyle name="Normal 222 2 3 3 2" xfId="18647" xr:uid="{00000000-0005-0000-0000-0000D7480000}"/>
    <cellStyle name="Normal 222 2 3 3 2 2" xfId="18648" xr:uid="{00000000-0005-0000-0000-0000D8480000}"/>
    <cellStyle name="Normal 222 2 3 3 3" xfId="18649" xr:uid="{00000000-0005-0000-0000-0000D9480000}"/>
    <cellStyle name="Normal 222 2 3 4" xfId="18650" xr:uid="{00000000-0005-0000-0000-0000DA480000}"/>
    <cellStyle name="Normal 222 2 3 4 2" xfId="18651" xr:uid="{00000000-0005-0000-0000-0000DB480000}"/>
    <cellStyle name="Normal 222 2 3 4 2 2" xfId="18652" xr:uid="{00000000-0005-0000-0000-0000DC480000}"/>
    <cellStyle name="Normal 222 2 3 4 3" xfId="18653" xr:uid="{00000000-0005-0000-0000-0000DD480000}"/>
    <cellStyle name="Normal 222 2 3 5" xfId="18654" xr:uid="{00000000-0005-0000-0000-0000DE480000}"/>
    <cellStyle name="Normal 222 2 3 5 2" xfId="18655" xr:uid="{00000000-0005-0000-0000-0000DF480000}"/>
    <cellStyle name="Normal 222 2 3 5 2 2" xfId="18656" xr:uid="{00000000-0005-0000-0000-0000E0480000}"/>
    <cellStyle name="Normal 222 2 3 5 3" xfId="18657" xr:uid="{00000000-0005-0000-0000-0000E1480000}"/>
    <cellStyle name="Normal 222 2 3 6" xfId="18658" xr:uid="{00000000-0005-0000-0000-0000E2480000}"/>
    <cellStyle name="Normal 222 2 4" xfId="18659" xr:uid="{00000000-0005-0000-0000-0000E3480000}"/>
    <cellStyle name="Normal 222 2 4 2" xfId="18660" xr:uid="{00000000-0005-0000-0000-0000E4480000}"/>
    <cellStyle name="Normal 222 2 4 2 2" xfId="18661" xr:uid="{00000000-0005-0000-0000-0000E5480000}"/>
    <cellStyle name="Normal 222 2 4 3" xfId="18662" xr:uid="{00000000-0005-0000-0000-0000E6480000}"/>
    <cellStyle name="Normal 222 2 5" xfId="18663" xr:uid="{00000000-0005-0000-0000-0000E7480000}"/>
    <cellStyle name="Normal 222 2 5 2" xfId="18664" xr:uid="{00000000-0005-0000-0000-0000E8480000}"/>
    <cellStyle name="Normal 222 2 5 2 2" xfId="18665" xr:uid="{00000000-0005-0000-0000-0000E9480000}"/>
    <cellStyle name="Normal 222 2 5 3" xfId="18666" xr:uid="{00000000-0005-0000-0000-0000EA480000}"/>
    <cellStyle name="Normal 222 2 6" xfId="18667" xr:uid="{00000000-0005-0000-0000-0000EB480000}"/>
    <cellStyle name="Normal 222 2 6 2" xfId="18668" xr:uid="{00000000-0005-0000-0000-0000EC480000}"/>
    <cellStyle name="Normal 222 2 6 2 2" xfId="18669" xr:uid="{00000000-0005-0000-0000-0000ED480000}"/>
    <cellStyle name="Normal 222 2 6 3" xfId="18670" xr:uid="{00000000-0005-0000-0000-0000EE480000}"/>
    <cellStyle name="Normal 222 2 7" xfId="18671" xr:uid="{00000000-0005-0000-0000-0000EF480000}"/>
    <cellStyle name="Normal 222 3" xfId="18672" xr:uid="{00000000-0005-0000-0000-0000F0480000}"/>
    <cellStyle name="Normal 222 3 2" xfId="18673" xr:uid="{00000000-0005-0000-0000-0000F1480000}"/>
    <cellStyle name="Normal 222 3 2 2" xfId="18674" xr:uid="{00000000-0005-0000-0000-0000F2480000}"/>
    <cellStyle name="Normal 222 3 3" xfId="18675" xr:uid="{00000000-0005-0000-0000-0000F3480000}"/>
    <cellStyle name="Normal 222 3 3 2" xfId="18676" xr:uid="{00000000-0005-0000-0000-0000F4480000}"/>
    <cellStyle name="Normal 222 3 3 2 2" xfId="18677" xr:uid="{00000000-0005-0000-0000-0000F5480000}"/>
    <cellStyle name="Normal 222 3 3 3" xfId="18678" xr:uid="{00000000-0005-0000-0000-0000F6480000}"/>
    <cellStyle name="Normal 222 3 4" xfId="18679" xr:uid="{00000000-0005-0000-0000-0000F7480000}"/>
    <cellStyle name="Normal 222 3 4 2" xfId="18680" xr:uid="{00000000-0005-0000-0000-0000F8480000}"/>
    <cellStyle name="Normal 222 3 4 2 2" xfId="18681" xr:uid="{00000000-0005-0000-0000-0000F9480000}"/>
    <cellStyle name="Normal 222 3 4 3" xfId="18682" xr:uid="{00000000-0005-0000-0000-0000FA480000}"/>
    <cellStyle name="Normal 222 3 5" xfId="18683" xr:uid="{00000000-0005-0000-0000-0000FB480000}"/>
    <cellStyle name="Normal 222 4" xfId="18684" xr:uid="{00000000-0005-0000-0000-0000FC480000}"/>
    <cellStyle name="Normal 222 4 2" xfId="18685" xr:uid="{00000000-0005-0000-0000-0000FD480000}"/>
    <cellStyle name="Normal 222 4 2 2" xfId="18686" xr:uid="{00000000-0005-0000-0000-0000FE480000}"/>
    <cellStyle name="Normal 222 4 2 2 2" xfId="18687" xr:uid="{00000000-0005-0000-0000-0000FF480000}"/>
    <cellStyle name="Normal 222 4 2 3" xfId="18688" xr:uid="{00000000-0005-0000-0000-000000490000}"/>
    <cellStyle name="Normal 222 4 2 3 2" xfId="18689" xr:uid="{00000000-0005-0000-0000-000001490000}"/>
    <cellStyle name="Normal 222 4 2 3 2 2" xfId="18690" xr:uid="{00000000-0005-0000-0000-000002490000}"/>
    <cellStyle name="Normal 222 4 2 3 3" xfId="18691" xr:uid="{00000000-0005-0000-0000-000003490000}"/>
    <cellStyle name="Normal 222 4 2 4" xfId="18692" xr:uid="{00000000-0005-0000-0000-000004490000}"/>
    <cellStyle name="Normal 222 4 3" xfId="18693" xr:uid="{00000000-0005-0000-0000-000005490000}"/>
    <cellStyle name="Normal 222 4 3 2" xfId="18694" xr:uid="{00000000-0005-0000-0000-000006490000}"/>
    <cellStyle name="Normal 222 4 3 2 2" xfId="18695" xr:uid="{00000000-0005-0000-0000-000007490000}"/>
    <cellStyle name="Normal 222 4 3 3" xfId="18696" xr:uid="{00000000-0005-0000-0000-000008490000}"/>
    <cellStyle name="Normal 222 4 4" xfId="18697" xr:uid="{00000000-0005-0000-0000-000009490000}"/>
    <cellStyle name="Normal 222 4 4 2" xfId="18698" xr:uid="{00000000-0005-0000-0000-00000A490000}"/>
    <cellStyle name="Normal 222 4 4 2 2" xfId="18699" xr:uid="{00000000-0005-0000-0000-00000B490000}"/>
    <cellStyle name="Normal 222 4 4 3" xfId="18700" xr:uid="{00000000-0005-0000-0000-00000C490000}"/>
    <cellStyle name="Normal 222 4 5" xfId="18701" xr:uid="{00000000-0005-0000-0000-00000D490000}"/>
    <cellStyle name="Normal 222 4 5 2" xfId="18702" xr:uid="{00000000-0005-0000-0000-00000E490000}"/>
    <cellStyle name="Normal 222 4 5 2 2" xfId="18703" xr:uid="{00000000-0005-0000-0000-00000F490000}"/>
    <cellStyle name="Normal 222 4 5 3" xfId="18704" xr:uid="{00000000-0005-0000-0000-000010490000}"/>
    <cellStyle name="Normal 222 4 6" xfId="18705" xr:uid="{00000000-0005-0000-0000-000011490000}"/>
    <cellStyle name="Normal 222 5" xfId="18706" xr:uid="{00000000-0005-0000-0000-000012490000}"/>
    <cellStyle name="Normal 222 5 2" xfId="18707" xr:uid="{00000000-0005-0000-0000-000013490000}"/>
    <cellStyle name="Normal 222 5 2 2" xfId="18708" xr:uid="{00000000-0005-0000-0000-000014490000}"/>
    <cellStyle name="Normal 222 5 3" xfId="18709" xr:uid="{00000000-0005-0000-0000-000015490000}"/>
    <cellStyle name="Normal 222 6" xfId="18710" xr:uid="{00000000-0005-0000-0000-000016490000}"/>
    <cellStyle name="Normal 222 6 2" xfId="18711" xr:uid="{00000000-0005-0000-0000-000017490000}"/>
    <cellStyle name="Normal 222 6 2 2" xfId="18712" xr:uid="{00000000-0005-0000-0000-000018490000}"/>
    <cellStyle name="Normal 222 6 3" xfId="18713" xr:uid="{00000000-0005-0000-0000-000019490000}"/>
    <cellStyle name="Normal 222 7" xfId="18714" xr:uid="{00000000-0005-0000-0000-00001A490000}"/>
    <cellStyle name="Normal 222 7 2" xfId="18715" xr:uid="{00000000-0005-0000-0000-00001B490000}"/>
    <cellStyle name="Normal 222 7 2 2" xfId="18716" xr:uid="{00000000-0005-0000-0000-00001C490000}"/>
    <cellStyle name="Normal 222 7 3" xfId="18717" xr:uid="{00000000-0005-0000-0000-00001D490000}"/>
    <cellStyle name="Normal 222 8" xfId="18718" xr:uid="{00000000-0005-0000-0000-00001E490000}"/>
    <cellStyle name="Normal 223" xfId="18719" xr:uid="{00000000-0005-0000-0000-00001F490000}"/>
    <cellStyle name="Normal 223 2" xfId="18720" xr:uid="{00000000-0005-0000-0000-000020490000}"/>
    <cellStyle name="Normal 223 2 2" xfId="18721" xr:uid="{00000000-0005-0000-0000-000021490000}"/>
    <cellStyle name="Normal 223 2 2 2" xfId="18722" xr:uid="{00000000-0005-0000-0000-000022490000}"/>
    <cellStyle name="Normal 223 2 2 2 2" xfId="18723" xr:uid="{00000000-0005-0000-0000-000023490000}"/>
    <cellStyle name="Normal 223 2 2 3" xfId="18724" xr:uid="{00000000-0005-0000-0000-000024490000}"/>
    <cellStyle name="Normal 223 2 2 3 2" xfId="18725" xr:uid="{00000000-0005-0000-0000-000025490000}"/>
    <cellStyle name="Normal 223 2 2 3 2 2" xfId="18726" xr:uid="{00000000-0005-0000-0000-000026490000}"/>
    <cellStyle name="Normal 223 2 2 3 3" xfId="18727" xr:uid="{00000000-0005-0000-0000-000027490000}"/>
    <cellStyle name="Normal 223 2 2 4" xfId="18728" xr:uid="{00000000-0005-0000-0000-000028490000}"/>
    <cellStyle name="Normal 223 2 2 4 2" xfId="18729" xr:uid="{00000000-0005-0000-0000-000029490000}"/>
    <cellStyle name="Normal 223 2 2 4 2 2" xfId="18730" xr:uid="{00000000-0005-0000-0000-00002A490000}"/>
    <cellStyle name="Normal 223 2 2 4 3" xfId="18731" xr:uid="{00000000-0005-0000-0000-00002B490000}"/>
    <cellStyle name="Normal 223 2 2 5" xfId="18732" xr:uid="{00000000-0005-0000-0000-00002C490000}"/>
    <cellStyle name="Normal 223 2 3" xfId="18733" xr:uid="{00000000-0005-0000-0000-00002D490000}"/>
    <cellStyle name="Normal 223 2 3 2" xfId="18734" xr:uid="{00000000-0005-0000-0000-00002E490000}"/>
    <cellStyle name="Normal 223 2 3 2 2" xfId="18735" xr:uid="{00000000-0005-0000-0000-00002F490000}"/>
    <cellStyle name="Normal 223 2 3 2 2 2" xfId="18736" xr:uid="{00000000-0005-0000-0000-000030490000}"/>
    <cellStyle name="Normal 223 2 3 2 3" xfId="18737" xr:uid="{00000000-0005-0000-0000-000031490000}"/>
    <cellStyle name="Normal 223 2 3 2 3 2" xfId="18738" xr:uid="{00000000-0005-0000-0000-000032490000}"/>
    <cellStyle name="Normal 223 2 3 2 3 2 2" xfId="18739" xr:uid="{00000000-0005-0000-0000-000033490000}"/>
    <cellStyle name="Normal 223 2 3 2 3 3" xfId="18740" xr:uid="{00000000-0005-0000-0000-000034490000}"/>
    <cellStyle name="Normal 223 2 3 2 4" xfId="18741" xr:uid="{00000000-0005-0000-0000-000035490000}"/>
    <cellStyle name="Normal 223 2 3 3" xfId="18742" xr:uid="{00000000-0005-0000-0000-000036490000}"/>
    <cellStyle name="Normal 223 2 3 3 2" xfId="18743" xr:uid="{00000000-0005-0000-0000-000037490000}"/>
    <cellStyle name="Normal 223 2 3 3 2 2" xfId="18744" xr:uid="{00000000-0005-0000-0000-000038490000}"/>
    <cellStyle name="Normal 223 2 3 3 3" xfId="18745" xr:uid="{00000000-0005-0000-0000-000039490000}"/>
    <cellStyle name="Normal 223 2 3 4" xfId="18746" xr:uid="{00000000-0005-0000-0000-00003A490000}"/>
    <cellStyle name="Normal 223 2 3 4 2" xfId="18747" xr:uid="{00000000-0005-0000-0000-00003B490000}"/>
    <cellStyle name="Normal 223 2 3 4 2 2" xfId="18748" xr:uid="{00000000-0005-0000-0000-00003C490000}"/>
    <cellStyle name="Normal 223 2 3 4 3" xfId="18749" xr:uid="{00000000-0005-0000-0000-00003D490000}"/>
    <cellStyle name="Normal 223 2 3 5" xfId="18750" xr:uid="{00000000-0005-0000-0000-00003E490000}"/>
    <cellStyle name="Normal 223 2 3 5 2" xfId="18751" xr:uid="{00000000-0005-0000-0000-00003F490000}"/>
    <cellStyle name="Normal 223 2 3 5 2 2" xfId="18752" xr:uid="{00000000-0005-0000-0000-000040490000}"/>
    <cellStyle name="Normal 223 2 3 5 3" xfId="18753" xr:uid="{00000000-0005-0000-0000-000041490000}"/>
    <cellStyle name="Normal 223 2 3 6" xfId="18754" xr:uid="{00000000-0005-0000-0000-000042490000}"/>
    <cellStyle name="Normal 223 2 4" xfId="18755" xr:uid="{00000000-0005-0000-0000-000043490000}"/>
    <cellStyle name="Normal 223 2 4 2" xfId="18756" xr:uid="{00000000-0005-0000-0000-000044490000}"/>
    <cellStyle name="Normal 223 2 4 2 2" xfId="18757" xr:uid="{00000000-0005-0000-0000-000045490000}"/>
    <cellStyle name="Normal 223 2 4 3" xfId="18758" xr:uid="{00000000-0005-0000-0000-000046490000}"/>
    <cellStyle name="Normal 223 2 5" xfId="18759" xr:uid="{00000000-0005-0000-0000-000047490000}"/>
    <cellStyle name="Normal 223 2 5 2" xfId="18760" xr:uid="{00000000-0005-0000-0000-000048490000}"/>
    <cellStyle name="Normal 223 2 5 2 2" xfId="18761" xr:uid="{00000000-0005-0000-0000-000049490000}"/>
    <cellStyle name="Normal 223 2 5 3" xfId="18762" xr:uid="{00000000-0005-0000-0000-00004A490000}"/>
    <cellStyle name="Normal 223 2 6" xfId="18763" xr:uid="{00000000-0005-0000-0000-00004B490000}"/>
    <cellStyle name="Normal 223 2 6 2" xfId="18764" xr:uid="{00000000-0005-0000-0000-00004C490000}"/>
    <cellStyle name="Normal 223 2 6 2 2" xfId="18765" xr:uid="{00000000-0005-0000-0000-00004D490000}"/>
    <cellStyle name="Normal 223 2 6 3" xfId="18766" xr:uid="{00000000-0005-0000-0000-00004E490000}"/>
    <cellStyle name="Normal 223 2 7" xfId="18767" xr:uid="{00000000-0005-0000-0000-00004F490000}"/>
    <cellStyle name="Normal 223 3" xfId="18768" xr:uid="{00000000-0005-0000-0000-000050490000}"/>
    <cellStyle name="Normal 223 3 2" xfId="18769" xr:uid="{00000000-0005-0000-0000-000051490000}"/>
    <cellStyle name="Normal 223 3 2 2" xfId="18770" xr:uid="{00000000-0005-0000-0000-000052490000}"/>
    <cellStyle name="Normal 223 3 3" xfId="18771" xr:uid="{00000000-0005-0000-0000-000053490000}"/>
    <cellStyle name="Normal 223 3 3 2" xfId="18772" xr:uid="{00000000-0005-0000-0000-000054490000}"/>
    <cellStyle name="Normal 223 3 3 2 2" xfId="18773" xr:uid="{00000000-0005-0000-0000-000055490000}"/>
    <cellStyle name="Normal 223 3 3 3" xfId="18774" xr:uid="{00000000-0005-0000-0000-000056490000}"/>
    <cellStyle name="Normal 223 3 4" xfId="18775" xr:uid="{00000000-0005-0000-0000-000057490000}"/>
    <cellStyle name="Normal 223 3 4 2" xfId="18776" xr:uid="{00000000-0005-0000-0000-000058490000}"/>
    <cellStyle name="Normal 223 3 4 2 2" xfId="18777" xr:uid="{00000000-0005-0000-0000-000059490000}"/>
    <cellStyle name="Normal 223 3 4 3" xfId="18778" xr:uid="{00000000-0005-0000-0000-00005A490000}"/>
    <cellStyle name="Normal 223 3 5" xfId="18779" xr:uid="{00000000-0005-0000-0000-00005B490000}"/>
    <cellStyle name="Normal 223 4" xfId="18780" xr:uid="{00000000-0005-0000-0000-00005C490000}"/>
    <cellStyle name="Normal 223 4 2" xfId="18781" xr:uid="{00000000-0005-0000-0000-00005D490000}"/>
    <cellStyle name="Normal 223 4 2 2" xfId="18782" xr:uid="{00000000-0005-0000-0000-00005E490000}"/>
    <cellStyle name="Normal 223 4 2 2 2" xfId="18783" xr:uid="{00000000-0005-0000-0000-00005F490000}"/>
    <cellStyle name="Normal 223 4 2 3" xfId="18784" xr:uid="{00000000-0005-0000-0000-000060490000}"/>
    <cellStyle name="Normal 223 4 2 3 2" xfId="18785" xr:uid="{00000000-0005-0000-0000-000061490000}"/>
    <cellStyle name="Normal 223 4 2 3 2 2" xfId="18786" xr:uid="{00000000-0005-0000-0000-000062490000}"/>
    <cellStyle name="Normal 223 4 2 3 3" xfId="18787" xr:uid="{00000000-0005-0000-0000-000063490000}"/>
    <cellStyle name="Normal 223 4 2 4" xfId="18788" xr:uid="{00000000-0005-0000-0000-000064490000}"/>
    <cellStyle name="Normal 223 4 3" xfId="18789" xr:uid="{00000000-0005-0000-0000-000065490000}"/>
    <cellStyle name="Normal 223 4 3 2" xfId="18790" xr:uid="{00000000-0005-0000-0000-000066490000}"/>
    <cellStyle name="Normal 223 4 3 2 2" xfId="18791" xr:uid="{00000000-0005-0000-0000-000067490000}"/>
    <cellStyle name="Normal 223 4 3 3" xfId="18792" xr:uid="{00000000-0005-0000-0000-000068490000}"/>
    <cellStyle name="Normal 223 4 4" xfId="18793" xr:uid="{00000000-0005-0000-0000-000069490000}"/>
    <cellStyle name="Normal 223 4 4 2" xfId="18794" xr:uid="{00000000-0005-0000-0000-00006A490000}"/>
    <cellStyle name="Normal 223 4 4 2 2" xfId="18795" xr:uid="{00000000-0005-0000-0000-00006B490000}"/>
    <cellStyle name="Normal 223 4 4 3" xfId="18796" xr:uid="{00000000-0005-0000-0000-00006C490000}"/>
    <cellStyle name="Normal 223 4 5" xfId="18797" xr:uid="{00000000-0005-0000-0000-00006D490000}"/>
    <cellStyle name="Normal 223 4 5 2" xfId="18798" xr:uid="{00000000-0005-0000-0000-00006E490000}"/>
    <cellStyle name="Normal 223 4 5 2 2" xfId="18799" xr:uid="{00000000-0005-0000-0000-00006F490000}"/>
    <cellStyle name="Normal 223 4 5 3" xfId="18800" xr:uid="{00000000-0005-0000-0000-000070490000}"/>
    <cellStyle name="Normal 223 4 6" xfId="18801" xr:uid="{00000000-0005-0000-0000-000071490000}"/>
    <cellStyle name="Normal 223 5" xfId="18802" xr:uid="{00000000-0005-0000-0000-000072490000}"/>
    <cellStyle name="Normal 223 5 2" xfId="18803" xr:uid="{00000000-0005-0000-0000-000073490000}"/>
    <cellStyle name="Normal 223 5 2 2" xfId="18804" xr:uid="{00000000-0005-0000-0000-000074490000}"/>
    <cellStyle name="Normal 223 5 3" xfId="18805" xr:uid="{00000000-0005-0000-0000-000075490000}"/>
    <cellStyle name="Normal 223 6" xfId="18806" xr:uid="{00000000-0005-0000-0000-000076490000}"/>
    <cellStyle name="Normal 223 6 2" xfId="18807" xr:uid="{00000000-0005-0000-0000-000077490000}"/>
    <cellStyle name="Normal 223 6 2 2" xfId="18808" xr:uid="{00000000-0005-0000-0000-000078490000}"/>
    <cellStyle name="Normal 223 6 3" xfId="18809" xr:uid="{00000000-0005-0000-0000-000079490000}"/>
    <cellStyle name="Normal 223 7" xfId="18810" xr:uid="{00000000-0005-0000-0000-00007A490000}"/>
    <cellStyle name="Normal 223 7 2" xfId="18811" xr:uid="{00000000-0005-0000-0000-00007B490000}"/>
    <cellStyle name="Normal 223 7 2 2" xfId="18812" xr:uid="{00000000-0005-0000-0000-00007C490000}"/>
    <cellStyle name="Normal 223 7 3" xfId="18813" xr:uid="{00000000-0005-0000-0000-00007D490000}"/>
    <cellStyle name="Normal 223 8" xfId="18814" xr:uid="{00000000-0005-0000-0000-00007E490000}"/>
    <cellStyle name="Normal 224" xfId="18815" xr:uid="{00000000-0005-0000-0000-00007F490000}"/>
    <cellStyle name="Normal 224 2" xfId="18816" xr:uid="{00000000-0005-0000-0000-000080490000}"/>
    <cellStyle name="Normal 224 2 2" xfId="18817" xr:uid="{00000000-0005-0000-0000-000081490000}"/>
    <cellStyle name="Normal 224 2 2 2" xfId="18818" xr:uid="{00000000-0005-0000-0000-000082490000}"/>
    <cellStyle name="Normal 224 2 2 2 2" xfId="18819" xr:uid="{00000000-0005-0000-0000-000083490000}"/>
    <cellStyle name="Normal 224 2 2 3" xfId="18820" xr:uid="{00000000-0005-0000-0000-000084490000}"/>
    <cellStyle name="Normal 224 2 2 3 2" xfId="18821" xr:uid="{00000000-0005-0000-0000-000085490000}"/>
    <cellStyle name="Normal 224 2 2 3 2 2" xfId="18822" xr:uid="{00000000-0005-0000-0000-000086490000}"/>
    <cellStyle name="Normal 224 2 2 3 3" xfId="18823" xr:uid="{00000000-0005-0000-0000-000087490000}"/>
    <cellStyle name="Normal 224 2 2 4" xfId="18824" xr:uid="{00000000-0005-0000-0000-000088490000}"/>
    <cellStyle name="Normal 224 2 2 4 2" xfId="18825" xr:uid="{00000000-0005-0000-0000-000089490000}"/>
    <cellStyle name="Normal 224 2 2 4 2 2" xfId="18826" xr:uid="{00000000-0005-0000-0000-00008A490000}"/>
    <cellStyle name="Normal 224 2 2 4 3" xfId="18827" xr:uid="{00000000-0005-0000-0000-00008B490000}"/>
    <cellStyle name="Normal 224 2 2 5" xfId="18828" xr:uid="{00000000-0005-0000-0000-00008C490000}"/>
    <cellStyle name="Normal 224 2 3" xfId="18829" xr:uid="{00000000-0005-0000-0000-00008D490000}"/>
    <cellStyle name="Normal 224 2 3 2" xfId="18830" xr:uid="{00000000-0005-0000-0000-00008E490000}"/>
    <cellStyle name="Normal 224 2 3 2 2" xfId="18831" xr:uid="{00000000-0005-0000-0000-00008F490000}"/>
    <cellStyle name="Normal 224 2 3 2 2 2" xfId="18832" xr:uid="{00000000-0005-0000-0000-000090490000}"/>
    <cellStyle name="Normal 224 2 3 2 3" xfId="18833" xr:uid="{00000000-0005-0000-0000-000091490000}"/>
    <cellStyle name="Normal 224 2 3 2 3 2" xfId="18834" xr:uid="{00000000-0005-0000-0000-000092490000}"/>
    <cellStyle name="Normal 224 2 3 2 3 2 2" xfId="18835" xr:uid="{00000000-0005-0000-0000-000093490000}"/>
    <cellStyle name="Normal 224 2 3 2 3 3" xfId="18836" xr:uid="{00000000-0005-0000-0000-000094490000}"/>
    <cellStyle name="Normal 224 2 3 2 4" xfId="18837" xr:uid="{00000000-0005-0000-0000-000095490000}"/>
    <cellStyle name="Normal 224 2 3 3" xfId="18838" xr:uid="{00000000-0005-0000-0000-000096490000}"/>
    <cellStyle name="Normal 224 2 3 3 2" xfId="18839" xr:uid="{00000000-0005-0000-0000-000097490000}"/>
    <cellStyle name="Normal 224 2 3 3 2 2" xfId="18840" xr:uid="{00000000-0005-0000-0000-000098490000}"/>
    <cellStyle name="Normal 224 2 3 3 3" xfId="18841" xr:uid="{00000000-0005-0000-0000-000099490000}"/>
    <cellStyle name="Normal 224 2 3 4" xfId="18842" xr:uid="{00000000-0005-0000-0000-00009A490000}"/>
    <cellStyle name="Normal 224 2 3 4 2" xfId="18843" xr:uid="{00000000-0005-0000-0000-00009B490000}"/>
    <cellStyle name="Normal 224 2 3 4 2 2" xfId="18844" xr:uid="{00000000-0005-0000-0000-00009C490000}"/>
    <cellStyle name="Normal 224 2 3 4 3" xfId="18845" xr:uid="{00000000-0005-0000-0000-00009D490000}"/>
    <cellStyle name="Normal 224 2 3 5" xfId="18846" xr:uid="{00000000-0005-0000-0000-00009E490000}"/>
    <cellStyle name="Normal 224 2 3 5 2" xfId="18847" xr:uid="{00000000-0005-0000-0000-00009F490000}"/>
    <cellStyle name="Normal 224 2 3 5 2 2" xfId="18848" xr:uid="{00000000-0005-0000-0000-0000A0490000}"/>
    <cellStyle name="Normal 224 2 3 5 3" xfId="18849" xr:uid="{00000000-0005-0000-0000-0000A1490000}"/>
    <cellStyle name="Normal 224 2 3 6" xfId="18850" xr:uid="{00000000-0005-0000-0000-0000A2490000}"/>
    <cellStyle name="Normal 224 2 4" xfId="18851" xr:uid="{00000000-0005-0000-0000-0000A3490000}"/>
    <cellStyle name="Normal 224 2 4 2" xfId="18852" xr:uid="{00000000-0005-0000-0000-0000A4490000}"/>
    <cellStyle name="Normal 224 2 4 2 2" xfId="18853" xr:uid="{00000000-0005-0000-0000-0000A5490000}"/>
    <cellStyle name="Normal 224 2 4 3" xfId="18854" xr:uid="{00000000-0005-0000-0000-0000A6490000}"/>
    <cellStyle name="Normal 224 2 5" xfId="18855" xr:uid="{00000000-0005-0000-0000-0000A7490000}"/>
    <cellStyle name="Normal 224 2 5 2" xfId="18856" xr:uid="{00000000-0005-0000-0000-0000A8490000}"/>
    <cellStyle name="Normal 224 2 5 2 2" xfId="18857" xr:uid="{00000000-0005-0000-0000-0000A9490000}"/>
    <cellStyle name="Normal 224 2 5 3" xfId="18858" xr:uid="{00000000-0005-0000-0000-0000AA490000}"/>
    <cellStyle name="Normal 224 2 6" xfId="18859" xr:uid="{00000000-0005-0000-0000-0000AB490000}"/>
    <cellStyle name="Normal 224 2 6 2" xfId="18860" xr:uid="{00000000-0005-0000-0000-0000AC490000}"/>
    <cellStyle name="Normal 224 2 6 2 2" xfId="18861" xr:uid="{00000000-0005-0000-0000-0000AD490000}"/>
    <cellStyle name="Normal 224 2 6 3" xfId="18862" xr:uid="{00000000-0005-0000-0000-0000AE490000}"/>
    <cellStyle name="Normal 224 2 7" xfId="18863" xr:uid="{00000000-0005-0000-0000-0000AF490000}"/>
    <cellStyle name="Normal 224 3" xfId="18864" xr:uid="{00000000-0005-0000-0000-0000B0490000}"/>
    <cellStyle name="Normal 224 3 2" xfId="18865" xr:uid="{00000000-0005-0000-0000-0000B1490000}"/>
    <cellStyle name="Normal 224 3 2 2" xfId="18866" xr:uid="{00000000-0005-0000-0000-0000B2490000}"/>
    <cellStyle name="Normal 224 3 3" xfId="18867" xr:uid="{00000000-0005-0000-0000-0000B3490000}"/>
    <cellStyle name="Normal 224 3 3 2" xfId="18868" xr:uid="{00000000-0005-0000-0000-0000B4490000}"/>
    <cellStyle name="Normal 224 3 3 2 2" xfId="18869" xr:uid="{00000000-0005-0000-0000-0000B5490000}"/>
    <cellStyle name="Normal 224 3 3 3" xfId="18870" xr:uid="{00000000-0005-0000-0000-0000B6490000}"/>
    <cellStyle name="Normal 224 3 4" xfId="18871" xr:uid="{00000000-0005-0000-0000-0000B7490000}"/>
    <cellStyle name="Normal 224 3 4 2" xfId="18872" xr:uid="{00000000-0005-0000-0000-0000B8490000}"/>
    <cellStyle name="Normal 224 3 4 2 2" xfId="18873" xr:uid="{00000000-0005-0000-0000-0000B9490000}"/>
    <cellStyle name="Normal 224 3 4 3" xfId="18874" xr:uid="{00000000-0005-0000-0000-0000BA490000}"/>
    <cellStyle name="Normal 224 3 5" xfId="18875" xr:uid="{00000000-0005-0000-0000-0000BB490000}"/>
    <cellStyle name="Normal 224 4" xfId="18876" xr:uid="{00000000-0005-0000-0000-0000BC490000}"/>
    <cellStyle name="Normal 224 4 2" xfId="18877" xr:uid="{00000000-0005-0000-0000-0000BD490000}"/>
    <cellStyle name="Normal 224 4 2 2" xfId="18878" xr:uid="{00000000-0005-0000-0000-0000BE490000}"/>
    <cellStyle name="Normal 224 4 2 2 2" xfId="18879" xr:uid="{00000000-0005-0000-0000-0000BF490000}"/>
    <cellStyle name="Normal 224 4 2 3" xfId="18880" xr:uid="{00000000-0005-0000-0000-0000C0490000}"/>
    <cellStyle name="Normal 224 4 2 3 2" xfId="18881" xr:uid="{00000000-0005-0000-0000-0000C1490000}"/>
    <cellStyle name="Normal 224 4 2 3 2 2" xfId="18882" xr:uid="{00000000-0005-0000-0000-0000C2490000}"/>
    <cellStyle name="Normal 224 4 2 3 3" xfId="18883" xr:uid="{00000000-0005-0000-0000-0000C3490000}"/>
    <cellStyle name="Normal 224 4 2 4" xfId="18884" xr:uid="{00000000-0005-0000-0000-0000C4490000}"/>
    <cellStyle name="Normal 224 4 3" xfId="18885" xr:uid="{00000000-0005-0000-0000-0000C5490000}"/>
    <cellStyle name="Normal 224 4 3 2" xfId="18886" xr:uid="{00000000-0005-0000-0000-0000C6490000}"/>
    <cellStyle name="Normal 224 4 3 2 2" xfId="18887" xr:uid="{00000000-0005-0000-0000-0000C7490000}"/>
    <cellStyle name="Normal 224 4 3 3" xfId="18888" xr:uid="{00000000-0005-0000-0000-0000C8490000}"/>
    <cellStyle name="Normal 224 4 4" xfId="18889" xr:uid="{00000000-0005-0000-0000-0000C9490000}"/>
    <cellStyle name="Normal 224 4 4 2" xfId="18890" xr:uid="{00000000-0005-0000-0000-0000CA490000}"/>
    <cellStyle name="Normal 224 4 4 2 2" xfId="18891" xr:uid="{00000000-0005-0000-0000-0000CB490000}"/>
    <cellStyle name="Normal 224 4 4 3" xfId="18892" xr:uid="{00000000-0005-0000-0000-0000CC490000}"/>
    <cellStyle name="Normal 224 4 5" xfId="18893" xr:uid="{00000000-0005-0000-0000-0000CD490000}"/>
    <cellStyle name="Normal 224 4 5 2" xfId="18894" xr:uid="{00000000-0005-0000-0000-0000CE490000}"/>
    <cellStyle name="Normal 224 4 5 2 2" xfId="18895" xr:uid="{00000000-0005-0000-0000-0000CF490000}"/>
    <cellStyle name="Normal 224 4 5 3" xfId="18896" xr:uid="{00000000-0005-0000-0000-0000D0490000}"/>
    <cellStyle name="Normal 224 4 6" xfId="18897" xr:uid="{00000000-0005-0000-0000-0000D1490000}"/>
    <cellStyle name="Normal 224 5" xfId="18898" xr:uid="{00000000-0005-0000-0000-0000D2490000}"/>
    <cellStyle name="Normal 224 5 2" xfId="18899" xr:uid="{00000000-0005-0000-0000-0000D3490000}"/>
    <cellStyle name="Normal 224 5 2 2" xfId="18900" xr:uid="{00000000-0005-0000-0000-0000D4490000}"/>
    <cellStyle name="Normal 224 5 3" xfId="18901" xr:uid="{00000000-0005-0000-0000-0000D5490000}"/>
    <cellStyle name="Normal 224 6" xfId="18902" xr:uid="{00000000-0005-0000-0000-0000D6490000}"/>
    <cellStyle name="Normal 224 6 2" xfId="18903" xr:uid="{00000000-0005-0000-0000-0000D7490000}"/>
    <cellStyle name="Normal 224 6 2 2" xfId="18904" xr:uid="{00000000-0005-0000-0000-0000D8490000}"/>
    <cellStyle name="Normal 224 6 3" xfId="18905" xr:uid="{00000000-0005-0000-0000-0000D9490000}"/>
    <cellStyle name="Normal 224 7" xfId="18906" xr:uid="{00000000-0005-0000-0000-0000DA490000}"/>
    <cellStyle name="Normal 224 7 2" xfId="18907" xr:uid="{00000000-0005-0000-0000-0000DB490000}"/>
    <cellStyle name="Normal 224 7 2 2" xfId="18908" xr:uid="{00000000-0005-0000-0000-0000DC490000}"/>
    <cellStyle name="Normal 224 7 3" xfId="18909" xr:uid="{00000000-0005-0000-0000-0000DD490000}"/>
    <cellStyle name="Normal 224 8" xfId="18910" xr:uid="{00000000-0005-0000-0000-0000DE490000}"/>
    <cellStyle name="Normal 225" xfId="18911" xr:uid="{00000000-0005-0000-0000-0000DF490000}"/>
    <cellStyle name="Normal 225 2" xfId="18912" xr:uid="{00000000-0005-0000-0000-0000E0490000}"/>
    <cellStyle name="Normal 225 2 2" xfId="18913" xr:uid="{00000000-0005-0000-0000-0000E1490000}"/>
    <cellStyle name="Normal 225 2 2 2" xfId="18914" xr:uid="{00000000-0005-0000-0000-0000E2490000}"/>
    <cellStyle name="Normal 225 2 2 2 2" xfId="18915" xr:uid="{00000000-0005-0000-0000-0000E3490000}"/>
    <cellStyle name="Normal 225 2 2 3" xfId="18916" xr:uid="{00000000-0005-0000-0000-0000E4490000}"/>
    <cellStyle name="Normal 225 2 2 3 2" xfId="18917" xr:uid="{00000000-0005-0000-0000-0000E5490000}"/>
    <cellStyle name="Normal 225 2 2 3 2 2" xfId="18918" xr:uid="{00000000-0005-0000-0000-0000E6490000}"/>
    <cellStyle name="Normal 225 2 2 3 3" xfId="18919" xr:uid="{00000000-0005-0000-0000-0000E7490000}"/>
    <cellStyle name="Normal 225 2 2 4" xfId="18920" xr:uid="{00000000-0005-0000-0000-0000E8490000}"/>
    <cellStyle name="Normal 225 2 2 4 2" xfId="18921" xr:uid="{00000000-0005-0000-0000-0000E9490000}"/>
    <cellStyle name="Normal 225 2 2 4 2 2" xfId="18922" xr:uid="{00000000-0005-0000-0000-0000EA490000}"/>
    <cellStyle name="Normal 225 2 2 4 3" xfId="18923" xr:uid="{00000000-0005-0000-0000-0000EB490000}"/>
    <cellStyle name="Normal 225 2 2 5" xfId="18924" xr:uid="{00000000-0005-0000-0000-0000EC490000}"/>
    <cellStyle name="Normal 225 2 3" xfId="18925" xr:uid="{00000000-0005-0000-0000-0000ED490000}"/>
    <cellStyle name="Normal 225 2 3 2" xfId="18926" xr:uid="{00000000-0005-0000-0000-0000EE490000}"/>
    <cellStyle name="Normal 225 2 3 2 2" xfId="18927" xr:uid="{00000000-0005-0000-0000-0000EF490000}"/>
    <cellStyle name="Normal 225 2 3 2 2 2" xfId="18928" xr:uid="{00000000-0005-0000-0000-0000F0490000}"/>
    <cellStyle name="Normal 225 2 3 2 3" xfId="18929" xr:uid="{00000000-0005-0000-0000-0000F1490000}"/>
    <cellStyle name="Normal 225 2 3 2 3 2" xfId="18930" xr:uid="{00000000-0005-0000-0000-0000F2490000}"/>
    <cellStyle name="Normal 225 2 3 2 3 2 2" xfId="18931" xr:uid="{00000000-0005-0000-0000-0000F3490000}"/>
    <cellStyle name="Normal 225 2 3 2 3 3" xfId="18932" xr:uid="{00000000-0005-0000-0000-0000F4490000}"/>
    <cellStyle name="Normal 225 2 3 2 4" xfId="18933" xr:uid="{00000000-0005-0000-0000-0000F5490000}"/>
    <cellStyle name="Normal 225 2 3 3" xfId="18934" xr:uid="{00000000-0005-0000-0000-0000F6490000}"/>
    <cellStyle name="Normal 225 2 3 3 2" xfId="18935" xr:uid="{00000000-0005-0000-0000-0000F7490000}"/>
    <cellStyle name="Normal 225 2 3 3 2 2" xfId="18936" xr:uid="{00000000-0005-0000-0000-0000F8490000}"/>
    <cellStyle name="Normal 225 2 3 3 3" xfId="18937" xr:uid="{00000000-0005-0000-0000-0000F9490000}"/>
    <cellStyle name="Normal 225 2 3 4" xfId="18938" xr:uid="{00000000-0005-0000-0000-0000FA490000}"/>
    <cellStyle name="Normal 225 2 3 4 2" xfId="18939" xr:uid="{00000000-0005-0000-0000-0000FB490000}"/>
    <cellStyle name="Normal 225 2 3 4 2 2" xfId="18940" xr:uid="{00000000-0005-0000-0000-0000FC490000}"/>
    <cellStyle name="Normal 225 2 3 4 3" xfId="18941" xr:uid="{00000000-0005-0000-0000-0000FD490000}"/>
    <cellStyle name="Normal 225 2 3 5" xfId="18942" xr:uid="{00000000-0005-0000-0000-0000FE490000}"/>
    <cellStyle name="Normal 225 2 3 5 2" xfId="18943" xr:uid="{00000000-0005-0000-0000-0000FF490000}"/>
    <cellStyle name="Normal 225 2 3 5 2 2" xfId="18944" xr:uid="{00000000-0005-0000-0000-0000004A0000}"/>
    <cellStyle name="Normal 225 2 3 5 3" xfId="18945" xr:uid="{00000000-0005-0000-0000-0000014A0000}"/>
    <cellStyle name="Normal 225 2 3 6" xfId="18946" xr:uid="{00000000-0005-0000-0000-0000024A0000}"/>
    <cellStyle name="Normal 225 2 4" xfId="18947" xr:uid="{00000000-0005-0000-0000-0000034A0000}"/>
    <cellStyle name="Normal 225 2 4 2" xfId="18948" xr:uid="{00000000-0005-0000-0000-0000044A0000}"/>
    <cellStyle name="Normal 225 2 4 2 2" xfId="18949" xr:uid="{00000000-0005-0000-0000-0000054A0000}"/>
    <cellStyle name="Normal 225 2 4 3" xfId="18950" xr:uid="{00000000-0005-0000-0000-0000064A0000}"/>
    <cellStyle name="Normal 225 2 5" xfId="18951" xr:uid="{00000000-0005-0000-0000-0000074A0000}"/>
    <cellStyle name="Normal 225 2 5 2" xfId="18952" xr:uid="{00000000-0005-0000-0000-0000084A0000}"/>
    <cellStyle name="Normal 225 2 5 2 2" xfId="18953" xr:uid="{00000000-0005-0000-0000-0000094A0000}"/>
    <cellStyle name="Normal 225 2 5 3" xfId="18954" xr:uid="{00000000-0005-0000-0000-00000A4A0000}"/>
    <cellStyle name="Normal 225 2 6" xfId="18955" xr:uid="{00000000-0005-0000-0000-00000B4A0000}"/>
    <cellStyle name="Normal 225 2 6 2" xfId="18956" xr:uid="{00000000-0005-0000-0000-00000C4A0000}"/>
    <cellStyle name="Normal 225 2 6 2 2" xfId="18957" xr:uid="{00000000-0005-0000-0000-00000D4A0000}"/>
    <cellStyle name="Normal 225 2 6 3" xfId="18958" xr:uid="{00000000-0005-0000-0000-00000E4A0000}"/>
    <cellStyle name="Normal 225 2 7" xfId="18959" xr:uid="{00000000-0005-0000-0000-00000F4A0000}"/>
    <cellStyle name="Normal 225 3" xfId="18960" xr:uid="{00000000-0005-0000-0000-0000104A0000}"/>
    <cellStyle name="Normal 225 3 2" xfId="18961" xr:uid="{00000000-0005-0000-0000-0000114A0000}"/>
    <cellStyle name="Normal 225 3 2 2" xfId="18962" xr:uid="{00000000-0005-0000-0000-0000124A0000}"/>
    <cellStyle name="Normal 225 3 3" xfId="18963" xr:uid="{00000000-0005-0000-0000-0000134A0000}"/>
    <cellStyle name="Normal 225 3 3 2" xfId="18964" xr:uid="{00000000-0005-0000-0000-0000144A0000}"/>
    <cellStyle name="Normal 225 3 3 2 2" xfId="18965" xr:uid="{00000000-0005-0000-0000-0000154A0000}"/>
    <cellStyle name="Normal 225 3 3 3" xfId="18966" xr:uid="{00000000-0005-0000-0000-0000164A0000}"/>
    <cellStyle name="Normal 225 3 4" xfId="18967" xr:uid="{00000000-0005-0000-0000-0000174A0000}"/>
    <cellStyle name="Normal 225 3 4 2" xfId="18968" xr:uid="{00000000-0005-0000-0000-0000184A0000}"/>
    <cellStyle name="Normal 225 3 4 2 2" xfId="18969" xr:uid="{00000000-0005-0000-0000-0000194A0000}"/>
    <cellStyle name="Normal 225 3 4 3" xfId="18970" xr:uid="{00000000-0005-0000-0000-00001A4A0000}"/>
    <cellStyle name="Normal 225 3 5" xfId="18971" xr:uid="{00000000-0005-0000-0000-00001B4A0000}"/>
    <cellStyle name="Normal 225 4" xfId="18972" xr:uid="{00000000-0005-0000-0000-00001C4A0000}"/>
    <cellStyle name="Normal 225 4 2" xfId="18973" xr:uid="{00000000-0005-0000-0000-00001D4A0000}"/>
    <cellStyle name="Normal 225 4 2 2" xfId="18974" xr:uid="{00000000-0005-0000-0000-00001E4A0000}"/>
    <cellStyle name="Normal 225 4 2 2 2" xfId="18975" xr:uid="{00000000-0005-0000-0000-00001F4A0000}"/>
    <cellStyle name="Normal 225 4 2 3" xfId="18976" xr:uid="{00000000-0005-0000-0000-0000204A0000}"/>
    <cellStyle name="Normal 225 4 2 3 2" xfId="18977" xr:uid="{00000000-0005-0000-0000-0000214A0000}"/>
    <cellStyle name="Normal 225 4 2 3 2 2" xfId="18978" xr:uid="{00000000-0005-0000-0000-0000224A0000}"/>
    <cellStyle name="Normal 225 4 2 3 3" xfId="18979" xr:uid="{00000000-0005-0000-0000-0000234A0000}"/>
    <cellStyle name="Normal 225 4 2 4" xfId="18980" xr:uid="{00000000-0005-0000-0000-0000244A0000}"/>
    <cellStyle name="Normal 225 4 3" xfId="18981" xr:uid="{00000000-0005-0000-0000-0000254A0000}"/>
    <cellStyle name="Normal 225 4 3 2" xfId="18982" xr:uid="{00000000-0005-0000-0000-0000264A0000}"/>
    <cellStyle name="Normal 225 4 3 2 2" xfId="18983" xr:uid="{00000000-0005-0000-0000-0000274A0000}"/>
    <cellStyle name="Normal 225 4 3 3" xfId="18984" xr:uid="{00000000-0005-0000-0000-0000284A0000}"/>
    <cellStyle name="Normal 225 4 4" xfId="18985" xr:uid="{00000000-0005-0000-0000-0000294A0000}"/>
    <cellStyle name="Normal 225 4 4 2" xfId="18986" xr:uid="{00000000-0005-0000-0000-00002A4A0000}"/>
    <cellStyle name="Normal 225 4 4 2 2" xfId="18987" xr:uid="{00000000-0005-0000-0000-00002B4A0000}"/>
    <cellStyle name="Normal 225 4 4 3" xfId="18988" xr:uid="{00000000-0005-0000-0000-00002C4A0000}"/>
    <cellStyle name="Normal 225 4 5" xfId="18989" xr:uid="{00000000-0005-0000-0000-00002D4A0000}"/>
    <cellStyle name="Normal 225 4 5 2" xfId="18990" xr:uid="{00000000-0005-0000-0000-00002E4A0000}"/>
    <cellStyle name="Normal 225 4 5 2 2" xfId="18991" xr:uid="{00000000-0005-0000-0000-00002F4A0000}"/>
    <cellStyle name="Normal 225 4 5 3" xfId="18992" xr:uid="{00000000-0005-0000-0000-0000304A0000}"/>
    <cellStyle name="Normal 225 4 6" xfId="18993" xr:uid="{00000000-0005-0000-0000-0000314A0000}"/>
    <cellStyle name="Normal 225 5" xfId="18994" xr:uid="{00000000-0005-0000-0000-0000324A0000}"/>
    <cellStyle name="Normal 225 5 2" xfId="18995" xr:uid="{00000000-0005-0000-0000-0000334A0000}"/>
    <cellStyle name="Normal 225 5 2 2" xfId="18996" xr:uid="{00000000-0005-0000-0000-0000344A0000}"/>
    <cellStyle name="Normal 225 5 3" xfId="18997" xr:uid="{00000000-0005-0000-0000-0000354A0000}"/>
    <cellStyle name="Normal 225 6" xfId="18998" xr:uid="{00000000-0005-0000-0000-0000364A0000}"/>
    <cellStyle name="Normal 225 6 2" xfId="18999" xr:uid="{00000000-0005-0000-0000-0000374A0000}"/>
    <cellStyle name="Normal 225 6 2 2" xfId="19000" xr:uid="{00000000-0005-0000-0000-0000384A0000}"/>
    <cellStyle name="Normal 225 6 3" xfId="19001" xr:uid="{00000000-0005-0000-0000-0000394A0000}"/>
    <cellStyle name="Normal 225 7" xfId="19002" xr:uid="{00000000-0005-0000-0000-00003A4A0000}"/>
    <cellStyle name="Normal 225 7 2" xfId="19003" xr:uid="{00000000-0005-0000-0000-00003B4A0000}"/>
    <cellStyle name="Normal 225 7 2 2" xfId="19004" xr:uid="{00000000-0005-0000-0000-00003C4A0000}"/>
    <cellStyle name="Normal 225 7 3" xfId="19005" xr:uid="{00000000-0005-0000-0000-00003D4A0000}"/>
    <cellStyle name="Normal 225 8" xfId="19006" xr:uid="{00000000-0005-0000-0000-00003E4A0000}"/>
    <cellStyle name="Normal 226" xfId="19007" xr:uid="{00000000-0005-0000-0000-00003F4A0000}"/>
    <cellStyle name="Normal 226 2" xfId="19008" xr:uid="{00000000-0005-0000-0000-0000404A0000}"/>
    <cellStyle name="Normal 226 2 2" xfId="19009" xr:uid="{00000000-0005-0000-0000-0000414A0000}"/>
    <cellStyle name="Normal 226 2 2 2" xfId="19010" xr:uid="{00000000-0005-0000-0000-0000424A0000}"/>
    <cellStyle name="Normal 226 2 2 2 2" xfId="19011" xr:uid="{00000000-0005-0000-0000-0000434A0000}"/>
    <cellStyle name="Normal 226 2 2 3" xfId="19012" xr:uid="{00000000-0005-0000-0000-0000444A0000}"/>
    <cellStyle name="Normal 226 2 2 3 2" xfId="19013" xr:uid="{00000000-0005-0000-0000-0000454A0000}"/>
    <cellStyle name="Normal 226 2 2 3 2 2" xfId="19014" xr:uid="{00000000-0005-0000-0000-0000464A0000}"/>
    <cellStyle name="Normal 226 2 2 3 3" xfId="19015" xr:uid="{00000000-0005-0000-0000-0000474A0000}"/>
    <cellStyle name="Normal 226 2 2 4" xfId="19016" xr:uid="{00000000-0005-0000-0000-0000484A0000}"/>
    <cellStyle name="Normal 226 2 2 4 2" xfId="19017" xr:uid="{00000000-0005-0000-0000-0000494A0000}"/>
    <cellStyle name="Normal 226 2 2 4 2 2" xfId="19018" xr:uid="{00000000-0005-0000-0000-00004A4A0000}"/>
    <cellStyle name="Normal 226 2 2 4 3" xfId="19019" xr:uid="{00000000-0005-0000-0000-00004B4A0000}"/>
    <cellStyle name="Normal 226 2 2 5" xfId="19020" xr:uid="{00000000-0005-0000-0000-00004C4A0000}"/>
    <cellStyle name="Normal 226 2 3" xfId="19021" xr:uid="{00000000-0005-0000-0000-00004D4A0000}"/>
    <cellStyle name="Normal 226 2 3 2" xfId="19022" xr:uid="{00000000-0005-0000-0000-00004E4A0000}"/>
    <cellStyle name="Normal 226 2 3 2 2" xfId="19023" xr:uid="{00000000-0005-0000-0000-00004F4A0000}"/>
    <cellStyle name="Normal 226 2 3 2 2 2" xfId="19024" xr:uid="{00000000-0005-0000-0000-0000504A0000}"/>
    <cellStyle name="Normal 226 2 3 2 3" xfId="19025" xr:uid="{00000000-0005-0000-0000-0000514A0000}"/>
    <cellStyle name="Normal 226 2 3 2 3 2" xfId="19026" xr:uid="{00000000-0005-0000-0000-0000524A0000}"/>
    <cellStyle name="Normal 226 2 3 2 3 2 2" xfId="19027" xr:uid="{00000000-0005-0000-0000-0000534A0000}"/>
    <cellStyle name="Normal 226 2 3 2 3 3" xfId="19028" xr:uid="{00000000-0005-0000-0000-0000544A0000}"/>
    <cellStyle name="Normal 226 2 3 2 4" xfId="19029" xr:uid="{00000000-0005-0000-0000-0000554A0000}"/>
    <cellStyle name="Normal 226 2 3 3" xfId="19030" xr:uid="{00000000-0005-0000-0000-0000564A0000}"/>
    <cellStyle name="Normal 226 2 3 3 2" xfId="19031" xr:uid="{00000000-0005-0000-0000-0000574A0000}"/>
    <cellStyle name="Normal 226 2 3 3 2 2" xfId="19032" xr:uid="{00000000-0005-0000-0000-0000584A0000}"/>
    <cellStyle name="Normal 226 2 3 3 3" xfId="19033" xr:uid="{00000000-0005-0000-0000-0000594A0000}"/>
    <cellStyle name="Normal 226 2 3 4" xfId="19034" xr:uid="{00000000-0005-0000-0000-00005A4A0000}"/>
    <cellStyle name="Normal 226 2 3 4 2" xfId="19035" xr:uid="{00000000-0005-0000-0000-00005B4A0000}"/>
    <cellStyle name="Normal 226 2 3 4 2 2" xfId="19036" xr:uid="{00000000-0005-0000-0000-00005C4A0000}"/>
    <cellStyle name="Normal 226 2 3 4 3" xfId="19037" xr:uid="{00000000-0005-0000-0000-00005D4A0000}"/>
    <cellStyle name="Normal 226 2 3 5" xfId="19038" xr:uid="{00000000-0005-0000-0000-00005E4A0000}"/>
    <cellStyle name="Normal 226 2 3 5 2" xfId="19039" xr:uid="{00000000-0005-0000-0000-00005F4A0000}"/>
    <cellStyle name="Normal 226 2 3 5 2 2" xfId="19040" xr:uid="{00000000-0005-0000-0000-0000604A0000}"/>
    <cellStyle name="Normal 226 2 3 5 3" xfId="19041" xr:uid="{00000000-0005-0000-0000-0000614A0000}"/>
    <cellStyle name="Normal 226 2 3 6" xfId="19042" xr:uid="{00000000-0005-0000-0000-0000624A0000}"/>
    <cellStyle name="Normal 226 2 4" xfId="19043" xr:uid="{00000000-0005-0000-0000-0000634A0000}"/>
    <cellStyle name="Normal 226 2 4 2" xfId="19044" xr:uid="{00000000-0005-0000-0000-0000644A0000}"/>
    <cellStyle name="Normal 226 2 4 2 2" xfId="19045" xr:uid="{00000000-0005-0000-0000-0000654A0000}"/>
    <cellStyle name="Normal 226 2 4 3" xfId="19046" xr:uid="{00000000-0005-0000-0000-0000664A0000}"/>
    <cellStyle name="Normal 226 2 5" xfId="19047" xr:uid="{00000000-0005-0000-0000-0000674A0000}"/>
    <cellStyle name="Normal 226 2 5 2" xfId="19048" xr:uid="{00000000-0005-0000-0000-0000684A0000}"/>
    <cellStyle name="Normal 226 2 5 2 2" xfId="19049" xr:uid="{00000000-0005-0000-0000-0000694A0000}"/>
    <cellStyle name="Normal 226 2 5 3" xfId="19050" xr:uid="{00000000-0005-0000-0000-00006A4A0000}"/>
    <cellStyle name="Normal 226 2 6" xfId="19051" xr:uid="{00000000-0005-0000-0000-00006B4A0000}"/>
    <cellStyle name="Normal 226 2 6 2" xfId="19052" xr:uid="{00000000-0005-0000-0000-00006C4A0000}"/>
    <cellStyle name="Normal 226 2 6 2 2" xfId="19053" xr:uid="{00000000-0005-0000-0000-00006D4A0000}"/>
    <cellStyle name="Normal 226 2 6 3" xfId="19054" xr:uid="{00000000-0005-0000-0000-00006E4A0000}"/>
    <cellStyle name="Normal 226 2 7" xfId="19055" xr:uid="{00000000-0005-0000-0000-00006F4A0000}"/>
    <cellStyle name="Normal 226 3" xfId="19056" xr:uid="{00000000-0005-0000-0000-0000704A0000}"/>
    <cellStyle name="Normal 226 3 2" xfId="19057" xr:uid="{00000000-0005-0000-0000-0000714A0000}"/>
    <cellStyle name="Normal 226 3 2 2" xfId="19058" xr:uid="{00000000-0005-0000-0000-0000724A0000}"/>
    <cellStyle name="Normal 226 3 3" xfId="19059" xr:uid="{00000000-0005-0000-0000-0000734A0000}"/>
    <cellStyle name="Normal 226 3 3 2" xfId="19060" xr:uid="{00000000-0005-0000-0000-0000744A0000}"/>
    <cellStyle name="Normal 226 3 3 2 2" xfId="19061" xr:uid="{00000000-0005-0000-0000-0000754A0000}"/>
    <cellStyle name="Normal 226 3 3 3" xfId="19062" xr:uid="{00000000-0005-0000-0000-0000764A0000}"/>
    <cellStyle name="Normal 226 3 4" xfId="19063" xr:uid="{00000000-0005-0000-0000-0000774A0000}"/>
    <cellStyle name="Normal 226 3 4 2" xfId="19064" xr:uid="{00000000-0005-0000-0000-0000784A0000}"/>
    <cellStyle name="Normal 226 3 4 2 2" xfId="19065" xr:uid="{00000000-0005-0000-0000-0000794A0000}"/>
    <cellStyle name="Normal 226 3 4 3" xfId="19066" xr:uid="{00000000-0005-0000-0000-00007A4A0000}"/>
    <cellStyle name="Normal 226 3 5" xfId="19067" xr:uid="{00000000-0005-0000-0000-00007B4A0000}"/>
    <cellStyle name="Normal 226 4" xfId="19068" xr:uid="{00000000-0005-0000-0000-00007C4A0000}"/>
    <cellStyle name="Normal 226 4 2" xfId="19069" xr:uid="{00000000-0005-0000-0000-00007D4A0000}"/>
    <cellStyle name="Normal 226 4 2 2" xfId="19070" xr:uid="{00000000-0005-0000-0000-00007E4A0000}"/>
    <cellStyle name="Normal 226 4 2 2 2" xfId="19071" xr:uid="{00000000-0005-0000-0000-00007F4A0000}"/>
    <cellStyle name="Normal 226 4 2 3" xfId="19072" xr:uid="{00000000-0005-0000-0000-0000804A0000}"/>
    <cellStyle name="Normal 226 4 2 3 2" xfId="19073" xr:uid="{00000000-0005-0000-0000-0000814A0000}"/>
    <cellStyle name="Normal 226 4 2 3 2 2" xfId="19074" xr:uid="{00000000-0005-0000-0000-0000824A0000}"/>
    <cellStyle name="Normal 226 4 2 3 3" xfId="19075" xr:uid="{00000000-0005-0000-0000-0000834A0000}"/>
    <cellStyle name="Normal 226 4 2 4" xfId="19076" xr:uid="{00000000-0005-0000-0000-0000844A0000}"/>
    <cellStyle name="Normal 226 4 3" xfId="19077" xr:uid="{00000000-0005-0000-0000-0000854A0000}"/>
    <cellStyle name="Normal 226 4 3 2" xfId="19078" xr:uid="{00000000-0005-0000-0000-0000864A0000}"/>
    <cellStyle name="Normal 226 4 3 2 2" xfId="19079" xr:uid="{00000000-0005-0000-0000-0000874A0000}"/>
    <cellStyle name="Normal 226 4 3 3" xfId="19080" xr:uid="{00000000-0005-0000-0000-0000884A0000}"/>
    <cellStyle name="Normal 226 4 4" xfId="19081" xr:uid="{00000000-0005-0000-0000-0000894A0000}"/>
    <cellStyle name="Normal 226 4 4 2" xfId="19082" xr:uid="{00000000-0005-0000-0000-00008A4A0000}"/>
    <cellStyle name="Normal 226 4 4 2 2" xfId="19083" xr:uid="{00000000-0005-0000-0000-00008B4A0000}"/>
    <cellStyle name="Normal 226 4 4 3" xfId="19084" xr:uid="{00000000-0005-0000-0000-00008C4A0000}"/>
    <cellStyle name="Normal 226 4 5" xfId="19085" xr:uid="{00000000-0005-0000-0000-00008D4A0000}"/>
    <cellStyle name="Normal 226 4 5 2" xfId="19086" xr:uid="{00000000-0005-0000-0000-00008E4A0000}"/>
    <cellStyle name="Normal 226 4 5 2 2" xfId="19087" xr:uid="{00000000-0005-0000-0000-00008F4A0000}"/>
    <cellStyle name="Normal 226 4 5 3" xfId="19088" xr:uid="{00000000-0005-0000-0000-0000904A0000}"/>
    <cellStyle name="Normal 226 4 6" xfId="19089" xr:uid="{00000000-0005-0000-0000-0000914A0000}"/>
    <cellStyle name="Normal 226 5" xfId="19090" xr:uid="{00000000-0005-0000-0000-0000924A0000}"/>
    <cellStyle name="Normal 226 5 2" xfId="19091" xr:uid="{00000000-0005-0000-0000-0000934A0000}"/>
    <cellStyle name="Normal 226 5 2 2" xfId="19092" xr:uid="{00000000-0005-0000-0000-0000944A0000}"/>
    <cellStyle name="Normal 226 5 3" xfId="19093" xr:uid="{00000000-0005-0000-0000-0000954A0000}"/>
    <cellStyle name="Normal 226 6" xfId="19094" xr:uid="{00000000-0005-0000-0000-0000964A0000}"/>
    <cellStyle name="Normal 226 6 2" xfId="19095" xr:uid="{00000000-0005-0000-0000-0000974A0000}"/>
    <cellStyle name="Normal 226 6 2 2" xfId="19096" xr:uid="{00000000-0005-0000-0000-0000984A0000}"/>
    <cellStyle name="Normal 226 6 3" xfId="19097" xr:uid="{00000000-0005-0000-0000-0000994A0000}"/>
    <cellStyle name="Normal 226 7" xfId="19098" xr:uid="{00000000-0005-0000-0000-00009A4A0000}"/>
    <cellStyle name="Normal 226 7 2" xfId="19099" xr:uid="{00000000-0005-0000-0000-00009B4A0000}"/>
    <cellStyle name="Normal 226 7 2 2" xfId="19100" xr:uid="{00000000-0005-0000-0000-00009C4A0000}"/>
    <cellStyle name="Normal 226 7 3" xfId="19101" xr:uid="{00000000-0005-0000-0000-00009D4A0000}"/>
    <cellStyle name="Normal 226 8" xfId="19102" xr:uid="{00000000-0005-0000-0000-00009E4A0000}"/>
    <cellStyle name="Normal 227" xfId="19103" xr:uid="{00000000-0005-0000-0000-00009F4A0000}"/>
    <cellStyle name="Normal 227 2" xfId="19104" xr:uid="{00000000-0005-0000-0000-0000A04A0000}"/>
    <cellStyle name="Normal 227 2 2" xfId="19105" xr:uid="{00000000-0005-0000-0000-0000A14A0000}"/>
    <cellStyle name="Normal 227 2 2 2" xfId="19106" xr:uid="{00000000-0005-0000-0000-0000A24A0000}"/>
    <cellStyle name="Normal 227 2 2 2 2" xfId="19107" xr:uid="{00000000-0005-0000-0000-0000A34A0000}"/>
    <cellStyle name="Normal 227 2 2 3" xfId="19108" xr:uid="{00000000-0005-0000-0000-0000A44A0000}"/>
    <cellStyle name="Normal 227 2 2 3 2" xfId="19109" xr:uid="{00000000-0005-0000-0000-0000A54A0000}"/>
    <cellStyle name="Normal 227 2 2 3 2 2" xfId="19110" xr:uid="{00000000-0005-0000-0000-0000A64A0000}"/>
    <cellStyle name="Normal 227 2 2 3 3" xfId="19111" xr:uid="{00000000-0005-0000-0000-0000A74A0000}"/>
    <cellStyle name="Normal 227 2 2 4" xfId="19112" xr:uid="{00000000-0005-0000-0000-0000A84A0000}"/>
    <cellStyle name="Normal 227 2 2 4 2" xfId="19113" xr:uid="{00000000-0005-0000-0000-0000A94A0000}"/>
    <cellStyle name="Normal 227 2 2 4 2 2" xfId="19114" xr:uid="{00000000-0005-0000-0000-0000AA4A0000}"/>
    <cellStyle name="Normal 227 2 2 4 3" xfId="19115" xr:uid="{00000000-0005-0000-0000-0000AB4A0000}"/>
    <cellStyle name="Normal 227 2 2 5" xfId="19116" xr:uid="{00000000-0005-0000-0000-0000AC4A0000}"/>
    <cellStyle name="Normal 227 2 3" xfId="19117" xr:uid="{00000000-0005-0000-0000-0000AD4A0000}"/>
    <cellStyle name="Normal 227 2 3 2" xfId="19118" xr:uid="{00000000-0005-0000-0000-0000AE4A0000}"/>
    <cellStyle name="Normal 227 2 3 2 2" xfId="19119" xr:uid="{00000000-0005-0000-0000-0000AF4A0000}"/>
    <cellStyle name="Normal 227 2 3 2 2 2" xfId="19120" xr:uid="{00000000-0005-0000-0000-0000B04A0000}"/>
    <cellStyle name="Normal 227 2 3 2 3" xfId="19121" xr:uid="{00000000-0005-0000-0000-0000B14A0000}"/>
    <cellStyle name="Normal 227 2 3 2 3 2" xfId="19122" xr:uid="{00000000-0005-0000-0000-0000B24A0000}"/>
    <cellStyle name="Normal 227 2 3 2 3 2 2" xfId="19123" xr:uid="{00000000-0005-0000-0000-0000B34A0000}"/>
    <cellStyle name="Normal 227 2 3 2 3 3" xfId="19124" xr:uid="{00000000-0005-0000-0000-0000B44A0000}"/>
    <cellStyle name="Normal 227 2 3 2 4" xfId="19125" xr:uid="{00000000-0005-0000-0000-0000B54A0000}"/>
    <cellStyle name="Normal 227 2 3 3" xfId="19126" xr:uid="{00000000-0005-0000-0000-0000B64A0000}"/>
    <cellStyle name="Normal 227 2 3 3 2" xfId="19127" xr:uid="{00000000-0005-0000-0000-0000B74A0000}"/>
    <cellStyle name="Normal 227 2 3 3 2 2" xfId="19128" xr:uid="{00000000-0005-0000-0000-0000B84A0000}"/>
    <cellStyle name="Normal 227 2 3 3 3" xfId="19129" xr:uid="{00000000-0005-0000-0000-0000B94A0000}"/>
    <cellStyle name="Normal 227 2 3 4" xfId="19130" xr:uid="{00000000-0005-0000-0000-0000BA4A0000}"/>
    <cellStyle name="Normal 227 2 3 4 2" xfId="19131" xr:uid="{00000000-0005-0000-0000-0000BB4A0000}"/>
    <cellStyle name="Normal 227 2 3 4 2 2" xfId="19132" xr:uid="{00000000-0005-0000-0000-0000BC4A0000}"/>
    <cellStyle name="Normal 227 2 3 4 3" xfId="19133" xr:uid="{00000000-0005-0000-0000-0000BD4A0000}"/>
    <cellStyle name="Normal 227 2 3 5" xfId="19134" xr:uid="{00000000-0005-0000-0000-0000BE4A0000}"/>
    <cellStyle name="Normal 227 2 3 5 2" xfId="19135" xr:uid="{00000000-0005-0000-0000-0000BF4A0000}"/>
    <cellStyle name="Normal 227 2 3 5 2 2" xfId="19136" xr:uid="{00000000-0005-0000-0000-0000C04A0000}"/>
    <cellStyle name="Normal 227 2 3 5 3" xfId="19137" xr:uid="{00000000-0005-0000-0000-0000C14A0000}"/>
    <cellStyle name="Normal 227 2 3 6" xfId="19138" xr:uid="{00000000-0005-0000-0000-0000C24A0000}"/>
    <cellStyle name="Normal 227 2 4" xfId="19139" xr:uid="{00000000-0005-0000-0000-0000C34A0000}"/>
    <cellStyle name="Normal 227 2 4 2" xfId="19140" xr:uid="{00000000-0005-0000-0000-0000C44A0000}"/>
    <cellStyle name="Normal 227 2 4 2 2" xfId="19141" xr:uid="{00000000-0005-0000-0000-0000C54A0000}"/>
    <cellStyle name="Normal 227 2 4 3" xfId="19142" xr:uid="{00000000-0005-0000-0000-0000C64A0000}"/>
    <cellStyle name="Normal 227 2 5" xfId="19143" xr:uid="{00000000-0005-0000-0000-0000C74A0000}"/>
    <cellStyle name="Normal 227 2 5 2" xfId="19144" xr:uid="{00000000-0005-0000-0000-0000C84A0000}"/>
    <cellStyle name="Normal 227 2 5 2 2" xfId="19145" xr:uid="{00000000-0005-0000-0000-0000C94A0000}"/>
    <cellStyle name="Normal 227 2 5 3" xfId="19146" xr:uid="{00000000-0005-0000-0000-0000CA4A0000}"/>
    <cellStyle name="Normal 227 2 6" xfId="19147" xr:uid="{00000000-0005-0000-0000-0000CB4A0000}"/>
    <cellStyle name="Normal 227 2 6 2" xfId="19148" xr:uid="{00000000-0005-0000-0000-0000CC4A0000}"/>
    <cellStyle name="Normal 227 2 6 2 2" xfId="19149" xr:uid="{00000000-0005-0000-0000-0000CD4A0000}"/>
    <cellStyle name="Normal 227 2 6 3" xfId="19150" xr:uid="{00000000-0005-0000-0000-0000CE4A0000}"/>
    <cellStyle name="Normal 227 2 7" xfId="19151" xr:uid="{00000000-0005-0000-0000-0000CF4A0000}"/>
    <cellStyle name="Normal 227 3" xfId="19152" xr:uid="{00000000-0005-0000-0000-0000D04A0000}"/>
    <cellStyle name="Normal 227 3 2" xfId="19153" xr:uid="{00000000-0005-0000-0000-0000D14A0000}"/>
    <cellStyle name="Normal 227 3 2 2" xfId="19154" xr:uid="{00000000-0005-0000-0000-0000D24A0000}"/>
    <cellStyle name="Normal 227 3 3" xfId="19155" xr:uid="{00000000-0005-0000-0000-0000D34A0000}"/>
    <cellStyle name="Normal 227 3 3 2" xfId="19156" xr:uid="{00000000-0005-0000-0000-0000D44A0000}"/>
    <cellStyle name="Normal 227 3 3 2 2" xfId="19157" xr:uid="{00000000-0005-0000-0000-0000D54A0000}"/>
    <cellStyle name="Normal 227 3 3 3" xfId="19158" xr:uid="{00000000-0005-0000-0000-0000D64A0000}"/>
    <cellStyle name="Normal 227 3 4" xfId="19159" xr:uid="{00000000-0005-0000-0000-0000D74A0000}"/>
    <cellStyle name="Normal 227 3 4 2" xfId="19160" xr:uid="{00000000-0005-0000-0000-0000D84A0000}"/>
    <cellStyle name="Normal 227 3 4 2 2" xfId="19161" xr:uid="{00000000-0005-0000-0000-0000D94A0000}"/>
    <cellStyle name="Normal 227 3 4 3" xfId="19162" xr:uid="{00000000-0005-0000-0000-0000DA4A0000}"/>
    <cellStyle name="Normal 227 3 5" xfId="19163" xr:uid="{00000000-0005-0000-0000-0000DB4A0000}"/>
    <cellStyle name="Normal 227 4" xfId="19164" xr:uid="{00000000-0005-0000-0000-0000DC4A0000}"/>
    <cellStyle name="Normal 227 4 2" xfId="19165" xr:uid="{00000000-0005-0000-0000-0000DD4A0000}"/>
    <cellStyle name="Normal 227 4 2 2" xfId="19166" xr:uid="{00000000-0005-0000-0000-0000DE4A0000}"/>
    <cellStyle name="Normal 227 4 2 2 2" xfId="19167" xr:uid="{00000000-0005-0000-0000-0000DF4A0000}"/>
    <cellStyle name="Normal 227 4 2 3" xfId="19168" xr:uid="{00000000-0005-0000-0000-0000E04A0000}"/>
    <cellStyle name="Normal 227 4 2 3 2" xfId="19169" xr:uid="{00000000-0005-0000-0000-0000E14A0000}"/>
    <cellStyle name="Normal 227 4 2 3 2 2" xfId="19170" xr:uid="{00000000-0005-0000-0000-0000E24A0000}"/>
    <cellStyle name="Normal 227 4 2 3 3" xfId="19171" xr:uid="{00000000-0005-0000-0000-0000E34A0000}"/>
    <cellStyle name="Normal 227 4 2 4" xfId="19172" xr:uid="{00000000-0005-0000-0000-0000E44A0000}"/>
    <cellStyle name="Normal 227 4 3" xfId="19173" xr:uid="{00000000-0005-0000-0000-0000E54A0000}"/>
    <cellStyle name="Normal 227 4 3 2" xfId="19174" xr:uid="{00000000-0005-0000-0000-0000E64A0000}"/>
    <cellStyle name="Normal 227 4 3 2 2" xfId="19175" xr:uid="{00000000-0005-0000-0000-0000E74A0000}"/>
    <cellStyle name="Normal 227 4 3 3" xfId="19176" xr:uid="{00000000-0005-0000-0000-0000E84A0000}"/>
    <cellStyle name="Normal 227 4 4" xfId="19177" xr:uid="{00000000-0005-0000-0000-0000E94A0000}"/>
    <cellStyle name="Normal 227 4 4 2" xfId="19178" xr:uid="{00000000-0005-0000-0000-0000EA4A0000}"/>
    <cellStyle name="Normal 227 4 4 2 2" xfId="19179" xr:uid="{00000000-0005-0000-0000-0000EB4A0000}"/>
    <cellStyle name="Normal 227 4 4 3" xfId="19180" xr:uid="{00000000-0005-0000-0000-0000EC4A0000}"/>
    <cellStyle name="Normal 227 4 5" xfId="19181" xr:uid="{00000000-0005-0000-0000-0000ED4A0000}"/>
    <cellStyle name="Normal 227 4 5 2" xfId="19182" xr:uid="{00000000-0005-0000-0000-0000EE4A0000}"/>
    <cellStyle name="Normal 227 4 5 2 2" xfId="19183" xr:uid="{00000000-0005-0000-0000-0000EF4A0000}"/>
    <cellStyle name="Normal 227 4 5 3" xfId="19184" xr:uid="{00000000-0005-0000-0000-0000F04A0000}"/>
    <cellStyle name="Normal 227 4 6" xfId="19185" xr:uid="{00000000-0005-0000-0000-0000F14A0000}"/>
    <cellStyle name="Normal 227 5" xfId="19186" xr:uid="{00000000-0005-0000-0000-0000F24A0000}"/>
    <cellStyle name="Normal 227 5 2" xfId="19187" xr:uid="{00000000-0005-0000-0000-0000F34A0000}"/>
    <cellStyle name="Normal 227 5 2 2" xfId="19188" xr:uid="{00000000-0005-0000-0000-0000F44A0000}"/>
    <cellStyle name="Normal 227 5 3" xfId="19189" xr:uid="{00000000-0005-0000-0000-0000F54A0000}"/>
    <cellStyle name="Normal 227 6" xfId="19190" xr:uid="{00000000-0005-0000-0000-0000F64A0000}"/>
    <cellStyle name="Normal 227 6 2" xfId="19191" xr:uid="{00000000-0005-0000-0000-0000F74A0000}"/>
    <cellStyle name="Normal 227 6 2 2" xfId="19192" xr:uid="{00000000-0005-0000-0000-0000F84A0000}"/>
    <cellStyle name="Normal 227 6 3" xfId="19193" xr:uid="{00000000-0005-0000-0000-0000F94A0000}"/>
    <cellStyle name="Normal 227 7" xfId="19194" xr:uid="{00000000-0005-0000-0000-0000FA4A0000}"/>
    <cellStyle name="Normal 227 7 2" xfId="19195" xr:uid="{00000000-0005-0000-0000-0000FB4A0000}"/>
    <cellStyle name="Normal 227 7 2 2" xfId="19196" xr:uid="{00000000-0005-0000-0000-0000FC4A0000}"/>
    <cellStyle name="Normal 227 7 3" xfId="19197" xr:uid="{00000000-0005-0000-0000-0000FD4A0000}"/>
    <cellStyle name="Normal 227 8" xfId="19198" xr:uid="{00000000-0005-0000-0000-0000FE4A0000}"/>
    <cellStyle name="Normal 228" xfId="19199" xr:uid="{00000000-0005-0000-0000-0000FF4A0000}"/>
    <cellStyle name="Normal 228 2" xfId="19200" xr:uid="{00000000-0005-0000-0000-0000004B0000}"/>
    <cellStyle name="Normal 228 2 2" xfId="19201" xr:uid="{00000000-0005-0000-0000-0000014B0000}"/>
    <cellStyle name="Normal 228 2 2 2" xfId="19202" xr:uid="{00000000-0005-0000-0000-0000024B0000}"/>
    <cellStyle name="Normal 228 2 2 2 2" xfId="19203" xr:uid="{00000000-0005-0000-0000-0000034B0000}"/>
    <cellStyle name="Normal 228 2 2 3" xfId="19204" xr:uid="{00000000-0005-0000-0000-0000044B0000}"/>
    <cellStyle name="Normal 228 2 2 3 2" xfId="19205" xr:uid="{00000000-0005-0000-0000-0000054B0000}"/>
    <cellStyle name="Normal 228 2 2 3 2 2" xfId="19206" xr:uid="{00000000-0005-0000-0000-0000064B0000}"/>
    <cellStyle name="Normal 228 2 2 3 3" xfId="19207" xr:uid="{00000000-0005-0000-0000-0000074B0000}"/>
    <cellStyle name="Normal 228 2 2 4" xfId="19208" xr:uid="{00000000-0005-0000-0000-0000084B0000}"/>
    <cellStyle name="Normal 228 2 2 4 2" xfId="19209" xr:uid="{00000000-0005-0000-0000-0000094B0000}"/>
    <cellStyle name="Normal 228 2 2 4 2 2" xfId="19210" xr:uid="{00000000-0005-0000-0000-00000A4B0000}"/>
    <cellStyle name="Normal 228 2 2 4 3" xfId="19211" xr:uid="{00000000-0005-0000-0000-00000B4B0000}"/>
    <cellStyle name="Normal 228 2 2 5" xfId="19212" xr:uid="{00000000-0005-0000-0000-00000C4B0000}"/>
    <cellStyle name="Normal 228 2 3" xfId="19213" xr:uid="{00000000-0005-0000-0000-00000D4B0000}"/>
    <cellStyle name="Normal 228 2 3 2" xfId="19214" xr:uid="{00000000-0005-0000-0000-00000E4B0000}"/>
    <cellStyle name="Normal 228 2 3 2 2" xfId="19215" xr:uid="{00000000-0005-0000-0000-00000F4B0000}"/>
    <cellStyle name="Normal 228 2 3 2 2 2" xfId="19216" xr:uid="{00000000-0005-0000-0000-0000104B0000}"/>
    <cellStyle name="Normal 228 2 3 2 3" xfId="19217" xr:uid="{00000000-0005-0000-0000-0000114B0000}"/>
    <cellStyle name="Normal 228 2 3 2 3 2" xfId="19218" xr:uid="{00000000-0005-0000-0000-0000124B0000}"/>
    <cellStyle name="Normal 228 2 3 2 3 2 2" xfId="19219" xr:uid="{00000000-0005-0000-0000-0000134B0000}"/>
    <cellStyle name="Normal 228 2 3 2 3 3" xfId="19220" xr:uid="{00000000-0005-0000-0000-0000144B0000}"/>
    <cellStyle name="Normal 228 2 3 2 4" xfId="19221" xr:uid="{00000000-0005-0000-0000-0000154B0000}"/>
    <cellStyle name="Normal 228 2 3 3" xfId="19222" xr:uid="{00000000-0005-0000-0000-0000164B0000}"/>
    <cellStyle name="Normal 228 2 3 3 2" xfId="19223" xr:uid="{00000000-0005-0000-0000-0000174B0000}"/>
    <cellStyle name="Normal 228 2 3 3 2 2" xfId="19224" xr:uid="{00000000-0005-0000-0000-0000184B0000}"/>
    <cellStyle name="Normal 228 2 3 3 3" xfId="19225" xr:uid="{00000000-0005-0000-0000-0000194B0000}"/>
    <cellStyle name="Normal 228 2 3 4" xfId="19226" xr:uid="{00000000-0005-0000-0000-00001A4B0000}"/>
    <cellStyle name="Normal 228 2 3 4 2" xfId="19227" xr:uid="{00000000-0005-0000-0000-00001B4B0000}"/>
    <cellStyle name="Normal 228 2 3 4 2 2" xfId="19228" xr:uid="{00000000-0005-0000-0000-00001C4B0000}"/>
    <cellStyle name="Normal 228 2 3 4 3" xfId="19229" xr:uid="{00000000-0005-0000-0000-00001D4B0000}"/>
    <cellStyle name="Normal 228 2 3 5" xfId="19230" xr:uid="{00000000-0005-0000-0000-00001E4B0000}"/>
    <cellStyle name="Normal 228 2 3 5 2" xfId="19231" xr:uid="{00000000-0005-0000-0000-00001F4B0000}"/>
    <cellStyle name="Normal 228 2 3 5 2 2" xfId="19232" xr:uid="{00000000-0005-0000-0000-0000204B0000}"/>
    <cellStyle name="Normal 228 2 3 5 3" xfId="19233" xr:uid="{00000000-0005-0000-0000-0000214B0000}"/>
    <cellStyle name="Normal 228 2 3 6" xfId="19234" xr:uid="{00000000-0005-0000-0000-0000224B0000}"/>
    <cellStyle name="Normal 228 2 4" xfId="19235" xr:uid="{00000000-0005-0000-0000-0000234B0000}"/>
    <cellStyle name="Normal 228 2 4 2" xfId="19236" xr:uid="{00000000-0005-0000-0000-0000244B0000}"/>
    <cellStyle name="Normal 228 2 4 2 2" xfId="19237" xr:uid="{00000000-0005-0000-0000-0000254B0000}"/>
    <cellStyle name="Normal 228 2 4 3" xfId="19238" xr:uid="{00000000-0005-0000-0000-0000264B0000}"/>
    <cellStyle name="Normal 228 2 5" xfId="19239" xr:uid="{00000000-0005-0000-0000-0000274B0000}"/>
    <cellStyle name="Normal 228 2 5 2" xfId="19240" xr:uid="{00000000-0005-0000-0000-0000284B0000}"/>
    <cellStyle name="Normal 228 2 5 2 2" xfId="19241" xr:uid="{00000000-0005-0000-0000-0000294B0000}"/>
    <cellStyle name="Normal 228 2 5 3" xfId="19242" xr:uid="{00000000-0005-0000-0000-00002A4B0000}"/>
    <cellStyle name="Normal 228 2 6" xfId="19243" xr:uid="{00000000-0005-0000-0000-00002B4B0000}"/>
    <cellStyle name="Normal 228 2 6 2" xfId="19244" xr:uid="{00000000-0005-0000-0000-00002C4B0000}"/>
    <cellStyle name="Normal 228 2 6 2 2" xfId="19245" xr:uid="{00000000-0005-0000-0000-00002D4B0000}"/>
    <cellStyle name="Normal 228 2 6 3" xfId="19246" xr:uid="{00000000-0005-0000-0000-00002E4B0000}"/>
    <cellStyle name="Normal 228 2 7" xfId="19247" xr:uid="{00000000-0005-0000-0000-00002F4B0000}"/>
    <cellStyle name="Normal 228 3" xfId="19248" xr:uid="{00000000-0005-0000-0000-0000304B0000}"/>
    <cellStyle name="Normal 228 3 2" xfId="19249" xr:uid="{00000000-0005-0000-0000-0000314B0000}"/>
    <cellStyle name="Normal 228 3 2 2" xfId="19250" xr:uid="{00000000-0005-0000-0000-0000324B0000}"/>
    <cellStyle name="Normal 228 3 3" xfId="19251" xr:uid="{00000000-0005-0000-0000-0000334B0000}"/>
    <cellStyle name="Normal 228 3 3 2" xfId="19252" xr:uid="{00000000-0005-0000-0000-0000344B0000}"/>
    <cellStyle name="Normal 228 3 3 2 2" xfId="19253" xr:uid="{00000000-0005-0000-0000-0000354B0000}"/>
    <cellStyle name="Normal 228 3 3 3" xfId="19254" xr:uid="{00000000-0005-0000-0000-0000364B0000}"/>
    <cellStyle name="Normal 228 3 4" xfId="19255" xr:uid="{00000000-0005-0000-0000-0000374B0000}"/>
    <cellStyle name="Normal 228 3 4 2" xfId="19256" xr:uid="{00000000-0005-0000-0000-0000384B0000}"/>
    <cellStyle name="Normal 228 3 4 2 2" xfId="19257" xr:uid="{00000000-0005-0000-0000-0000394B0000}"/>
    <cellStyle name="Normal 228 3 4 3" xfId="19258" xr:uid="{00000000-0005-0000-0000-00003A4B0000}"/>
    <cellStyle name="Normal 228 3 5" xfId="19259" xr:uid="{00000000-0005-0000-0000-00003B4B0000}"/>
    <cellStyle name="Normal 228 4" xfId="19260" xr:uid="{00000000-0005-0000-0000-00003C4B0000}"/>
    <cellStyle name="Normal 228 4 2" xfId="19261" xr:uid="{00000000-0005-0000-0000-00003D4B0000}"/>
    <cellStyle name="Normal 228 4 2 2" xfId="19262" xr:uid="{00000000-0005-0000-0000-00003E4B0000}"/>
    <cellStyle name="Normal 228 4 2 2 2" xfId="19263" xr:uid="{00000000-0005-0000-0000-00003F4B0000}"/>
    <cellStyle name="Normal 228 4 2 3" xfId="19264" xr:uid="{00000000-0005-0000-0000-0000404B0000}"/>
    <cellStyle name="Normal 228 4 2 3 2" xfId="19265" xr:uid="{00000000-0005-0000-0000-0000414B0000}"/>
    <cellStyle name="Normal 228 4 2 3 2 2" xfId="19266" xr:uid="{00000000-0005-0000-0000-0000424B0000}"/>
    <cellStyle name="Normal 228 4 2 3 3" xfId="19267" xr:uid="{00000000-0005-0000-0000-0000434B0000}"/>
    <cellStyle name="Normal 228 4 2 4" xfId="19268" xr:uid="{00000000-0005-0000-0000-0000444B0000}"/>
    <cellStyle name="Normal 228 4 3" xfId="19269" xr:uid="{00000000-0005-0000-0000-0000454B0000}"/>
    <cellStyle name="Normal 228 4 3 2" xfId="19270" xr:uid="{00000000-0005-0000-0000-0000464B0000}"/>
    <cellStyle name="Normal 228 4 3 2 2" xfId="19271" xr:uid="{00000000-0005-0000-0000-0000474B0000}"/>
    <cellStyle name="Normal 228 4 3 3" xfId="19272" xr:uid="{00000000-0005-0000-0000-0000484B0000}"/>
    <cellStyle name="Normal 228 4 4" xfId="19273" xr:uid="{00000000-0005-0000-0000-0000494B0000}"/>
    <cellStyle name="Normal 228 4 4 2" xfId="19274" xr:uid="{00000000-0005-0000-0000-00004A4B0000}"/>
    <cellStyle name="Normal 228 4 4 2 2" xfId="19275" xr:uid="{00000000-0005-0000-0000-00004B4B0000}"/>
    <cellStyle name="Normal 228 4 4 3" xfId="19276" xr:uid="{00000000-0005-0000-0000-00004C4B0000}"/>
    <cellStyle name="Normal 228 4 5" xfId="19277" xr:uid="{00000000-0005-0000-0000-00004D4B0000}"/>
    <cellStyle name="Normal 228 4 5 2" xfId="19278" xr:uid="{00000000-0005-0000-0000-00004E4B0000}"/>
    <cellStyle name="Normal 228 4 5 2 2" xfId="19279" xr:uid="{00000000-0005-0000-0000-00004F4B0000}"/>
    <cellStyle name="Normal 228 4 5 3" xfId="19280" xr:uid="{00000000-0005-0000-0000-0000504B0000}"/>
    <cellStyle name="Normal 228 4 6" xfId="19281" xr:uid="{00000000-0005-0000-0000-0000514B0000}"/>
    <cellStyle name="Normal 228 5" xfId="19282" xr:uid="{00000000-0005-0000-0000-0000524B0000}"/>
    <cellStyle name="Normal 228 5 2" xfId="19283" xr:uid="{00000000-0005-0000-0000-0000534B0000}"/>
    <cellStyle name="Normal 228 5 2 2" xfId="19284" xr:uid="{00000000-0005-0000-0000-0000544B0000}"/>
    <cellStyle name="Normal 228 5 3" xfId="19285" xr:uid="{00000000-0005-0000-0000-0000554B0000}"/>
    <cellStyle name="Normal 228 6" xfId="19286" xr:uid="{00000000-0005-0000-0000-0000564B0000}"/>
    <cellStyle name="Normal 228 6 2" xfId="19287" xr:uid="{00000000-0005-0000-0000-0000574B0000}"/>
    <cellStyle name="Normal 228 6 2 2" xfId="19288" xr:uid="{00000000-0005-0000-0000-0000584B0000}"/>
    <cellStyle name="Normal 228 6 3" xfId="19289" xr:uid="{00000000-0005-0000-0000-0000594B0000}"/>
    <cellStyle name="Normal 228 7" xfId="19290" xr:uid="{00000000-0005-0000-0000-00005A4B0000}"/>
    <cellStyle name="Normal 228 7 2" xfId="19291" xr:uid="{00000000-0005-0000-0000-00005B4B0000}"/>
    <cellStyle name="Normal 228 7 2 2" xfId="19292" xr:uid="{00000000-0005-0000-0000-00005C4B0000}"/>
    <cellStyle name="Normal 228 7 3" xfId="19293" xr:uid="{00000000-0005-0000-0000-00005D4B0000}"/>
    <cellStyle name="Normal 228 8" xfId="19294" xr:uid="{00000000-0005-0000-0000-00005E4B0000}"/>
    <cellStyle name="Normal 229" xfId="19295" xr:uid="{00000000-0005-0000-0000-00005F4B0000}"/>
    <cellStyle name="Normal 229 2" xfId="19296" xr:uid="{00000000-0005-0000-0000-0000604B0000}"/>
    <cellStyle name="Normal 229 2 2" xfId="19297" xr:uid="{00000000-0005-0000-0000-0000614B0000}"/>
    <cellStyle name="Normal 229 2 2 2" xfId="19298" xr:uid="{00000000-0005-0000-0000-0000624B0000}"/>
    <cellStyle name="Normal 229 2 2 2 2" xfId="19299" xr:uid="{00000000-0005-0000-0000-0000634B0000}"/>
    <cellStyle name="Normal 229 2 2 3" xfId="19300" xr:uid="{00000000-0005-0000-0000-0000644B0000}"/>
    <cellStyle name="Normal 229 2 2 3 2" xfId="19301" xr:uid="{00000000-0005-0000-0000-0000654B0000}"/>
    <cellStyle name="Normal 229 2 2 3 2 2" xfId="19302" xr:uid="{00000000-0005-0000-0000-0000664B0000}"/>
    <cellStyle name="Normal 229 2 2 3 3" xfId="19303" xr:uid="{00000000-0005-0000-0000-0000674B0000}"/>
    <cellStyle name="Normal 229 2 2 4" xfId="19304" xr:uid="{00000000-0005-0000-0000-0000684B0000}"/>
    <cellStyle name="Normal 229 2 2 4 2" xfId="19305" xr:uid="{00000000-0005-0000-0000-0000694B0000}"/>
    <cellStyle name="Normal 229 2 2 4 2 2" xfId="19306" xr:uid="{00000000-0005-0000-0000-00006A4B0000}"/>
    <cellStyle name="Normal 229 2 2 4 3" xfId="19307" xr:uid="{00000000-0005-0000-0000-00006B4B0000}"/>
    <cellStyle name="Normal 229 2 2 5" xfId="19308" xr:uid="{00000000-0005-0000-0000-00006C4B0000}"/>
    <cellStyle name="Normal 229 2 3" xfId="19309" xr:uid="{00000000-0005-0000-0000-00006D4B0000}"/>
    <cellStyle name="Normal 229 2 3 2" xfId="19310" xr:uid="{00000000-0005-0000-0000-00006E4B0000}"/>
    <cellStyle name="Normal 229 2 3 2 2" xfId="19311" xr:uid="{00000000-0005-0000-0000-00006F4B0000}"/>
    <cellStyle name="Normal 229 2 3 2 2 2" xfId="19312" xr:uid="{00000000-0005-0000-0000-0000704B0000}"/>
    <cellStyle name="Normal 229 2 3 2 3" xfId="19313" xr:uid="{00000000-0005-0000-0000-0000714B0000}"/>
    <cellStyle name="Normal 229 2 3 2 3 2" xfId="19314" xr:uid="{00000000-0005-0000-0000-0000724B0000}"/>
    <cellStyle name="Normal 229 2 3 2 3 2 2" xfId="19315" xr:uid="{00000000-0005-0000-0000-0000734B0000}"/>
    <cellStyle name="Normal 229 2 3 2 3 3" xfId="19316" xr:uid="{00000000-0005-0000-0000-0000744B0000}"/>
    <cellStyle name="Normal 229 2 3 2 4" xfId="19317" xr:uid="{00000000-0005-0000-0000-0000754B0000}"/>
    <cellStyle name="Normal 229 2 3 3" xfId="19318" xr:uid="{00000000-0005-0000-0000-0000764B0000}"/>
    <cellStyle name="Normal 229 2 3 3 2" xfId="19319" xr:uid="{00000000-0005-0000-0000-0000774B0000}"/>
    <cellStyle name="Normal 229 2 3 3 2 2" xfId="19320" xr:uid="{00000000-0005-0000-0000-0000784B0000}"/>
    <cellStyle name="Normal 229 2 3 3 3" xfId="19321" xr:uid="{00000000-0005-0000-0000-0000794B0000}"/>
    <cellStyle name="Normal 229 2 3 4" xfId="19322" xr:uid="{00000000-0005-0000-0000-00007A4B0000}"/>
    <cellStyle name="Normal 229 2 3 4 2" xfId="19323" xr:uid="{00000000-0005-0000-0000-00007B4B0000}"/>
    <cellStyle name="Normal 229 2 3 4 2 2" xfId="19324" xr:uid="{00000000-0005-0000-0000-00007C4B0000}"/>
    <cellStyle name="Normal 229 2 3 4 3" xfId="19325" xr:uid="{00000000-0005-0000-0000-00007D4B0000}"/>
    <cellStyle name="Normal 229 2 3 5" xfId="19326" xr:uid="{00000000-0005-0000-0000-00007E4B0000}"/>
    <cellStyle name="Normal 229 2 3 5 2" xfId="19327" xr:uid="{00000000-0005-0000-0000-00007F4B0000}"/>
    <cellStyle name="Normal 229 2 3 5 2 2" xfId="19328" xr:uid="{00000000-0005-0000-0000-0000804B0000}"/>
    <cellStyle name="Normal 229 2 3 5 3" xfId="19329" xr:uid="{00000000-0005-0000-0000-0000814B0000}"/>
    <cellStyle name="Normal 229 2 3 6" xfId="19330" xr:uid="{00000000-0005-0000-0000-0000824B0000}"/>
    <cellStyle name="Normal 229 2 4" xfId="19331" xr:uid="{00000000-0005-0000-0000-0000834B0000}"/>
    <cellStyle name="Normal 229 2 4 2" xfId="19332" xr:uid="{00000000-0005-0000-0000-0000844B0000}"/>
    <cellStyle name="Normal 229 2 4 2 2" xfId="19333" xr:uid="{00000000-0005-0000-0000-0000854B0000}"/>
    <cellStyle name="Normal 229 2 4 3" xfId="19334" xr:uid="{00000000-0005-0000-0000-0000864B0000}"/>
    <cellStyle name="Normal 229 2 5" xfId="19335" xr:uid="{00000000-0005-0000-0000-0000874B0000}"/>
    <cellStyle name="Normal 229 2 5 2" xfId="19336" xr:uid="{00000000-0005-0000-0000-0000884B0000}"/>
    <cellStyle name="Normal 229 2 5 2 2" xfId="19337" xr:uid="{00000000-0005-0000-0000-0000894B0000}"/>
    <cellStyle name="Normal 229 2 5 3" xfId="19338" xr:uid="{00000000-0005-0000-0000-00008A4B0000}"/>
    <cellStyle name="Normal 229 2 6" xfId="19339" xr:uid="{00000000-0005-0000-0000-00008B4B0000}"/>
    <cellStyle name="Normal 229 2 6 2" xfId="19340" xr:uid="{00000000-0005-0000-0000-00008C4B0000}"/>
    <cellStyle name="Normal 229 2 6 2 2" xfId="19341" xr:uid="{00000000-0005-0000-0000-00008D4B0000}"/>
    <cellStyle name="Normal 229 2 6 3" xfId="19342" xr:uid="{00000000-0005-0000-0000-00008E4B0000}"/>
    <cellStyle name="Normal 229 2 7" xfId="19343" xr:uid="{00000000-0005-0000-0000-00008F4B0000}"/>
    <cellStyle name="Normal 229 3" xfId="19344" xr:uid="{00000000-0005-0000-0000-0000904B0000}"/>
    <cellStyle name="Normal 229 3 2" xfId="19345" xr:uid="{00000000-0005-0000-0000-0000914B0000}"/>
    <cellStyle name="Normal 229 3 2 2" xfId="19346" xr:uid="{00000000-0005-0000-0000-0000924B0000}"/>
    <cellStyle name="Normal 229 3 3" xfId="19347" xr:uid="{00000000-0005-0000-0000-0000934B0000}"/>
    <cellStyle name="Normal 229 3 3 2" xfId="19348" xr:uid="{00000000-0005-0000-0000-0000944B0000}"/>
    <cellStyle name="Normal 229 3 3 2 2" xfId="19349" xr:uid="{00000000-0005-0000-0000-0000954B0000}"/>
    <cellStyle name="Normal 229 3 3 3" xfId="19350" xr:uid="{00000000-0005-0000-0000-0000964B0000}"/>
    <cellStyle name="Normal 229 3 4" xfId="19351" xr:uid="{00000000-0005-0000-0000-0000974B0000}"/>
    <cellStyle name="Normal 229 3 4 2" xfId="19352" xr:uid="{00000000-0005-0000-0000-0000984B0000}"/>
    <cellStyle name="Normal 229 3 4 2 2" xfId="19353" xr:uid="{00000000-0005-0000-0000-0000994B0000}"/>
    <cellStyle name="Normal 229 3 4 3" xfId="19354" xr:uid="{00000000-0005-0000-0000-00009A4B0000}"/>
    <cellStyle name="Normal 229 3 5" xfId="19355" xr:uid="{00000000-0005-0000-0000-00009B4B0000}"/>
    <cellStyle name="Normal 229 4" xfId="19356" xr:uid="{00000000-0005-0000-0000-00009C4B0000}"/>
    <cellStyle name="Normal 229 4 2" xfId="19357" xr:uid="{00000000-0005-0000-0000-00009D4B0000}"/>
    <cellStyle name="Normal 229 4 2 2" xfId="19358" xr:uid="{00000000-0005-0000-0000-00009E4B0000}"/>
    <cellStyle name="Normal 229 4 2 2 2" xfId="19359" xr:uid="{00000000-0005-0000-0000-00009F4B0000}"/>
    <cellStyle name="Normal 229 4 2 3" xfId="19360" xr:uid="{00000000-0005-0000-0000-0000A04B0000}"/>
    <cellStyle name="Normal 229 4 2 3 2" xfId="19361" xr:uid="{00000000-0005-0000-0000-0000A14B0000}"/>
    <cellStyle name="Normal 229 4 2 3 2 2" xfId="19362" xr:uid="{00000000-0005-0000-0000-0000A24B0000}"/>
    <cellStyle name="Normal 229 4 2 3 3" xfId="19363" xr:uid="{00000000-0005-0000-0000-0000A34B0000}"/>
    <cellStyle name="Normal 229 4 2 4" xfId="19364" xr:uid="{00000000-0005-0000-0000-0000A44B0000}"/>
    <cellStyle name="Normal 229 4 3" xfId="19365" xr:uid="{00000000-0005-0000-0000-0000A54B0000}"/>
    <cellStyle name="Normal 229 4 3 2" xfId="19366" xr:uid="{00000000-0005-0000-0000-0000A64B0000}"/>
    <cellStyle name="Normal 229 4 3 2 2" xfId="19367" xr:uid="{00000000-0005-0000-0000-0000A74B0000}"/>
    <cellStyle name="Normal 229 4 3 3" xfId="19368" xr:uid="{00000000-0005-0000-0000-0000A84B0000}"/>
    <cellStyle name="Normal 229 4 4" xfId="19369" xr:uid="{00000000-0005-0000-0000-0000A94B0000}"/>
    <cellStyle name="Normal 229 4 4 2" xfId="19370" xr:uid="{00000000-0005-0000-0000-0000AA4B0000}"/>
    <cellStyle name="Normal 229 4 4 2 2" xfId="19371" xr:uid="{00000000-0005-0000-0000-0000AB4B0000}"/>
    <cellStyle name="Normal 229 4 4 3" xfId="19372" xr:uid="{00000000-0005-0000-0000-0000AC4B0000}"/>
    <cellStyle name="Normal 229 4 5" xfId="19373" xr:uid="{00000000-0005-0000-0000-0000AD4B0000}"/>
    <cellStyle name="Normal 229 4 5 2" xfId="19374" xr:uid="{00000000-0005-0000-0000-0000AE4B0000}"/>
    <cellStyle name="Normal 229 4 5 2 2" xfId="19375" xr:uid="{00000000-0005-0000-0000-0000AF4B0000}"/>
    <cellStyle name="Normal 229 4 5 3" xfId="19376" xr:uid="{00000000-0005-0000-0000-0000B04B0000}"/>
    <cellStyle name="Normal 229 4 6" xfId="19377" xr:uid="{00000000-0005-0000-0000-0000B14B0000}"/>
    <cellStyle name="Normal 229 5" xfId="19378" xr:uid="{00000000-0005-0000-0000-0000B24B0000}"/>
    <cellStyle name="Normal 229 5 2" xfId="19379" xr:uid="{00000000-0005-0000-0000-0000B34B0000}"/>
    <cellStyle name="Normal 229 5 2 2" xfId="19380" xr:uid="{00000000-0005-0000-0000-0000B44B0000}"/>
    <cellStyle name="Normal 229 5 3" xfId="19381" xr:uid="{00000000-0005-0000-0000-0000B54B0000}"/>
    <cellStyle name="Normal 229 6" xfId="19382" xr:uid="{00000000-0005-0000-0000-0000B64B0000}"/>
    <cellStyle name="Normal 229 6 2" xfId="19383" xr:uid="{00000000-0005-0000-0000-0000B74B0000}"/>
    <cellStyle name="Normal 229 6 2 2" xfId="19384" xr:uid="{00000000-0005-0000-0000-0000B84B0000}"/>
    <cellStyle name="Normal 229 6 3" xfId="19385" xr:uid="{00000000-0005-0000-0000-0000B94B0000}"/>
    <cellStyle name="Normal 229 7" xfId="19386" xr:uid="{00000000-0005-0000-0000-0000BA4B0000}"/>
    <cellStyle name="Normal 229 7 2" xfId="19387" xr:uid="{00000000-0005-0000-0000-0000BB4B0000}"/>
    <cellStyle name="Normal 229 7 2 2" xfId="19388" xr:uid="{00000000-0005-0000-0000-0000BC4B0000}"/>
    <cellStyle name="Normal 229 7 3" xfId="19389" xr:uid="{00000000-0005-0000-0000-0000BD4B0000}"/>
    <cellStyle name="Normal 229 8" xfId="19390" xr:uid="{00000000-0005-0000-0000-0000BE4B0000}"/>
    <cellStyle name="Normal 23" xfId="19391" xr:uid="{00000000-0005-0000-0000-0000BF4B0000}"/>
    <cellStyle name="Normal 23 2" xfId="19392" xr:uid="{00000000-0005-0000-0000-0000C04B0000}"/>
    <cellStyle name="Normal 23 2 2" xfId="19393" xr:uid="{00000000-0005-0000-0000-0000C14B0000}"/>
    <cellStyle name="Normal 23 2 2 2" xfId="19394" xr:uid="{00000000-0005-0000-0000-0000C24B0000}"/>
    <cellStyle name="Normal 23 2 2 2 2" xfId="19395" xr:uid="{00000000-0005-0000-0000-0000C34B0000}"/>
    <cellStyle name="Normal 23 2 2 3" xfId="19396" xr:uid="{00000000-0005-0000-0000-0000C44B0000}"/>
    <cellStyle name="Normal 23 2 2 3 2" xfId="19397" xr:uid="{00000000-0005-0000-0000-0000C54B0000}"/>
    <cellStyle name="Normal 23 2 2 3 2 2" xfId="19398" xr:uid="{00000000-0005-0000-0000-0000C64B0000}"/>
    <cellStyle name="Normal 23 2 2 3 3" xfId="19399" xr:uid="{00000000-0005-0000-0000-0000C74B0000}"/>
    <cellStyle name="Normal 23 2 2 4" xfId="19400" xr:uid="{00000000-0005-0000-0000-0000C84B0000}"/>
    <cellStyle name="Normal 23 2 2 4 2" xfId="19401" xr:uid="{00000000-0005-0000-0000-0000C94B0000}"/>
    <cellStyle name="Normal 23 2 2 4 2 2" xfId="19402" xr:uid="{00000000-0005-0000-0000-0000CA4B0000}"/>
    <cellStyle name="Normal 23 2 2 4 3" xfId="19403" xr:uid="{00000000-0005-0000-0000-0000CB4B0000}"/>
    <cellStyle name="Normal 23 2 2 5" xfId="19404" xr:uid="{00000000-0005-0000-0000-0000CC4B0000}"/>
    <cellStyle name="Normal 23 2 3" xfId="19405" xr:uid="{00000000-0005-0000-0000-0000CD4B0000}"/>
    <cellStyle name="Normal 23 2 3 2" xfId="19406" xr:uid="{00000000-0005-0000-0000-0000CE4B0000}"/>
    <cellStyle name="Normal 23 2 3 2 2" xfId="19407" xr:uid="{00000000-0005-0000-0000-0000CF4B0000}"/>
    <cellStyle name="Normal 23 2 3 3" xfId="19408" xr:uid="{00000000-0005-0000-0000-0000D04B0000}"/>
    <cellStyle name="Normal 23 2 4" xfId="19409" xr:uid="{00000000-0005-0000-0000-0000D14B0000}"/>
    <cellStyle name="Normal 23 2 4 2" xfId="19410" xr:uid="{00000000-0005-0000-0000-0000D24B0000}"/>
    <cellStyle name="Normal 23 2 4 2 2" xfId="19411" xr:uid="{00000000-0005-0000-0000-0000D34B0000}"/>
    <cellStyle name="Normal 23 2 4 3" xfId="19412" xr:uid="{00000000-0005-0000-0000-0000D44B0000}"/>
    <cellStyle name="Normal 23 2 5" xfId="19413" xr:uid="{00000000-0005-0000-0000-0000D54B0000}"/>
    <cellStyle name="Normal 23 2 5 2" xfId="19414" xr:uid="{00000000-0005-0000-0000-0000D64B0000}"/>
    <cellStyle name="Normal 23 2 5 2 2" xfId="19415" xr:uid="{00000000-0005-0000-0000-0000D74B0000}"/>
    <cellStyle name="Normal 23 2 5 3" xfId="19416" xr:uid="{00000000-0005-0000-0000-0000D84B0000}"/>
    <cellStyle name="Normal 23 2 6" xfId="19417" xr:uid="{00000000-0005-0000-0000-0000D94B0000}"/>
    <cellStyle name="Normal 23 3" xfId="19418" xr:uid="{00000000-0005-0000-0000-0000DA4B0000}"/>
    <cellStyle name="Normal 23 3 2" xfId="19419" xr:uid="{00000000-0005-0000-0000-0000DB4B0000}"/>
    <cellStyle name="Normal 23 3 2 2" xfId="19420" xr:uid="{00000000-0005-0000-0000-0000DC4B0000}"/>
    <cellStyle name="Normal 23 3 3" xfId="19421" xr:uid="{00000000-0005-0000-0000-0000DD4B0000}"/>
    <cellStyle name="Normal 23 3 3 2" xfId="19422" xr:uid="{00000000-0005-0000-0000-0000DE4B0000}"/>
    <cellStyle name="Normal 23 3 3 2 2" xfId="19423" xr:uid="{00000000-0005-0000-0000-0000DF4B0000}"/>
    <cellStyle name="Normal 23 3 3 3" xfId="19424" xr:uid="{00000000-0005-0000-0000-0000E04B0000}"/>
    <cellStyle name="Normal 23 3 4" xfId="19425" xr:uid="{00000000-0005-0000-0000-0000E14B0000}"/>
    <cellStyle name="Normal 23 3 4 2" xfId="19426" xr:uid="{00000000-0005-0000-0000-0000E24B0000}"/>
    <cellStyle name="Normal 23 3 4 2 2" xfId="19427" xr:uid="{00000000-0005-0000-0000-0000E34B0000}"/>
    <cellStyle name="Normal 23 3 4 3" xfId="19428" xr:uid="{00000000-0005-0000-0000-0000E44B0000}"/>
    <cellStyle name="Normal 23 3 5" xfId="19429" xr:uid="{00000000-0005-0000-0000-0000E54B0000}"/>
    <cellStyle name="Normal 23 4" xfId="19430" xr:uid="{00000000-0005-0000-0000-0000E64B0000}"/>
    <cellStyle name="Normal 23 4 2" xfId="19431" xr:uid="{00000000-0005-0000-0000-0000E74B0000}"/>
    <cellStyle name="Normal 23 4 2 2" xfId="19432" xr:uid="{00000000-0005-0000-0000-0000E84B0000}"/>
    <cellStyle name="Normal 23 4 2 2 2" xfId="19433" xr:uid="{00000000-0005-0000-0000-0000E94B0000}"/>
    <cellStyle name="Normal 23 4 2 3" xfId="19434" xr:uid="{00000000-0005-0000-0000-0000EA4B0000}"/>
    <cellStyle name="Normal 23 4 2 3 2" xfId="19435" xr:uid="{00000000-0005-0000-0000-0000EB4B0000}"/>
    <cellStyle name="Normal 23 4 2 3 2 2" xfId="19436" xr:uid="{00000000-0005-0000-0000-0000EC4B0000}"/>
    <cellStyle name="Normal 23 4 2 3 3" xfId="19437" xr:uid="{00000000-0005-0000-0000-0000ED4B0000}"/>
    <cellStyle name="Normal 23 4 2 4" xfId="19438" xr:uid="{00000000-0005-0000-0000-0000EE4B0000}"/>
    <cellStyle name="Normal 23 4 3" xfId="19439" xr:uid="{00000000-0005-0000-0000-0000EF4B0000}"/>
    <cellStyle name="Normal 23 4 3 2" xfId="19440" xr:uid="{00000000-0005-0000-0000-0000F04B0000}"/>
    <cellStyle name="Normal 23 4 3 2 2" xfId="19441" xr:uid="{00000000-0005-0000-0000-0000F14B0000}"/>
    <cellStyle name="Normal 23 4 3 3" xfId="19442" xr:uid="{00000000-0005-0000-0000-0000F24B0000}"/>
    <cellStyle name="Normal 23 4 4" xfId="19443" xr:uid="{00000000-0005-0000-0000-0000F34B0000}"/>
    <cellStyle name="Normal 23 4 4 2" xfId="19444" xr:uid="{00000000-0005-0000-0000-0000F44B0000}"/>
    <cellStyle name="Normal 23 4 4 2 2" xfId="19445" xr:uid="{00000000-0005-0000-0000-0000F54B0000}"/>
    <cellStyle name="Normal 23 4 4 3" xfId="19446" xr:uid="{00000000-0005-0000-0000-0000F64B0000}"/>
    <cellStyle name="Normal 23 4 5" xfId="19447" xr:uid="{00000000-0005-0000-0000-0000F74B0000}"/>
    <cellStyle name="Normal 23 4 5 2" xfId="19448" xr:uid="{00000000-0005-0000-0000-0000F84B0000}"/>
    <cellStyle name="Normal 23 4 5 2 2" xfId="19449" xr:uid="{00000000-0005-0000-0000-0000F94B0000}"/>
    <cellStyle name="Normal 23 4 5 3" xfId="19450" xr:uid="{00000000-0005-0000-0000-0000FA4B0000}"/>
    <cellStyle name="Normal 23 4 6" xfId="19451" xr:uid="{00000000-0005-0000-0000-0000FB4B0000}"/>
    <cellStyle name="Normal 23 5" xfId="19452" xr:uid="{00000000-0005-0000-0000-0000FC4B0000}"/>
    <cellStyle name="Normal 230" xfId="19453" xr:uid="{00000000-0005-0000-0000-0000FD4B0000}"/>
    <cellStyle name="Normal 230 2" xfId="19454" xr:uid="{00000000-0005-0000-0000-0000FE4B0000}"/>
    <cellStyle name="Normal 230 2 2" xfId="19455" xr:uid="{00000000-0005-0000-0000-0000FF4B0000}"/>
    <cellStyle name="Normal 230 2 2 2" xfId="19456" xr:uid="{00000000-0005-0000-0000-0000004C0000}"/>
    <cellStyle name="Normal 230 2 2 2 2" xfId="19457" xr:uid="{00000000-0005-0000-0000-0000014C0000}"/>
    <cellStyle name="Normal 230 2 2 3" xfId="19458" xr:uid="{00000000-0005-0000-0000-0000024C0000}"/>
    <cellStyle name="Normal 230 2 2 3 2" xfId="19459" xr:uid="{00000000-0005-0000-0000-0000034C0000}"/>
    <cellStyle name="Normal 230 2 2 3 2 2" xfId="19460" xr:uid="{00000000-0005-0000-0000-0000044C0000}"/>
    <cellStyle name="Normal 230 2 2 3 3" xfId="19461" xr:uid="{00000000-0005-0000-0000-0000054C0000}"/>
    <cellStyle name="Normal 230 2 2 4" xfId="19462" xr:uid="{00000000-0005-0000-0000-0000064C0000}"/>
    <cellStyle name="Normal 230 2 2 4 2" xfId="19463" xr:uid="{00000000-0005-0000-0000-0000074C0000}"/>
    <cellStyle name="Normal 230 2 2 4 2 2" xfId="19464" xr:uid="{00000000-0005-0000-0000-0000084C0000}"/>
    <cellStyle name="Normal 230 2 2 4 3" xfId="19465" xr:uid="{00000000-0005-0000-0000-0000094C0000}"/>
    <cellStyle name="Normal 230 2 2 5" xfId="19466" xr:uid="{00000000-0005-0000-0000-00000A4C0000}"/>
    <cellStyle name="Normal 230 2 3" xfId="19467" xr:uid="{00000000-0005-0000-0000-00000B4C0000}"/>
    <cellStyle name="Normal 230 2 3 2" xfId="19468" xr:uid="{00000000-0005-0000-0000-00000C4C0000}"/>
    <cellStyle name="Normal 230 2 3 2 2" xfId="19469" xr:uid="{00000000-0005-0000-0000-00000D4C0000}"/>
    <cellStyle name="Normal 230 2 3 2 2 2" xfId="19470" xr:uid="{00000000-0005-0000-0000-00000E4C0000}"/>
    <cellStyle name="Normal 230 2 3 2 3" xfId="19471" xr:uid="{00000000-0005-0000-0000-00000F4C0000}"/>
    <cellStyle name="Normal 230 2 3 2 3 2" xfId="19472" xr:uid="{00000000-0005-0000-0000-0000104C0000}"/>
    <cellStyle name="Normal 230 2 3 2 3 2 2" xfId="19473" xr:uid="{00000000-0005-0000-0000-0000114C0000}"/>
    <cellStyle name="Normal 230 2 3 2 3 3" xfId="19474" xr:uid="{00000000-0005-0000-0000-0000124C0000}"/>
    <cellStyle name="Normal 230 2 3 2 4" xfId="19475" xr:uid="{00000000-0005-0000-0000-0000134C0000}"/>
    <cellStyle name="Normal 230 2 3 3" xfId="19476" xr:uid="{00000000-0005-0000-0000-0000144C0000}"/>
    <cellStyle name="Normal 230 2 3 3 2" xfId="19477" xr:uid="{00000000-0005-0000-0000-0000154C0000}"/>
    <cellStyle name="Normal 230 2 3 3 2 2" xfId="19478" xr:uid="{00000000-0005-0000-0000-0000164C0000}"/>
    <cellStyle name="Normal 230 2 3 3 3" xfId="19479" xr:uid="{00000000-0005-0000-0000-0000174C0000}"/>
    <cellStyle name="Normal 230 2 3 4" xfId="19480" xr:uid="{00000000-0005-0000-0000-0000184C0000}"/>
    <cellStyle name="Normal 230 2 3 4 2" xfId="19481" xr:uid="{00000000-0005-0000-0000-0000194C0000}"/>
    <cellStyle name="Normal 230 2 3 4 2 2" xfId="19482" xr:uid="{00000000-0005-0000-0000-00001A4C0000}"/>
    <cellStyle name="Normal 230 2 3 4 3" xfId="19483" xr:uid="{00000000-0005-0000-0000-00001B4C0000}"/>
    <cellStyle name="Normal 230 2 3 5" xfId="19484" xr:uid="{00000000-0005-0000-0000-00001C4C0000}"/>
    <cellStyle name="Normal 230 2 3 5 2" xfId="19485" xr:uid="{00000000-0005-0000-0000-00001D4C0000}"/>
    <cellStyle name="Normal 230 2 3 5 2 2" xfId="19486" xr:uid="{00000000-0005-0000-0000-00001E4C0000}"/>
    <cellStyle name="Normal 230 2 3 5 3" xfId="19487" xr:uid="{00000000-0005-0000-0000-00001F4C0000}"/>
    <cellStyle name="Normal 230 2 3 6" xfId="19488" xr:uid="{00000000-0005-0000-0000-0000204C0000}"/>
    <cellStyle name="Normal 230 2 4" xfId="19489" xr:uid="{00000000-0005-0000-0000-0000214C0000}"/>
    <cellStyle name="Normal 230 2 4 2" xfId="19490" xr:uid="{00000000-0005-0000-0000-0000224C0000}"/>
    <cellStyle name="Normal 230 2 4 2 2" xfId="19491" xr:uid="{00000000-0005-0000-0000-0000234C0000}"/>
    <cellStyle name="Normal 230 2 4 3" xfId="19492" xr:uid="{00000000-0005-0000-0000-0000244C0000}"/>
    <cellStyle name="Normal 230 2 5" xfId="19493" xr:uid="{00000000-0005-0000-0000-0000254C0000}"/>
    <cellStyle name="Normal 230 2 5 2" xfId="19494" xr:uid="{00000000-0005-0000-0000-0000264C0000}"/>
    <cellStyle name="Normal 230 2 5 2 2" xfId="19495" xr:uid="{00000000-0005-0000-0000-0000274C0000}"/>
    <cellStyle name="Normal 230 2 5 3" xfId="19496" xr:uid="{00000000-0005-0000-0000-0000284C0000}"/>
    <cellStyle name="Normal 230 2 6" xfId="19497" xr:uid="{00000000-0005-0000-0000-0000294C0000}"/>
    <cellStyle name="Normal 230 2 6 2" xfId="19498" xr:uid="{00000000-0005-0000-0000-00002A4C0000}"/>
    <cellStyle name="Normal 230 2 6 2 2" xfId="19499" xr:uid="{00000000-0005-0000-0000-00002B4C0000}"/>
    <cellStyle name="Normal 230 2 6 3" xfId="19500" xr:uid="{00000000-0005-0000-0000-00002C4C0000}"/>
    <cellStyle name="Normal 230 2 7" xfId="19501" xr:uid="{00000000-0005-0000-0000-00002D4C0000}"/>
    <cellStyle name="Normal 230 3" xfId="19502" xr:uid="{00000000-0005-0000-0000-00002E4C0000}"/>
    <cellStyle name="Normal 230 3 2" xfId="19503" xr:uid="{00000000-0005-0000-0000-00002F4C0000}"/>
    <cellStyle name="Normal 230 3 2 2" xfId="19504" xr:uid="{00000000-0005-0000-0000-0000304C0000}"/>
    <cellStyle name="Normal 230 3 3" xfId="19505" xr:uid="{00000000-0005-0000-0000-0000314C0000}"/>
    <cellStyle name="Normal 230 3 3 2" xfId="19506" xr:uid="{00000000-0005-0000-0000-0000324C0000}"/>
    <cellStyle name="Normal 230 3 3 2 2" xfId="19507" xr:uid="{00000000-0005-0000-0000-0000334C0000}"/>
    <cellStyle name="Normal 230 3 3 3" xfId="19508" xr:uid="{00000000-0005-0000-0000-0000344C0000}"/>
    <cellStyle name="Normal 230 3 4" xfId="19509" xr:uid="{00000000-0005-0000-0000-0000354C0000}"/>
    <cellStyle name="Normal 230 3 4 2" xfId="19510" xr:uid="{00000000-0005-0000-0000-0000364C0000}"/>
    <cellStyle name="Normal 230 3 4 2 2" xfId="19511" xr:uid="{00000000-0005-0000-0000-0000374C0000}"/>
    <cellStyle name="Normal 230 3 4 3" xfId="19512" xr:uid="{00000000-0005-0000-0000-0000384C0000}"/>
    <cellStyle name="Normal 230 3 5" xfId="19513" xr:uid="{00000000-0005-0000-0000-0000394C0000}"/>
    <cellStyle name="Normal 230 4" xfId="19514" xr:uid="{00000000-0005-0000-0000-00003A4C0000}"/>
    <cellStyle name="Normal 230 4 2" xfId="19515" xr:uid="{00000000-0005-0000-0000-00003B4C0000}"/>
    <cellStyle name="Normal 230 4 2 2" xfId="19516" xr:uid="{00000000-0005-0000-0000-00003C4C0000}"/>
    <cellStyle name="Normal 230 4 2 2 2" xfId="19517" xr:uid="{00000000-0005-0000-0000-00003D4C0000}"/>
    <cellStyle name="Normal 230 4 2 3" xfId="19518" xr:uid="{00000000-0005-0000-0000-00003E4C0000}"/>
    <cellStyle name="Normal 230 4 2 3 2" xfId="19519" xr:uid="{00000000-0005-0000-0000-00003F4C0000}"/>
    <cellStyle name="Normal 230 4 2 3 2 2" xfId="19520" xr:uid="{00000000-0005-0000-0000-0000404C0000}"/>
    <cellStyle name="Normal 230 4 2 3 3" xfId="19521" xr:uid="{00000000-0005-0000-0000-0000414C0000}"/>
    <cellStyle name="Normal 230 4 2 4" xfId="19522" xr:uid="{00000000-0005-0000-0000-0000424C0000}"/>
    <cellStyle name="Normal 230 4 3" xfId="19523" xr:uid="{00000000-0005-0000-0000-0000434C0000}"/>
    <cellStyle name="Normal 230 4 3 2" xfId="19524" xr:uid="{00000000-0005-0000-0000-0000444C0000}"/>
    <cellStyle name="Normal 230 4 3 2 2" xfId="19525" xr:uid="{00000000-0005-0000-0000-0000454C0000}"/>
    <cellStyle name="Normal 230 4 3 3" xfId="19526" xr:uid="{00000000-0005-0000-0000-0000464C0000}"/>
    <cellStyle name="Normal 230 4 4" xfId="19527" xr:uid="{00000000-0005-0000-0000-0000474C0000}"/>
    <cellStyle name="Normal 230 4 4 2" xfId="19528" xr:uid="{00000000-0005-0000-0000-0000484C0000}"/>
    <cellStyle name="Normal 230 4 4 2 2" xfId="19529" xr:uid="{00000000-0005-0000-0000-0000494C0000}"/>
    <cellStyle name="Normal 230 4 4 3" xfId="19530" xr:uid="{00000000-0005-0000-0000-00004A4C0000}"/>
    <cellStyle name="Normal 230 4 5" xfId="19531" xr:uid="{00000000-0005-0000-0000-00004B4C0000}"/>
    <cellStyle name="Normal 230 4 5 2" xfId="19532" xr:uid="{00000000-0005-0000-0000-00004C4C0000}"/>
    <cellStyle name="Normal 230 4 5 2 2" xfId="19533" xr:uid="{00000000-0005-0000-0000-00004D4C0000}"/>
    <cellStyle name="Normal 230 4 5 3" xfId="19534" xr:uid="{00000000-0005-0000-0000-00004E4C0000}"/>
    <cellStyle name="Normal 230 4 6" xfId="19535" xr:uid="{00000000-0005-0000-0000-00004F4C0000}"/>
    <cellStyle name="Normal 230 5" xfId="19536" xr:uid="{00000000-0005-0000-0000-0000504C0000}"/>
    <cellStyle name="Normal 230 5 2" xfId="19537" xr:uid="{00000000-0005-0000-0000-0000514C0000}"/>
    <cellStyle name="Normal 230 5 2 2" xfId="19538" xr:uid="{00000000-0005-0000-0000-0000524C0000}"/>
    <cellStyle name="Normal 230 5 3" xfId="19539" xr:uid="{00000000-0005-0000-0000-0000534C0000}"/>
    <cellStyle name="Normal 230 6" xfId="19540" xr:uid="{00000000-0005-0000-0000-0000544C0000}"/>
    <cellStyle name="Normal 230 6 2" xfId="19541" xr:uid="{00000000-0005-0000-0000-0000554C0000}"/>
    <cellStyle name="Normal 230 6 2 2" xfId="19542" xr:uid="{00000000-0005-0000-0000-0000564C0000}"/>
    <cellStyle name="Normal 230 6 3" xfId="19543" xr:uid="{00000000-0005-0000-0000-0000574C0000}"/>
    <cellStyle name="Normal 230 7" xfId="19544" xr:uid="{00000000-0005-0000-0000-0000584C0000}"/>
    <cellStyle name="Normal 230 7 2" xfId="19545" xr:uid="{00000000-0005-0000-0000-0000594C0000}"/>
    <cellStyle name="Normal 230 7 2 2" xfId="19546" xr:uid="{00000000-0005-0000-0000-00005A4C0000}"/>
    <cellStyle name="Normal 230 7 3" xfId="19547" xr:uid="{00000000-0005-0000-0000-00005B4C0000}"/>
    <cellStyle name="Normal 230 8" xfId="19548" xr:uid="{00000000-0005-0000-0000-00005C4C0000}"/>
    <cellStyle name="Normal 231" xfId="19549" xr:uid="{00000000-0005-0000-0000-00005D4C0000}"/>
    <cellStyle name="Normal 231 2" xfId="19550" xr:uid="{00000000-0005-0000-0000-00005E4C0000}"/>
    <cellStyle name="Normal 231 2 2" xfId="19551" xr:uid="{00000000-0005-0000-0000-00005F4C0000}"/>
    <cellStyle name="Normal 231 2 2 2" xfId="19552" xr:uid="{00000000-0005-0000-0000-0000604C0000}"/>
    <cellStyle name="Normal 231 2 2 2 2" xfId="19553" xr:uid="{00000000-0005-0000-0000-0000614C0000}"/>
    <cellStyle name="Normal 231 2 2 3" xfId="19554" xr:uid="{00000000-0005-0000-0000-0000624C0000}"/>
    <cellStyle name="Normal 231 2 2 3 2" xfId="19555" xr:uid="{00000000-0005-0000-0000-0000634C0000}"/>
    <cellStyle name="Normal 231 2 2 3 2 2" xfId="19556" xr:uid="{00000000-0005-0000-0000-0000644C0000}"/>
    <cellStyle name="Normal 231 2 2 3 3" xfId="19557" xr:uid="{00000000-0005-0000-0000-0000654C0000}"/>
    <cellStyle name="Normal 231 2 2 4" xfId="19558" xr:uid="{00000000-0005-0000-0000-0000664C0000}"/>
    <cellStyle name="Normal 231 2 2 4 2" xfId="19559" xr:uid="{00000000-0005-0000-0000-0000674C0000}"/>
    <cellStyle name="Normal 231 2 2 4 2 2" xfId="19560" xr:uid="{00000000-0005-0000-0000-0000684C0000}"/>
    <cellStyle name="Normal 231 2 2 4 3" xfId="19561" xr:uid="{00000000-0005-0000-0000-0000694C0000}"/>
    <cellStyle name="Normal 231 2 2 5" xfId="19562" xr:uid="{00000000-0005-0000-0000-00006A4C0000}"/>
    <cellStyle name="Normal 231 2 3" xfId="19563" xr:uid="{00000000-0005-0000-0000-00006B4C0000}"/>
    <cellStyle name="Normal 231 2 3 2" xfId="19564" xr:uid="{00000000-0005-0000-0000-00006C4C0000}"/>
    <cellStyle name="Normal 231 2 3 2 2" xfId="19565" xr:uid="{00000000-0005-0000-0000-00006D4C0000}"/>
    <cellStyle name="Normal 231 2 3 2 2 2" xfId="19566" xr:uid="{00000000-0005-0000-0000-00006E4C0000}"/>
    <cellStyle name="Normal 231 2 3 2 3" xfId="19567" xr:uid="{00000000-0005-0000-0000-00006F4C0000}"/>
    <cellStyle name="Normal 231 2 3 2 3 2" xfId="19568" xr:uid="{00000000-0005-0000-0000-0000704C0000}"/>
    <cellStyle name="Normal 231 2 3 2 3 2 2" xfId="19569" xr:uid="{00000000-0005-0000-0000-0000714C0000}"/>
    <cellStyle name="Normal 231 2 3 2 3 3" xfId="19570" xr:uid="{00000000-0005-0000-0000-0000724C0000}"/>
    <cellStyle name="Normal 231 2 3 2 4" xfId="19571" xr:uid="{00000000-0005-0000-0000-0000734C0000}"/>
    <cellStyle name="Normal 231 2 3 3" xfId="19572" xr:uid="{00000000-0005-0000-0000-0000744C0000}"/>
    <cellStyle name="Normal 231 2 3 3 2" xfId="19573" xr:uid="{00000000-0005-0000-0000-0000754C0000}"/>
    <cellStyle name="Normal 231 2 3 3 2 2" xfId="19574" xr:uid="{00000000-0005-0000-0000-0000764C0000}"/>
    <cellStyle name="Normal 231 2 3 3 3" xfId="19575" xr:uid="{00000000-0005-0000-0000-0000774C0000}"/>
    <cellStyle name="Normal 231 2 3 4" xfId="19576" xr:uid="{00000000-0005-0000-0000-0000784C0000}"/>
    <cellStyle name="Normal 231 2 3 4 2" xfId="19577" xr:uid="{00000000-0005-0000-0000-0000794C0000}"/>
    <cellStyle name="Normal 231 2 3 4 2 2" xfId="19578" xr:uid="{00000000-0005-0000-0000-00007A4C0000}"/>
    <cellStyle name="Normal 231 2 3 4 3" xfId="19579" xr:uid="{00000000-0005-0000-0000-00007B4C0000}"/>
    <cellStyle name="Normal 231 2 3 5" xfId="19580" xr:uid="{00000000-0005-0000-0000-00007C4C0000}"/>
    <cellStyle name="Normal 231 2 3 5 2" xfId="19581" xr:uid="{00000000-0005-0000-0000-00007D4C0000}"/>
    <cellStyle name="Normal 231 2 3 5 2 2" xfId="19582" xr:uid="{00000000-0005-0000-0000-00007E4C0000}"/>
    <cellStyle name="Normal 231 2 3 5 3" xfId="19583" xr:uid="{00000000-0005-0000-0000-00007F4C0000}"/>
    <cellStyle name="Normal 231 2 3 6" xfId="19584" xr:uid="{00000000-0005-0000-0000-0000804C0000}"/>
    <cellStyle name="Normal 231 2 4" xfId="19585" xr:uid="{00000000-0005-0000-0000-0000814C0000}"/>
    <cellStyle name="Normal 231 2 4 2" xfId="19586" xr:uid="{00000000-0005-0000-0000-0000824C0000}"/>
    <cellStyle name="Normal 231 2 4 2 2" xfId="19587" xr:uid="{00000000-0005-0000-0000-0000834C0000}"/>
    <cellStyle name="Normal 231 2 4 3" xfId="19588" xr:uid="{00000000-0005-0000-0000-0000844C0000}"/>
    <cellStyle name="Normal 231 2 5" xfId="19589" xr:uid="{00000000-0005-0000-0000-0000854C0000}"/>
    <cellStyle name="Normal 231 2 5 2" xfId="19590" xr:uid="{00000000-0005-0000-0000-0000864C0000}"/>
    <cellStyle name="Normal 231 2 5 2 2" xfId="19591" xr:uid="{00000000-0005-0000-0000-0000874C0000}"/>
    <cellStyle name="Normal 231 2 5 3" xfId="19592" xr:uid="{00000000-0005-0000-0000-0000884C0000}"/>
    <cellStyle name="Normal 231 2 6" xfId="19593" xr:uid="{00000000-0005-0000-0000-0000894C0000}"/>
    <cellStyle name="Normal 231 2 6 2" xfId="19594" xr:uid="{00000000-0005-0000-0000-00008A4C0000}"/>
    <cellStyle name="Normal 231 2 6 2 2" xfId="19595" xr:uid="{00000000-0005-0000-0000-00008B4C0000}"/>
    <cellStyle name="Normal 231 2 6 3" xfId="19596" xr:uid="{00000000-0005-0000-0000-00008C4C0000}"/>
    <cellStyle name="Normal 231 2 7" xfId="19597" xr:uid="{00000000-0005-0000-0000-00008D4C0000}"/>
    <cellStyle name="Normal 231 3" xfId="19598" xr:uid="{00000000-0005-0000-0000-00008E4C0000}"/>
    <cellStyle name="Normal 231 3 2" xfId="19599" xr:uid="{00000000-0005-0000-0000-00008F4C0000}"/>
    <cellStyle name="Normal 231 3 2 2" xfId="19600" xr:uid="{00000000-0005-0000-0000-0000904C0000}"/>
    <cellStyle name="Normal 231 3 3" xfId="19601" xr:uid="{00000000-0005-0000-0000-0000914C0000}"/>
    <cellStyle name="Normal 231 3 3 2" xfId="19602" xr:uid="{00000000-0005-0000-0000-0000924C0000}"/>
    <cellStyle name="Normal 231 3 3 2 2" xfId="19603" xr:uid="{00000000-0005-0000-0000-0000934C0000}"/>
    <cellStyle name="Normal 231 3 3 3" xfId="19604" xr:uid="{00000000-0005-0000-0000-0000944C0000}"/>
    <cellStyle name="Normal 231 3 4" xfId="19605" xr:uid="{00000000-0005-0000-0000-0000954C0000}"/>
    <cellStyle name="Normal 231 3 4 2" xfId="19606" xr:uid="{00000000-0005-0000-0000-0000964C0000}"/>
    <cellStyle name="Normal 231 3 4 2 2" xfId="19607" xr:uid="{00000000-0005-0000-0000-0000974C0000}"/>
    <cellStyle name="Normal 231 3 4 3" xfId="19608" xr:uid="{00000000-0005-0000-0000-0000984C0000}"/>
    <cellStyle name="Normal 231 3 5" xfId="19609" xr:uid="{00000000-0005-0000-0000-0000994C0000}"/>
    <cellStyle name="Normal 231 4" xfId="19610" xr:uid="{00000000-0005-0000-0000-00009A4C0000}"/>
    <cellStyle name="Normal 231 4 2" xfId="19611" xr:uid="{00000000-0005-0000-0000-00009B4C0000}"/>
    <cellStyle name="Normal 231 4 2 2" xfId="19612" xr:uid="{00000000-0005-0000-0000-00009C4C0000}"/>
    <cellStyle name="Normal 231 4 2 2 2" xfId="19613" xr:uid="{00000000-0005-0000-0000-00009D4C0000}"/>
    <cellStyle name="Normal 231 4 2 3" xfId="19614" xr:uid="{00000000-0005-0000-0000-00009E4C0000}"/>
    <cellStyle name="Normal 231 4 2 3 2" xfId="19615" xr:uid="{00000000-0005-0000-0000-00009F4C0000}"/>
    <cellStyle name="Normal 231 4 2 3 2 2" xfId="19616" xr:uid="{00000000-0005-0000-0000-0000A04C0000}"/>
    <cellStyle name="Normal 231 4 2 3 3" xfId="19617" xr:uid="{00000000-0005-0000-0000-0000A14C0000}"/>
    <cellStyle name="Normal 231 4 2 4" xfId="19618" xr:uid="{00000000-0005-0000-0000-0000A24C0000}"/>
    <cellStyle name="Normal 231 4 3" xfId="19619" xr:uid="{00000000-0005-0000-0000-0000A34C0000}"/>
    <cellStyle name="Normal 231 4 3 2" xfId="19620" xr:uid="{00000000-0005-0000-0000-0000A44C0000}"/>
    <cellStyle name="Normal 231 4 3 2 2" xfId="19621" xr:uid="{00000000-0005-0000-0000-0000A54C0000}"/>
    <cellStyle name="Normal 231 4 3 3" xfId="19622" xr:uid="{00000000-0005-0000-0000-0000A64C0000}"/>
    <cellStyle name="Normal 231 4 4" xfId="19623" xr:uid="{00000000-0005-0000-0000-0000A74C0000}"/>
    <cellStyle name="Normal 231 4 4 2" xfId="19624" xr:uid="{00000000-0005-0000-0000-0000A84C0000}"/>
    <cellStyle name="Normal 231 4 4 2 2" xfId="19625" xr:uid="{00000000-0005-0000-0000-0000A94C0000}"/>
    <cellStyle name="Normal 231 4 4 3" xfId="19626" xr:uid="{00000000-0005-0000-0000-0000AA4C0000}"/>
    <cellStyle name="Normal 231 4 5" xfId="19627" xr:uid="{00000000-0005-0000-0000-0000AB4C0000}"/>
    <cellStyle name="Normal 231 4 5 2" xfId="19628" xr:uid="{00000000-0005-0000-0000-0000AC4C0000}"/>
    <cellStyle name="Normal 231 4 5 2 2" xfId="19629" xr:uid="{00000000-0005-0000-0000-0000AD4C0000}"/>
    <cellStyle name="Normal 231 4 5 3" xfId="19630" xr:uid="{00000000-0005-0000-0000-0000AE4C0000}"/>
    <cellStyle name="Normal 231 4 6" xfId="19631" xr:uid="{00000000-0005-0000-0000-0000AF4C0000}"/>
    <cellStyle name="Normal 231 5" xfId="19632" xr:uid="{00000000-0005-0000-0000-0000B04C0000}"/>
    <cellStyle name="Normal 231 5 2" xfId="19633" xr:uid="{00000000-0005-0000-0000-0000B14C0000}"/>
    <cellStyle name="Normal 231 5 2 2" xfId="19634" xr:uid="{00000000-0005-0000-0000-0000B24C0000}"/>
    <cellStyle name="Normal 231 5 3" xfId="19635" xr:uid="{00000000-0005-0000-0000-0000B34C0000}"/>
    <cellStyle name="Normal 231 6" xfId="19636" xr:uid="{00000000-0005-0000-0000-0000B44C0000}"/>
    <cellStyle name="Normal 231 6 2" xfId="19637" xr:uid="{00000000-0005-0000-0000-0000B54C0000}"/>
    <cellStyle name="Normal 231 6 2 2" xfId="19638" xr:uid="{00000000-0005-0000-0000-0000B64C0000}"/>
    <cellStyle name="Normal 231 6 3" xfId="19639" xr:uid="{00000000-0005-0000-0000-0000B74C0000}"/>
    <cellStyle name="Normal 231 7" xfId="19640" xr:uid="{00000000-0005-0000-0000-0000B84C0000}"/>
    <cellStyle name="Normal 231 7 2" xfId="19641" xr:uid="{00000000-0005-0000-0000-0000B94C0000}"/>
    <cellStyle name="Normal 231 7 2 2" xfId="19642" xr:uid="{00000000-0005-0000-0000-0000BA4C0000}"/>
    <cellStyle name="Normal 231 7 3" xfId="19643" xr:uid="{00000000-0005-0000-0000-0000BB4C0000}"/>
    <cellStyle name="Normal 231 8" xfId="19644" xr:uid="{00000000-0005-0000-0000-0000BC4C0000}"/>
    <cellStyle name="Normal 232" xfId="19645" xr:uid="{00000000-0005-0000-0000-0000BD4C0000}"/>
    <cellStyle name="Normal 232 2" xfId="19646" xr:uid="{00000000-0005-0000-0000-0000BE4C0000}"/>
    <cellStyle name="Normal 232 2 2" xfId="19647" xr:uid="{00000000-0005-0000-0000-0000BF4C0000}"/>
    <cellStyle name="Normal 232 2 2 2" xfId="19648" xr:uid="{00000000-0005-0000-0000-0000C04C0000}"/>
    <cellStyle name="Normal 232 2 2 2 2" xfId="19649" xr:uid="{00000000-0005-0000-0000-0000C14C0000}"/>
    <cellStyle name="Normal 232 2 2 3" xfId="19650" xr:uid="{00000000-0005-0000-0000-0000C24C0000}"/>
    <cellStyle name="Normal 232 2 2 3 2" xfId="19651" xr:uid="{00000000-0005-0000-0000-0000C34C0000}"/>
    <cellStyle name="Normal 232 2 2 3 2 2" xfId="19652" xr:uid="{00000000-0005-0000-0000-0000C44C0000}"/>
    <cellStyle name="Normal 232 2 2 3 3" xfId="19653" xr:uid="{00000000-0005-0000-0000-0000C54C0000}"/>
    <cellStyle name="Normal 232 2 2 4" xfId="19654" xr:uid="{00000000-0005-0000-0000-0000C64C0000}"/>
    <cellStyle name="Normal 232 2 2 4 2" xfId="19655" xr:uid="{00000000-0005-0000-0000-0000C74C0000}"/>
    <cellStyle name="Normal 232 2 2 4 2 2" xfId="19656" xr:uid="{00000000-0005-0000-0000-0000C84C0000}"/>
    <cellStyle name="Normal 232 2 2 4 3" xfId="19657" xr:uid="{00000000-0005-0000-0000-0000C94C0000}"/>
    <cellStyle name="Normal 232 2 2 5" xfId="19658" xr:uid="{00000000-0005-0000-0000-0000CA4C0000}"/>
    <cellStyle name="Normal 232 2 3" xfId="19659" xr:uid="{00000000-0005-0000-0000-0000CB4C0000}"/>
    <cellStyle name="Normal 232 2 3 2" xfId="19660" xr:uid="{00000000-0005-0000-0000-0000CC4C0000}"/>
    <cellStyle name="Normal 232 2 3 2 2" xfId="19661" xr:uid="{00000000-0005-0000-0000-0000CD4C0000}"/>
    <cellStyle name="Normal 232 2 3 2 2 2" xfId="19662" xr:uid="{00000000-0005-0000-0000-0000CE4C0000}"/>
    <cellStyle name="Normal 232 2 3 2 3" xfId="19663" xr:uid="{00000000-0005-0000-0000-0000CF4C0000}"/>
    <cellStyle name="Normal 232 2 3 2 3 2" xfId="19664" xr:uid="{00000000-0005-0000-0000-0000D04C0000}"/>
    <cellStyle name="Normal 232 2 3 2 3 2 2" xfId="19665" xr:uid="{00000000-0005-0000-0000-0000D14C0000}"/>
    <cellStyle name="Normal 232 2 3 2 3 3" xfId="19666" xr:uid="{00000000-0005-0000-0000-0000D24C0000}"/>
    <cellStyle name="Normal 232 2 3 2 4" xfId="19667" xr:uid="{00000000-0005-0000-0000-0000D34C0000}"/>
    <cellStyle name="Normal 232 2 3 3" xfId="19668" xr:uid="{00000000-0005-0000-0000-0000D44C0000}"/>
    <cellStyle name="Normal 232 2 3 3 2" xfId="19669" xr:uid="{00000000-0005-0000-0000-0000D54C0000}"/>
    <cellStyle name="Normal 232 2 3 3 2 2" xfId="19670" xr:uid="{00000000-0005-0000-0000-0000D64C0000}"/>
    <cellStyle name="Normal 232 2 3 3 3" xfId="19671" xr:uid="{00000000-0005-0000-0000-0000D74C0000}"/>
    <cellStyle name="Normal 232 2 3 4" xfId="19672" xr:uid="{00000000-0005-0000-0000-0000D84C0000}"/>
    <cellStyle name="Normal 232 2 3 4 2" xfId="19673" xr:uid="{00000000-0005-0000-0000-0000D94C0000}"/>
    <cellStyle name="Normal 232 2 3 4 2 2" xfId="19674" xr:uid="{00000000-0005-0000-0000-0000DA4C0000}"/>
    <cellStyle name="Normal 232 2 3 4 3" xfId="19675" xr:uid="{00000000-0005-0000-0000-0000DB4C0000}"/>
    <cellStyle name="Normal 232 2 3 5" xfId="19676" xr:uid="{00000000-0005-0000-0000-0000DC4C0000}"/>
    <cellStyle name="Normal 232 2 3 5 2" xfId="19677" xr:uid="{00000000-0005-0000-0000-0000DD4C0000}"/>
    <cellStyle name="Normal 232 2 3 5 2 2" xfId="19678" xr:uid="{00000000-0005-0000-0000-0000DE4C0000}"/>
    <cellStyle name="Normal 232 2 3 5 3" xfId="19679" xr:uid="{00000000-0005-0000-0000-0000DF4C0000}"/>
    <cellStyle name="Normal 232 2 3 6" xfId="19680" xr:uid="{00000000-0005-0000-0000-0000E04C0000}"/>
    <cellStyle name="Normal 232 2 4" xfId="19681" xr:uid="{00000000-0005-0000-0000-0000E14C0000}"/>
    <cellStyle name="Normal 232 2 4 2" xfId="19682" xr:uid="{00000000-0005-0000-0000-0000E24C0000}"/>
    <cellStyle name="Normal 232 2 4 2 2" xfId="19683" xr:uid="{00000000-0005-0000-0000-0000E34C0000}"/>
    <cellStyle name="Normal 232 2 4 3" xfId="19684" xr:uid="{00000000-0005-0000-0000-0000E44C0000}"/>
    <cellStyle name="Normal 232 2 5" xfId="19685" xr:uid="{00000000-0005-0000-0000-0000E54C0000}"/>
    <cellStyle name="Normal 232 2 5 2" xfId="19686" xr:uid="{00000000-0005-0000-0000-0000E64C0000}"/>
    <cellStyle name="Normal 232 2 5 2 2" xfId="19687" xr:uid="{00000000-0005-0000-0000-0000E74C0000}"/>
    <cellStyle name="Normal 232 2 5 3" xfId="19688" xr:uid="{00000000-0005-0000-0000-0000E84C0000}"/>
    <cellStyle name="Normal 232 2 6" xfId="19689" xr:uid="{00000000-0005-0000-0000-0000E94C0000}"/>
    <cellStyle name="Normal 232 2 6 2" xfId="19690" xr:uid="{00000000-0005-0000-0000-0000EA4C0000}"/>
    <cellStyle name="Normal 232 2 6 2 2" xfId="19691" xr:uid="{00000000-0005-0000-0000-0000EB4C0000}"/>
    <cellStyle name="Normal 232 2 6 3" xfId="19692" xr:uid="{00000000-0005-0000-0000-0000EC4C0000}"/>
    <cellStyle name="Normal 232 2 7" xfId="19693" xr:uid="{00000000-0005-0000-0000-0000ED4C0000}"/>
    <cellStyle name="Normal 232 3" xfId="19694" xr:uid="{00000000-0005-0000-0000-0000EE4C0000}"/>
    <cellStyle name="Normal 232 3 2" xfId="19695" xr:uid="{00000000-0005-0000-0000-0000EF4C0000}"/>
    <cellStyle name="Normal 232 3 2 2" xfId="19696" xr:uid="{00000000-0005-0000-0000-0000F04C0000}"/>
    <cellStyle name="Normal 232 3 3" xfId="19697" xr:uid="{00000000-0005-0000-0000-0000F14C0000}"/>
    <cellStyle name="Normal 232 3 3 2" xfId="19698" xr:uid="{00000000-0005-0000-0000-0000F24C0000}"/>
    <cellStyle name="Normal 232 3 3 2 2" xfId="19699" xr:uid="{00000000-0005-0000-0000-0000F34C0000}"/>
    <cellStyle name="Normal 232 3 3 3" xfId="19700" xr:uid="{00000000-0005-0000-0000-0000F44C0000}"/>
    <cellStyle name="Normal 232 3 4" xfId="19701" xr:uid="{00000000-0005-0000-0000-0000F54C0000}"/>
    <cellStyle name="Normal 232 3 4 2" xfId="19702" xr:uid="{00000000-0005-0000-0000-0000F64C0000}"/>
    <cellStyle name="Normal 232 3 4 2 2" xfId="19703" xr:uid="{00000000-0005-0000-0000-0000F74C0000}"/>
    <cellStyle name="Normal 232 3 4 3" xfId="19704" xr:uid="{00000000-0005-0000-0000-0000F84C0000}"/>
    <cellStyle name="Normal 232 3 5" xfId="19705" xr:uid="{00000000-0005-0000-0000-0000F94C0000}"/>
    <cellStyle name="Normal 232 4" xfId="19706" xr:uid="{00000000-0005-0000-0000-0000FA4C0000}"/>
    <cellStyle name="Normal 232 4 2" xfId="19707" xr:uid="{00000000-0005-0000-0000-0000FB4C0000}"/>
    <cellStyle name="Normal 232 4 2 2" xfId="19708" xr:uid="{00000000-0005-0000-0000-0000FC4C0000}"/>
    <cellStyle name="Normal 232 4 2 2 2" xfId="19709" xr:uid="{00000000-0005-0000-0000-0000FD4C0000}"/>
    <cellStyle name="Normal 232 4 2 3" xfId="19710" xr:uid="{00000000-0005-0000-0000-0000FE4C0000}"/>
    <cellStyle name="Normal 232 4 2 3 2" xfId="19711" xr:uid="{00000000-0005-0000-0000-0000FF4C0000}"/>
    <cellStyle name="Normal 232 4 2 3 2 2" xfId="19712" xr:uid="{00000000-0005-0000-0000-0000004D0000}"/>
    <cellStyle name="Normal 232 4 2 3 3" xfId="19713" xr:uid="{00000000-0005-0000-0000-0000014D0000}"/>
    <cellStyle name="Normal 232 4 2 4" xfId="19714" xr:uid="{00000000-0005-0000-0000-0000024D0000}"/>
    <cellStyle name="Normal 232 4 3" xfId="19715" xr:uid="{00000000-0005-0000-0000-0000034D0000}"/>
    <cellStyle name="Normal 232 4 3 2" xfId="19716" xr:uid="{00000000-0005-0000-0000-0000044D0000}"/>
    <cellStyle name="Normal 232 4 3 2 2" xfId="19717" xr:uid="{00000000-0005-0000-0000-0000054D0000}"/>
    <cellStyle name="Normal 232 4 3 3" xfId="19718" xr:uid="{00000000-0005-0000-0000-0000064D0000}"/>
    <cellStyle name="Normal 232 4 4" xfId="19719" xr:uid="{00000000-0005-0000-0000-0000074D0000}"/>
    <cellStyle name="Normal 232 4 4 2" xfId="19720" xr:uid="{00000000-0005-0000-0000-0000084D0000}"/>
    <cellStyle name="Normal 232 4 4 2 2" xfId="19721" xr:uid="{00000000-0005-0000-0000-0000094D0000}"/>
    <cellStyle name="Normal 232 4 4 3" xfId="19722" xr:uid="{00000000-0005-0000-0000-00000A4D0000}"/>
    <cellStyle name="Normal 232 4 5" xfId="19723" xr:uid="{00000000-0005-0000-0000-00000B4D0000}"/>
    <cellStyle name="Normal 232 4 5 2" xfId="19724" xr:uid="{00000000-0005-0000-0000-00000C4D0000}"/>
    <cellStyle name="Normal 232 4 5 2 2" xfId="19725" xr:uid="{00000000-0005-0000-0000-00000D4D0000}"/>
    <cellStyle name="Normal 232 4 5 3" xfId="19726" xr:uid="{00000000-0005-0000-0000-00000E4D0000}"/>
    <cellStyle name="Normal 232 4 6" xfId="19727" xr:uid="{00000000-0005-0000-0000-00000F4D0000}"/>
    <cellStyle name="Normal 232 5" xfId="19728" xr:uid="{00000000-0005-0000-0000-0000104D0000}"/>
    <cellStyle name="Normal 232 5 2" xfId="19729" xr:uid="{00000000-0005-0000-0000-0000114D0000}"/>
    <cellStyle name="Normal 232 5 2 2" xfId="19730" xr:uid="{00000000-0005-0000-0000-0000124D0000}"/>
    <cellStyle name="Normal 232 5 3" xfId="19731" xr:uid="{00000000-0005-0000-0000-0000134D0000}"/>
    <cellStyle name="Normal 232 6" xfId="19732" xr:uid="{00000000-0005-0000-0000-0000144D0000}"/>
    <cellStyle name="Normal 232 6 2" xfId="19733" xr:uid="{00000000-0005-0000-0000-0000154D0000}"/>
    <cellStyle name="Normal 232 6 2 2" xfId="19734" xr:uid="{00000000-0005-0000-0000-0000164D0000}"/>
    <cellStyle name="Normal 232 6 3" xfId="19735" xr:uid="{00000000-0005-0000-0000-0000174D0000}"/>
    <cellStyle name="Normal 232 7" xfId="19736" xr:uid="{00000000-0005-0000-0000-0000184D0000}"/>
    <cellStyle name="Normal 232 7 2" xfId="19737" xr:uid="{00000000-0005-0000-0000-0000194D0000}"/>
    <cellStyle name="Normal 232 7 2 2" xfId="19738" xr:uid="{00000000-0005-0000-0000-00001A4D0000}"/>
    <cellStyle name="Normal 232 7 3" xfId="19739" xr:uid="{00000000-0005-0000-0000-00001B4D0000}"/>
    <cellStyle name="Normal 232 8" xfId="19740" xr:uid="{00000000-0005-0000-0000-00001C4D0000}"/>
    <cellStyle name="Normal 233" xfId="19741" xr:uid="{00000000-0005-0000-0000-00001D4D0000}"/>
    <cellStyle name="Normal 233 2" xfId="19742" xr:uid="{00000000-0005-0000-0000-00001E4D0000}"/>
    <cellStyle name="Normal 233 2 2" xfId="19743" xr:uid="{00000000-0005-0000-0000-00001F4D0000}"/>
    <cellStyle name="Normal 233 2 2 2" xfId="19744" xr:uid="{00000000-0005-0000-0000-0000204D0000}"/>
    <cellStyle name="Normal 233 2 2 2 2" xfId="19745" xr:uid="{00000000-0005-0000-0000-0000214D0000}"/>
    <cellStyle name="Normal 233 2 2 3" xfId="19746" xr:uid="{00000000-0005-0000-0000-0000224D0000}"/>
    <cellStyle name="Normal 233 2 2 3 2" xfId="19747" xr:uid="{00000000-0005-0000-0000-0000234D0000}"/>
    <cellStyle name="Normal 233 2 2 3 2 2" xfId="19748" xr:uid="{00000000-0005-0000-0000-0000244D0000}"/>
    <cellStyle name="Normal 233 2 2 3 3" xfId="19749" xr:uid="{00000000-0005-0000-0000-0000254D0000}"/>
    <cellStyle name="Normal 233 2 2 4" xfId="19750" xr:uid="{00000000-0005-0000-0000-0000264D0000}"/>
    <cellStyle name="Normal 233 2 2 4 2" xfId="19751" xr:uid="{00000000-0005-0000-0000-0000274D0000}"/>
    <cellStyle name="Normal 233 2 2 4 2 2" xfId="19752" xr:uid="{00000000-0005-0000-0000-0000284D0000}"/>
    <cellStyle name="Normal 233 2 2 4 3" xfId="19753" xr:uid="{00000000-0005-0000-0000-0000294D0000}"/>
    <cellStyle name="Normal 233 2 2 5" xfId="19754" xr:uid="{00000000-0005-0000-0000-00002A4D0000}"/>
    <cellStyle name="Normal 233 2 3" xfId="19755" xr:uid="{00000000-0005-0000-0000-00002B4D0000}"/>
    <cellStyle name="Normal 233 2 3 2" xfId="19756" xr:uid="{00000000-0005-0000-0000-00002C4D0000}"/>
    <cellStyle name="Normal 233 2 3 2 2" xfId="19757" xr:uid="{00000000-0005-0000-0000-00002D4D0000}"/>
    <cellStyle name="Normal 233 2 3 2 2 2" xfId="19758" xr:uid="{00000000-0005-0000-0000-00002E4D0000}"/>
    <cellStyle name="Normal 233 2 3 2 3" xfId="19759" xr:uid="{00000000-0005-0000-0000-00002F4D0000}"/>
    <cellStyle name="Normal 233 2 3 2 3 2" xfId="19760" xr:uid="{00000000-0005-0000-0000-0000304D0000}"/>
    <cellStyle name="Normal 233 2 3 2 3 2 2" xfId="19761" xr:uid="{00000000-0005-0000-0000-0000314D0000}"/>
    <cellStyle name="Normal 233 2 3 2 3 3" xfId="19762" xr:uid="{00000000-0005-0000-0000-0000324D0000}"/>
    <cellStyle name="Normal 233 2 3 2 4" xfId="19763" xr:uid="{00000000-0005-0000-0000-0000334D0000}"/>
    <cellStyle name="Normal 233 2 3 3" xfId="19764" xr:uid="{00000000-0005-0000-0000-0000344D0000}"/>
    <cellStyle name="Normal 233 2 3 3 2" xfId="19765" xr:uid="{00000000-0005-0000-0000-0000354D0000}"/>
    <cellStyle name="Normal 233 2 3 3 2 2" xfId="19766" xr:uid="{00000000-0005-0000-0000-0000364D0000}"/>
    <cellStyle name="Normal 233 2 3 3 3" xfId="19767" xr:uid="{00000000-0005-0000-0000-0000374D0000}"/>
    <cellStyle name="Normal 233 2 3 4" xfId="19768" xr:uid="{00000000-0005-0000-0000-0000384D0000}"/>
    <cellStyle name="Normal 233 2 3 4 2" xfId="19769" xr:uid="{00000000-0005-0000-0000-0000394D0000}"/>
    <cellStyle name="Normal 233 2 3 4 2 2" xfId="19770" xr:uid="{00000000-0005-0000-0000-00003A4D0000}"/>
    <cellStyle name="Normal 233 2 3 4 3" xfId="19771" xr:uid="{00000000-0005-0000-0000-00003B4D0000}"/>
    <cellStyle name="Normal 233 2 3 5" xfId="19772" xr:uid="{00000000-0005-0000-0000-00003C4D0000}"/>
    <cellStyle name="Normal 233 2 3 5 2" xfId="19773" xr:uid="{00000000-0005-0000-0000-00003D4D0000}"/>
    <cellStyle name="Normal 233 2 3 5 2 2" xfId="19774" xr:uid="{00000000-0005-0000-0000-00003E4D0000}"/>
    <cellStyle name="Normal 233 2 3 5 3" xfId="19775" xr:uid="{00000000-0005-0000-0000-00003F4D0000}"/>
    <cellStyle name="Normal 233 2 3 6" xfId="19776" xr:uid="{00000000-0005-0000-0000-0000404D0000}"/>
    <cellStyle name="Normal 233 2 4" xfId="19777" xr:uid="{00000000-0005-0000-0000-0000414D0000}"/>
    <cellStyle name="Normal 233 2 4 2" xfId="19778" xr:uid="{00000000-0005-0000-0000-0000424D0000}"/>
    <cellStyle name="Normal 233 2 4 2 2" xfId="19779" xr:uid="{00000000-0005-0000-0000-0000434D0000}"/>
    <cellStyle name="Normal 233 2 4 3" xfId="19780" xr:uid="{00000000-0005-0000-0000-0000444D0000}"/>
    <cellStyle name="Normal 233 2 5" xfId="19781" xr:uid="{00000000-0005-0000-0000-0000454D0000}"/>
    <cellStyle name="Normal 233 2 5 2" xfId="19782" xr:uid="{00000000-0005-0000-0000-0000464D0000}"/>
    <cellStyle name="Normal 233 2 5 2 2" xfId="19783" xr:uid="{00000000-0005-0000-0000-0000474D0000}"/>
    <cellStyle name="Normal 233 2 5 3" xfId="19784" xr:uid="{00000000-0005-0000-0000-0000484D0000}"/>
    <cellStyle name="Normal 233 2 6" xfId="19785" xr:uid="{00000000-0005-0000-0000-0000494D0000}"/>
    <cellStyle name="Normal 233 2 6 2" xfId="19786" xr:uid="{00000000-0005-0000-0000-00004A4D0000}"/>
    <cellStyle name="Normal 233 2 6 2 2" xfId="19787" xr:uid="{00000000-0005-0000-0000-00004B4D0000}"/>
    <cellStyle name="Normal 233 2 6 3" xfId="19788" xr:uid="{00000000-0005-0000-0000-00004C4D0000}"/>
    <cellStyle name="Normal 233 2 7" xfId="19789" xr:uid="{00000000-0005-0000-0000-00004D4D0000}"/>
    <cellStyle name="Normal 233 3" xfId="19790" xr:uid="{00000000-0005-0000-0000-00004E4D0000}"/>
    <cellStyle name="Normal 233 3 2" xfId="19791" xr:uid="{00000000-0005-0000-0000-00004F4D0000}"/>
    <cellStyle name="Normal 233 3 2 2" xfId="19792" xr:uid="{00000000-0005-0000-0000-0000504D0000}"/>
    <cellStyle name="Normal 233 3 3" xfId="19793" xr:uid="{00000000-0005-0000-0000-0000514D0000}"/>
    <cellStyle name="Normal 233 3 3 2" xfId="19794" xr:uid="{00000000-0005-0000-0000-0000524D0000}"/>
    <cellStyle name="Normal 233 3 3 2 2" xfId="19795" xr:uid="{00000000-0005-0000-0000-0000534D0000}"/>
    <cellStyle name="Normal 233 3 3 3" xfId="19796" xr:uid="{00000000-0005-0000-0000-0000544D0000}"/>
    <cellStyle name="Normal 233 3 4" xfId="19797" xr:uid="{00000000-0005-0000-0000-0000554D0000}"/>
    <cellStyle name="Normal 233 3 4 2" xfId="19798" xr:uid="{00000000-0005-0000-0000-0000564D0000}"/>
    <cellStyle name="Normal 233 3 4 2 2" xfId="19799" xr:uid="{00000000-0005-0000-0000-0000574D0000}"/>
    <cellStyle name="Normal 233 3 4 3" xfId="19800" xr:uid="{00000000-0005-0000-0000-0000584D0000}"/>
    <cellStyle name="Normal 233 3 5" xfId="19801" xr:uid="{00000000-0005-0000-0000-0000594D0000}"/>
    <cellStyle name="Normal 233 4" xfId="19802" xr:uid="{00000000-0005-0000-0000-00005A4D0000}"/>
    <cellStyle name="Normal 233 4 2" xfId="19803" xr:uid="{00000000-0005-0000-0000-00005B4D0000}"/>
    <cellStyle name="Normal 233 4 2 2" xfId="19804" xr:uid="{00000000-0005-0000-0000-00005C4D0000}"/>
    <cellStyle name="Normal 233 4 2 2 2" xfId="19805" xr:uid="{00000000-0005-0000-0000-00005D4D0000}"/>
    <cellStyle name="Normal 233 4 2 3" xfId="19806" xr:uid="{00000000-0005-0000-0000-00005E4D0000}"/>
    <cellStyle name="Normal 233 4 2 3 2" xfId="19807" xr:uid="{00000000-0005-0000-0000-00005F4D0000}"/>
    <cellStyle name="Normal 233 4 2 3 2 2" xfId="19808" xr:uid="{00000000-0005-0000-0000-0000604D0000}"/>
    <cellStyle name="Normal 233 4 2 3 3" xfId="19809" xr:uid="{00000000-0005-0000-0000-0000614D0000}"/>
    <cellStyle name="Normal 233 4 2 4" xfId="19810" xr:uid="{00000000-0005-0000-0000-0000624D0000}"/>
    <cellStyle name="Normal 233 4 3" xfId="19811" xr:uid="{00000000-0005-0000-0000-0000634D0000}"/>
    <cellStyle name="Normal 233 4 3 2" xfId="19812" xr:uid="{00000000-0005-0000-0000-0000644D0000}"/>
    <cellStyle name="Normal 233 4 3 2 2" xfId="19813" xr:uid="{00000000-0005-0000-0000-0000654D0000}"/>
    <cellStyle name="Normal 233 4 3 3" xfId="19814" xr:uid="{00000000-0005-0000-0000-0000664D0000}"/>
    <cellStyle name="Normal 233 4 4" xfId="19815" xr:uid="{00000000-0005-0000-0000-0000674D0000}"/>
    <cellStyle name="Normal 233 4 4 2" xfId="19816" xr:uid="{00000000-0005-0000-0000-0000684D0000}"/>
    <cellStyle name="Normal 233 4 4 2 2" xfId="19817" xr:uid="{00000000-0005-0000-0000-0000694D0000}"/>
    <cellStyle name="Normal 233 4 4 3" xfId="19818" xr:uid="{00000000-0005-0000-0000-00006A4D0000}"/>
    <cellStyle name="Normal 233 4 5" xfId="19819" xr:uid="{00000000-0005-0000-0000-00006B4D0000}"/>
    <cellStyle name="Normal 233 4 5 2" xfId="19820" xr:uid="{00000000-0005-0000-0000-00006C4D0000}"/>
    <cellStyle name="Normal 233 4 5 2 2" xfId="19821" xr:uid="{00000000-0005-0000-0000-00006D4D0000}"/>
    <cellStyle name="Normal 233 4 5 3" xfId="19822" xr:uid="{00000000-0005-0000-0000-00006E4D0000}"/>
    <cellStyle name="Normal 233 4 6" xfId="19823" xr:uid="{00000000-0005-0000-0000-00006F4D0000}"/>
    <cellStyle name="Normal 233 5" xfId="19824" xr:uid="{00000000-0005-0000-0000-0000704D0000}"/>
    <cellStyle name="Normal 233 5 2" xfId="19825" xr:uid="{00000000-0005-0000-0000-0000714D0000}"/>
    <cellStyle name="Normal 233 5 2 2" xfId="19826" xr:uid="{00000000-0005-0000-0000-0000724D0000}"/>
    <cellStyle name="Normal 233 5 3" xfId="19827" xr:uid="{00000000-0005-0000-0000-0000734D0000}"/>
    <cellStyle name="Normal 233 6" xfId="19828" xr:uid="{00000000-0005-0000-0000-0000744D0000}"/>
    <cellStyle name="Normal 233 6 2" xfId="19829" xr:uid="{00000000-0005-0000-0000-0000754D0000}"/>
    <cellStyle name="Normal 233 6 2 2" xfId="19830" xr:uid="{00000000-0005-0000-0000-0000764D0000}"/>
    <cellStyle name="Normal 233 6 3" xfId="19831" xr:uid="{00000000-0005-0000-0000-0000774D0000}"/>
    <cellStyle name="Normal 233 7" xfId="19832" xr:uid="{00000000-0005-0000-0000-0000784D0000}"/>
    <cellStyle name="Normal 233 7 2" xfId="19833" xr:uid="{00000000-0005-0000-0000-0000794D0000}"/>
    <cellStyle name="Normal 233 7 2 2" xfId="19834" xr:uid="{00000000-0005-0000-0000-00007A4D0000}"/>
    <cellStyle name="Normal 233 7 3" xfId="19835" xr:uid="{00000000-0005-0000-0000-00007B4D0000}"/>
    <cellStyle name="Normal 233 8" xfId="19836" xr:uid="{00000000-0005-0000-0000-00007C4D0000}"/>
    <cellStyle name="Normal 234" xfId="19837" xr:uid="{00000000-0005-0000-0000-00007D4D0000}"/>
    <cellStyle name="Normal 234 2" xfId="19838" xr:uid="{00000000-0005-0000-0000-00007E4D0000}"/>
    <cellStyle name="Normal 234 2 2" xfId="19839" xr:uid="{00000000-0005-0000-0000-00007F4D0000}"/>
    <cellStyle name="Normal 234 2 2 2" xfId="19840" xr:uid="{00000000-0005-0000-0000-0000804D0000}"/>
    <cellStyle name="Normal 234 2 2 2 2" xfId="19841" xr:uid="{00000000-0005-0000-0000-0000814D0000}"/>
    <cellStyle name="Normal 234 2 2 3" xfId="19842" xr:uid="{00000000-0005-0000-0000-0000824D0000}"/>
    <cellStyle name="Normal 234 2 2 3 2" xfId="19843" xr:uid="{00000000-0005-0000-0000-0000834D0000}"/>
    <cellStyle name="Normal 234 2 2 3 2 2" xfId="19844" xr:uid="{00000000-0005-0000-0000-0000844D0000}"/>
    <cellStyle name="Normal 234 2 2 3 3" xfId="19845" xr:uid="{00000000-0005-0000-0000-0000854D0000}"/>
    <cellStyle name="Normal 234 2 2 4" xfId="19846" xr:uid="{00000000-0005-0000-0000-0000864D0000}"/>
    <cellStyle name="Normal 234 2 2 4 2" xfId="19847" xr:uid="{00000000-0005-0000-0000-0000874D0000}"/>
    <cellStyle name="Normal 234 2 2 4 2 2" xfId="19848" xr:uid="{00000000-0005-0000-0000-0000884D0000}"/>
    <cellStyle name="Normal 234 2 2 4 3" xfId="19849" xr:uid="{00000000-0005-0000-0000-0000894D0000}"/>
    <cellStyle name="Normal 234 2 2 5" xfId="19850" xr:uid="{00000000-0005-0000-0000-00008A4D0000}"/>
    <cellStyle name="Normal 234 2 3" xfId="19851" xr:uid="{00000000-0005-0000-0000-00008B4D0000}"/>
    <cellStyle name="Normal 234 2 3 2" xfId="19852" xr:uid="{00000000-0005-0000-0000-00008C4D0000}"/>
    <cellStyle name="Normal 234 2 3 2 2" xfId="19853" xr:uid="{00000000-0005-0000-0000-00008D4D0000}"/>
    <cellStyle name="Normal 234 2 3 2 2 2" xfId="19854" xr:uid="{00000000-0005-0000-0000-00008E4D0000}"/>
    <cellStyle name="Normal 234 2 3 2 3" xfId="19855" xr:uid="{00000000-0005-0000-0000-00008F4D0000}"/>
    <cellStyle name="Normal 234 2 3 2 3 2" xfId="19856" xr:uid="{00000000-0005-0000-0000-0000904D0000}"/>
    <cellStyle name="Normal 234 2 3 2 3 2 2" xfId="19857" xr:uid="{00000000-0005-0000-0000-0000914D0000}"/>
    <cellStyle name="Normal 234 2 3 2 3 3" xfId="19858" xr:uid="{00000000-0005-0000-0000-0000924D0000}"/>
    <cellStyle name="Normal 234 2 3 2 4" xfId="19859" xr:uid="{00000000-0005-0000-0000-0000934D0000}"/>
    <cellStyle name="Normal 234 2 3 3" xfId="19860" xr:uid="{00000000-0005-0000-0000-0000944D0000}"/>
    <cellStyle name="Normal 234 2 3 3 2" xfId="19861" xr:uid="{00000000-0005-0000-0000-0000954D0000}"/>
    <cellStyle name="Normal 234 2 3 3 2 2" xfId="19862" xr:uid="{00000000-0005-0000-0000-0000964D0000}"/>
    <cellStyle name="Normal 234 2 3 3 3" xfId="19863" xr:uid="{00000000-0005-0000-0000-0000974D0000}"/>
    <cellStyle name="Normal 234 2 3 4" xfId="19864" xr:uid="{00000000-0005-0000-0000-0000984D0000}"/>
    <cellStyle name="Normal 234 2 3 4 2" xfId="19865" xr:uid="{00000000-0005-0000-0000-0000994D0000}"/>
    <cellStyle name="Normal 234 2 3 4 2 2" xfId="19866" xr:uid="{00000000-0005-0000-0000-00009A4D0000}"/>
    <cellStyle name="Normal 234 2 3 4 3" xfId="19867" xr:uid="{00000000-0005-0000-0000-00009B4D0000}"/>
    <cellStyle name="Normal 234 2 3 5" xfId="19868" xr:uid="{00000000-0005-0000-0000-00009C4D0000}"/>
    <cellStyle name="Normal 234 2 3 5 2" xfId="19869" xr:uid="{00000000-0005-0000-0000-00009D4D0000}"/>
    <cellStyle name="Normal 234 2 3 5 2 2" xfId="19870" xr:uid="{00000000-0005-0000-0000-00009E4D0000}"/>
    <cellStyle name="Normal 234 2 3 5 3" xfId="19871" xr:uid="{00000000-0005-0000-0000-00009F4D0000}"/>
    <cellStyle name="Normal 234 2 3 6" xfId="19872" xr:uid="{00000000-0005-0000-0000-0000A04D0000}"/>
    <cellStyle name="Normal 234 2 4" xfId="19873" xr:uid="{00000000-0005-0000-0000-0000A14D0000}"/>
    <cellStyle name="Normal 234 2 4 2" xfId="19874" xr:uid="{00000000-0005-0000-0000-0000A24D0000}"/>
    <cellStyle name="Normal 234 2 4 2 2" xfId="19875" xr:uid="{00000000-0005-0000-0000-0000A34D0000}"/>
    <cellStyle name="Normal 234 2 4 3" xfId="19876" xr:uid="{00000000-0005-0000-0000-0000A44D0000}"/>
    <cellStyle name="Normal 234 2 5" xfId="19877" xr:uid="{00000000-0005-0000-0000-0000A54D0000}"/>
    <cellStyle name="Normal 234 2 5 2" xfId="19878" xr:uid="{00000000-0005-0000-0000-0000A64D0000}"/>
    <cellStyle name="Normal 234 2 5 2 2" xfId="19879" xr:uid="{00000000-0005-0000-0000-0000A74D0000}"/>
    <cellStyle name="Normal 234 2 5 3" xfId="19880" xr:uid="{00000000-0005-0000-0000-0000A84D0000}"/>
    <cellStyle name="Normal 234 2 6" xfId="19881" xr:uid="{00000000-0005-0000-0000-0000A94D0000}"/>
    <cellStyle name="Normal 234 2 6 2" xfId="19882" xr:uid="{00000000-0005-0000-0000-0000AA4D0000}"/>
    <cellStyle name="Normal 234 2 6 2 2" xfId="19883" xr:uid="{00000000-0005-0000-0000-0000AB4D0000}"/>
    <cellStyle name="Normal 234 2 6 3" xfId="19884" xr:uid="{00000000-0005-0000-0000-0000AC4D0000}"/>
    <cellStyle name="Normal 234 2 7" xfId="19885" xr:uid="{00000000-0005-0000-0000-0000AD4D0000}"/>
    <cellStyle name="Normal 234 3" xfId="19886" xr:uid="{00000000-0005-0000-0000-0000AE4D0000}"/>
    <cellStyle name="Normal 234 3 2" xfId="19887" xr:uid="{00000000-0005-0000-0000-0000AF4D0000}"/>
    <cellStyle name="Normal 234 3 2 2" xfId="19888" xr:uid="{00000000-0005-0000-0000-0000B04D0000}"/>
    <cellStyle name="Normal 234 3 3" xfId="19889" xr:uid="{00000000-0005-0000-0000-0000B14D0000}"/>
    <cellStyle name="Normal 234 3 3 2" xfId="19890" xr:uid="{00000000-0005-0000-0000-0000B24D0000}"/>
    <cellStyle name="Normal 234 3 3 2 2" xfId="19891" xr:uid="{00000000-0005-0000-0000-0000B34D0000}"/>
    <cellStyle name="Normal 234 3 3 3" xfId="19892" xr:uid="{00000000-0005-0000-0000-0000B44D0000}"/>
    <cellStyle name="Normal 234 3 4" xfId="19893" xr:uid="{00000000-0005-0000-0000-0000B54D0000}"/>
    <cellStyle name="Normal 234 3 4 2" xfId="19894" xr:uid="{00000000-0005-0000-0000-0000B64D0000}"/>
    <cellStyle name="Normal 234 3 4 2 2" xfId="19895" xr:uid="{00000000-0005-0000-0000-0000B74D0000}"/>
    <cellStyle name="Normal 234 3 4 3" xfId="19896" xr:uid="{00000000-0005-0000-0000-0000B84D0000}"/>
    <cellStyle name="Normal 234 3 5" xfId="19897" xr:uid="{00000000-0005-0000-0000-0000B94D0000}"/>
    <cellStyle name="Normal 234 4" xfId="19898" xr:uid="{00000000-0005-0000-0000-0000BA4D0000}"/>
    <cellStyle name="Normal 234 4 2" xfId="19899" xr:uid="{00000000-0005-0000-0000-0000BB4D0000}"/>
    <cellStyle name="Normal 234 4 2 2" xfId="19900" xr:uid="{00000000-0005-0000-0000-0000BC4D0000}"/>
    <cellStyle name="Normal 234 4 2 2 2" xfId="19901" xr:uid="{00000000-0005-0000-0000-0000BD4D0000}"/>
    <cellStyle name="Normal 234 4 2 3" xfId="19902" xr:uid="{00000000-0005-0000-0000-0000BE4D0000}"/>
    <cellStyle name="Normal 234 4 2 3 2" xfId="19903" xr:uid="{00000000-0005-0000-0000-0000BF4D0000}"/>
    <cellStyle name="Normal 234 4 2 3 2 2" xfId="19904" xr:uid="{00000000-0005-0000-0000-0000C04D0000}"/>
    <cellStyle name="Normal 234 4 2 3 3" xfId="19905" xr:uid="{00000000-0005-0000-0000-0000C14D0000}"/>
    <cellStyle name="Normal 234 4 2 4" xfId="19906" xr:uid="{00000000-0005-0000-0000-0000C24D0000}"/>
    <cellStyle name="Normal 234 4 3" xfId="19907" xr:uid="{00000000-0005-0000-0000-0000C34D0000}"/>
    <cellStyle name="Normal 234 4 3 2" xfId="19908" xr:uid="{00000000-0005-0000-0000-0000C44D0000}"/>
    <cellStyle name="Normal 234 4 3 2 2" xfId="19909" xr:uid="{00000000-0005-0000-0000-0000C54D0000}"/>
    <cellStyle name="Normal 234 4 3 3" xfId="19910" xr:uid="{00000000-0005-0000-0000-0000C64D0000}"/>
    <cellStyle name="Normal 234 4 4" xfId="19911" xr:uid="{00000000-0005-0000-0000-0000C74D0000}"/>
    <cellStyle name="Normal 234 4 4 2" xfId="19912" xr:uid="{00000000-0005-0000-0000-0000C84D0000}"/>
    <cellStyle name="Normal 234 4 4 2 2" xfId="19913" xr:uid="{00000000-0005-0000-0000-0000C94D0000}"/>
    <cellStyle name="Normal 234 4 4 3" xfId="19914" xr:uid="{00000000-0005-0000-0000-0000CA4D0000}"/>
    <cellStyle name="Normal 234 4 5" xfId="19915" xr:uid="{00000000-0005-0000-0000-0000CB4D0000}"/>
    <cellStyle name="Normal 234 4 5 2" xfId="19916" xr:uid="{00000000-0005-0000-0000-0000CC4D0000}"/>
    <cellStyle name="Normal 234 4 5 2 2" xfId="19917" xr:uid="{00000000-0005-0000-0000-0000CD4D0000}"/>
    <cellStyle name="Normal 234 4 5 3" xfId="19918" xr:uid="{00000000-0005-0000-0000-0000CE4D0000}"/>
    <cellStyle name="Normal 234 4 6" xfId="19919" xr:uid="{00000000-0005-0000-0000-0000CF4D0000}"/>
    <cellStyle name="Normal 234 5" xfId="19920" xr:uid="{00000000-0005-0000-0000-0000D04D0000}"/>
    <cellStyle name="Normal 234 5 2" xfId="19921" xr:uid="{00000000-0005-0000-0000-0000D14D0000}"/>
    <cellStyle name="Normal 234 5 2 2" xfId="19922" xr:uid="{00000000-0005-0000-0000-0000D24D0000}"/>
    <cellStyle name="Normal 234 5 3" xfId="19923" xr:uid="{00000000-0005-0000-0000-0000D34D0000}"/>
    <cellStyle name="Normal 234 6" xfId="19924" xr:uid="{00000000-0005-0000-0000-0000D44D0000}"/>
    <cellStyle name="Normal 234 6 2" xfId="19925" xr:uid="{00000000-0005-0000-0000-0000D54D0000}"/>
    <cellStyle name="Normal 234 6 2 2" xfId="19926" xr:uid="{00000000-0005-0000-0000-0000D64D0000}"/>
    <cellStyle name="Normal 234 6 3" xfId="19927" xr:uid="{00000000-0005-0000-0000-0000D74D0000}"/>
    <cellStyle name="Normal 234 7" xfId="19928" xr:uid="{00000000-0005-0000-0000-0000D84D0000}"/>
    <cellStyle name="Normal 234 7 2" xfId="19929" xr:uid="{00000000-0005-0000-0000-0000D94D0000}"/>
    <cellStyle name="Normal 234 7 2 2" xfId="19930" xr:uid="{00000000-0005-0000-0000-0000DA4D0000}"/>
    <cellStyle name="Normal 234 7 3" xfId="19931" xr:uid="{00000000-0005-0000-0000-0000DB4D0000}"/>
    <cellStyle name="Normal 234 8" xfId="19932" xr:uid="{00000000-0005-0000-0000-0000DC4D0000}"/>
    <cellStyle name="Normal 235" xfId="19933" xr:uid="{00000000-0005-0000-0000-0000DD4D0000}"/>
    <cellStyle name="Normal 235 2" xfId="19934" xr:uid="{00000000-0005-0000-0000-0000DE4D0000}"/>
    <cellStyle name="Normal 235 2 2" xfId="19935" xr:uid="{00000000-0005-0000-0000-0000DF4D0000}"/>
    <cellStyle name="Normal 235 2 2 2" xfId="19936" xr:uid="{00000000-0005-0000-0000-0000E04D0000}"/>
    <cellStyle name="Normal 235 2 2 2 2" xfId="19937" xr:uid="{00000000-0005-0000-0000-0000E14D0000}"/>
    <cellStyle name="Normal 235 2 2 3" xfId="19938" xr:uid="{00000000-0005-0000-0000-0000E24D0000}"/>
    <cellStyle name="Normal 235 2 2 3 2" xfId="19939" xr:uid="{00000000-0005-0000-0000-0000E34D0000}"/>
    <cellStyle name="Normal 235 2 2 3 2 2" xfId="19940" xr:uid="{00000000-0005-0000-0000-0000E44D0000}"/>
    <cellStyle name="Normal 235 2 2 3 3" xfId="19941" xr:uid="{00000000-0005-0000-0000-0000E54D0000}"/>
    <cellStyle name="Normal 235 2 2 4" xfId="19942" xr:uid="{00000000-0005-0000-0000-0000E64D0000}"/>
    <cellStyle name="Normal 235 2 2 4 2" xfId="19943" xr:uid="{00000000-0005-0000-0000-0000E74D0000}"/>
    <cellStyle name="Normal 235 2 2 4 2 2" xfId="19944" xr:uid="{00000000-0005-0000-0000-0000E84D0000}"/>
    <cellStyle name="Normal 235 2 2 4 3" xfId="19945" xr:uid="{00000000-0005-0000-0000-0000E94D0000}"/>
    <cellStyle name="Normal 235 2 2 5" xfId="19946" xr:uid="{00000000-0005-0000-0000-0000EA4D0000}"/>
    <cellStyle name="Normal 235 2 3" xfId="19947" xr:uid="{00000000-0005-0000-0000-0000EB4D0000}"/>
    <cellStyle name="Normal 235 2 3 2" xfId="19948" xr:uid="{00000000-0005-0000-0000-0000EC4D0000}"/>
    <cellStyle name="Normal 235 2 3 2 2" xfId="19949" xr:uid="{00000000-0005-0000-0000-0000ED4D0000}"/>
    <cellStyle name="Normal 235 2 3 2 2 2" xfId="19950" xr:uid="{00000000-0005-0000-0000-0000EE4D0000}"/>
    <cellStyle name="Normal 235 2 3 2 3" xfId="19951" xr:uid="{00000000-0005-0000-0000-0000EF4D0000}"/>
    <cellStyle name="Normal 235 2 3 2 3 2" xfId="19952" xr:uid="{00000000-0005-0000-0000-0000F04D0000}"/>
    <cellStyle name="Normal 235 2 3 2 3 2 2" xfId="19953" xr:uid="{00000000-0005-0000-0000-0000F14D0000}"/>
    <cellStyle name="Normal 235 2 3 2 3 3" xfId="19954" xr:uid="{00000000-0005-0000-0000-0000F24D0000}"/>
    <cellStyle name="Normal 235 2 3 2 4" xfId="19955" xr:uid="{00000000-0005-0000-0000-0000F34D0000}"/>
    <cellStyle name="Normal 235 2 3 3" xfId="19956" xr:uid="{00000000-0005-0000-0000-0000F44D0000}"/>
    <cellStyle name="Normal 235 2 3 3 2" xfId="19957" xr:uid="{00000000-0005-0000-0000-0000F54D0000}"/>
    <cellStyle name="Normal 235 2 3 3 2 2" xfId="19958" xr:uid="{00000000-0005-0000-0000-0000F64D0000}"/>
    <cellStyle name="Normal 235 2 3 3 3" xfId="19959" xr:uid="{00000000-0005-0000-0000-0000F74D0000}"/>
    <cellStyle name="Normal 235 2 3 4" xfId="19960" xr:uid="{00000000-0005-0000-0000-0000F84D0000}"/>
    <cellStyle name="Normal 235 2 3 4 2" xfId="19961" xr:uid="{00000000-0005-0000-0000-0000F94D0000}"/>
    <cellStyle name="Normal 235 2 3 4 2 2" xfId="19962" xr:uid="{00000000-0005-0000-0000-0000FA4D0000}"/>
    <cellStyle name="Normal 235 2 3 4 3" xfId="19963" xr:uid="{00000000-0005-0000-0000-0000FB4D0000}"/>
    <cellStyle name="Normal 235 2 3 5" xfId="19964" xr:uid="{00000000-0005-0000-0000-0000FC4D0000}"/>
    <cellStyle name="Normal 235 2 3 5 2" xfId="19965" xr:uid="{00000000-0005-0000-0000-0000FD4D0000}"/>
    <cellStyle name="Normal 235 2 3 5 2 2" xfId="19966" xr:uid="{00000000-0005-0000-0000-0000FE4D0000}"/>
    <cellStyle name="Normal 235 2 3 5 3" xfId="19967" xr:uid="{00000000-0005-0000-0000-0000FF4D0000}"/>
    <cellStyle name="Normal 235 2 3 6" xfId="19968" xr:uid="{00000000-0005-0000-0000-0000004E0000}"/>
    <cellStyle name="Normal 235 2 4" xfId="19969" xr:uid="{00000000-0005-0000-0000-0000014E0000}"/>
    <cellStyle name="Normal 235 2 4 2" xfId="19970" xr:uid="{00000000-0005-0000-0000-0000024E0000}"/>
    <cellStyle name="Normal 235 2 4 2 2" xfId="19971" xr:uid="{00000000-0005-0000-0000-0000034E0000}"/>
    <cellStyle name="Normal 235 2 4 3" xfId="19972" xr:uid="{00000000-0005-0000-0000-0000044E0000}"/>
    <cellStyle name="Normal 235 2 5" xfId="19973" xr:uid="{00000000-0005-0000-0000-0000054E0000}"/>
    <cellStyle name="Normal 235 2 5 2" xfId="19974" xr:uid="{00000000-0005-0000-0000-0000064E0000}"/>
    <cellStyle name="Normal 235 2 5 2 2" xfId="19975" xr:uid="{00000000-0005-0000-0000-0000074E0000}"/>
    <cellStyle name="Normal 235 2 5 3" xfId="19976" xr:uid="{00000000-0005-0000-0000-0000084E0000}"/>
    <cellStyle name="Normal 235 2 6" xfId="19977" xr:uid="{00000000-0005-0000-0000-0000094E0000}"/>
    <cellStyle name="Normal 235 2 6 2" xfId="19978" xr:uid="{00000000-0005-0000-0000-00000A4E0000}"/>
    <cellStyle name="Normal 235 2 6 2 2" xfId="19979" xr:uid="{00000000-0005-0000-0000-00000B4E0000}"/>
    <cellStyle name="Normal 235 2 6 3" xfId="19980" xr:uid="{00000000-0005-0000-0000-00000C4E0000}"/>
    <cellStyle name="Normal 235 2 7" xfId="19981" xr:uid="{00000000-0005-0000-0000-00000D4E0000}"/>
    <cellStyle name="Normal 235 3" xfId="19982" xr:uid="{00000000-0005-0000-0000-00000E4E0000}"/>
    <cellStyle name="Normal 235 3 2" xfId="19983" xr:uid="{00000000-0005-0000-0000-00000F4E0000}"/>
    <cellStyle name="Normal 235 3 2 2" xfId="19984" xr:uid="{00000000-0005-0000-0000-0000104E0000}"/>
    <cellStyle name="Normal 235 3 3" xfId="19985" xr:uid="{00000000-0005-0000-0000-0000114E0000}"/>
    <cellStyle name="Normal 235 3 3 2" xfId="19986" xr:uid="{00000000-0005-0000-0000-0000124E0000}"/>
    <cellStyle name="Normal 235 3 3 2 2" xfId="19987" xr:uid="{00000000-0005-0000-0000-0000134E0000}"/>
    <cellStyle name="Normal 235 3 3 3" xfId="19988" xr:uid="{00000000-0005-0000-0000-0000144E0000}"/>
    <cellStyle name="Normal 235 3 4" xfId="19989" xr:uid="{00000000-0005-0000-0000-0000154E0000}"/>
    <cellStyle name="Normal 235 3 4 2" xfId="19990" xr:uid="{00000000-0005-0000-0000-0000164E0000}"/>
    <cellStyle name="Normal 235 3 4 2 2" xfId="19991" xr:uid="{00000000-0005-0000-0000-0000174E0000}"/>
    <cellStyle name="Normal 235 3 4 3" xfId="19992" xr:uid="{00000000-0005-0000-0000-0000184E0000}"/>
    <cellStyle name="Normal 235 3 5" xfId="19993" xr:uid="{00000000-0005-0000-0000-0000194E0000}"/>
    <cellStyle name="Normal 235 4" xfId="19994" xr:uid="{00000000-0005-0000-0000-00001A4E0000}"/>
    <cellStyle name="Normal 235 4 2" xfId="19995" xr:uid="{00000000-0005-0000-0000-00001B4E0000}"/>
    <cellStyle name="Normal 235 4 2 2" xfId="19996" xr:uid="{00000000-0005-0000-0000-00001C4E0000}"/>
    <cellStyle name="Normal 235 4 2 2 2" xfId="19997" xr:uid="{00000000-0005-0000-0000-00001D4E0000}"/>
    <cellStyle name="Normal 235 4 2 3" xfId="19998" xr:uid="{00000000-0005-0000-0000-00001E4E0000}"/>
    <cellStyle name="Normal 235 4 2 3 2" xfId="19999" xr:uid="{00000000-0005-0000-0000-00001F4E0000}"/>
    <cellStyle name="Normal 235 4 2 3 2 2" xfId="20000" xr:uid="{00000000-0005-0000-0000-0000204E0000}"/>
    <cellStyle name="Normal 235 4 2 3 3" xfId="20001" xr:uid="{00000000-0005-0000-0000-0000214E0000}"/>
    <cellStyle name="Normal 235 4 2 4" xfId="20002" xr:uid="{00000000-0005-0000-0000-0000224E0000}"/>
    <cellStyle name="Normal 235 4 3" xfId="20003" xr:uid="{00000000-0005-0000-0000-0000234E0000}"/>
    <cellStyle name="Normal 235 4 3 2" xfId="20004" xr:uid="{00000000-0005-0000-0000-0000244E0000}"/>
    <cellStyle name="Normal 235 4 3 2 2" xfId="20005" xr:uid="{00000000-0005-0000-0000-0000254E0000}"/>
    <cellStyle name="Normal 235 4 3 3" xfId="20006" xr:uid="{00000000-0005-0000-0000-0000264E0000}"/>
    <cellStyle name="Normal 235 4 4" xfId="20007" xr:uid="{00000000-0005-0000-0000-0000274E0000}"/>
    <cellStyle name="Normal 235 4 4 2" xfId="20008" xr:uid="{00000000-0005-0000-0000-0000284E0000}"/>
    <cellStyle name="Normal 235 4 4 2 2" xfId="20009" xr:uid="{00000000-0005-0000-0000-0000294E0000}"/>
    <cellStyle name="Normal 235 4 4 3" xfId="20010" xr:uid="{00000000-0005-0000-0000-00002A4E0000}"/>
    <cellStyle name="Normal 235 4 5" xfId="20011" xr:uid="{00000000-0005-0000-0000-00002B4E0000}"/>
    <cellStyle name="Normal 235 4 5 2" xfId="20012" xr:uid="{00000000-0005-0000-0000-00002C4E0000}"/>
    <cellStyle name="Normal 235 4 5 2 2" xfId="20013" xr:uid="{00000000-0005-0000-0000-00002D4E0000}"/>
    <cellStyle name="Normal 235 4 5 3" xfId="20014" xr:uid="{00000000-0005-0000-0000-00002E4E0000}"/>
    <cellStyle name="Normal 235 4 6" xfId="20015" xr:uid="{00000000-0005-0000-0000-00002F4E0000}"/>
    <cellStyle name="Normal 235 5" xfId="20016" xr:uid="{00000000-0005-0000-0000-0000304E0000}"/>
    <cellStyle name="Normal 235 5 2" xfId="20017" xr:uid="{00000000-0005-0000-0000-0000314E0000}"/>
    <cellStyle name="Normal 235 5 2 2" xfId="20018" xr:uid="{00000000-0005-0000-0000-0000324E0000}"/>
    <cellStyle name="Normal 235 5 3" xfId="20019" xr:uid="{00000000-0005-0000-0000-0000334E0000}"/>
    <cellStyle name="Normal 235 6" xfId="20020" xr:uid="{00000000-0005-0000-0000-0000344E0000}"/>
    <cellStyle name="Normal 235 6 2" xfId="20021" xr:uid="{00000000-0005-0000-0000-0000354E0000}"/>
    <cellStyle name="Normal 235 6 2 2" xfId="20022" xr:uid="{00000000-0005-0000-0000-0000364E0000}"/>
    <cellStyle name="Normal 235 6 3" xfId="20023" xr:uid="{00000000-0005-0000-0000-0000374E0000}"/>
    <cellStyle name="Normal 235 7" xfId="20024" xr:uid="{00000000-0005-0000-0000-0000384E0000}"/>
    <cellStyle name="Normal 235 7 2" xfId="20025" xr:uid="{00000000-0005-0000-0000-0000394E0000}"/>
    <cellStyle name="Normal 235 7 2 2" xfId="20026" xr:uid="{00000000-0005-0000-0000-00003A4E0000}"/>
    <cellStyle name="Normal 235 7 3" xfId="20027" xr:uid="{00000000-0005-0000-0000-00003B4E0000}"/>
    <cellStyle name="Normal 235 8" xfId="20028" xr:uid="{00000000-0005-0000-0000-00003C4E0000}"/>
    <cellStyle name="Normal 236" xfId="20029" xr:uid="{00000000-0005-0000-0000-00003D4E0000}"/>
    <cellStyle name="Normal 236 2" xfId="20030" xr:uid="{00000000-0005-0000-0000-00003E4E0000}"/>
    <cellStyle name="Normal 236 2 2" xfId="20031" xr:uid="{00000000-0005-0000-0000-00003F4E0000}"/>
    <cellStyle name="Normal 236 2 2 2" xfId="20032" xr:uid="{00000000-0005-0000-0000-0000404E0000}"/>
    <cellStyle name="Normal 236 2 2 2 2" xfId="20033" xr:uid="{00000000-0005-0000-0000-0000414E0000}"/>
    <cellStyle name="Normal 236 2 2 3" xfId="20034" xr:uid="{00000000-0005-0000-0000-0000424E0000}"/>
    <cellStyle name="Normal 236 2 2 3 2" xfId="20035" xr:uid="{00000000-0005-0000-0000-0000434E0000}"/>
    <cellStyle name="Normal 236 2 2 3 2 2" xfId="20036" xr:uid="{00000000-0005-0000-0000-0000444E0000}"/>
    <cellStyle name="Normal 236 2 2 3 3" xfId="20037" xr:uid="{00000000-0005-0000-0000-0000454E0000}"/>
    <cellStyle name="Normal 236 2 2 4" xfId="20038" xr:uid="{00000000-0005-0000-0000-0000464E0000}"/>
    <cellStyle name="Normal 236 2 2 4 2" xfId="20039" xr:uid="{00000000-0005-0000-0000-0000474E0000}"/>
    <cellStyle name="Normal 236 2 2 4 2 2" xfId="20040" xr:uid="{00000000-0005-0000-0000-0000484E0000}"/>
    <cellStyle name="Normal 236 2 2 4 3" xfId="20041" xr:uid="{00000000-0005-0000-0000-0000494E0000}"/>
    <cellStyle name="Normal 236 2 2 5" xfId="20042" xr:uid="{00000000-0005-0000-0000-00004A4E0000}"/>
    <cellStyle name="Normal 236 2 3" xfId="20043" xr:uid="{00000000-0005-0000-0000-00004B4E0000}"/>
    <cellStyle name="Normal 236 2 3 2" xfId="20044" xr:uid="{00000000-0005-0000-0000-00004C4E0000}"/>
    <cellStyle name="Normal 236 2 3 2 2" xfId="20045" xr:uid="{00000000-0005-0000-0000-00004D4E0000}"/>
    <cellStyle name="Normal 236 2 3 2 2 2" xfId="20046" xr:uid="{00000000-0005-0000-0000-00004E4E0000}"/>
    <cellStyle name="Normal 236 2 3 2 3" xfId="20047" xr:uid="{00000000-0005-0000-0000-00004F4E0000}"/>
    <cellStyle name="Normal 236 2 3 2 3 2" xfId="20048" xr:uid="{00000000-0005-0000-0000-0000504E0000}"/>
    <cellStyle name="Normal 236 2 3 2 3 2 2" xfId="20049" xr:uid="{00000000-0005-0000-0000-0000514E0000}"/>
    <cellStyle name="Normal 236 2 3 2 3 3" xfId="20050" xr:uid="{00000000-0005-0000-0000-0000524E0000}"/>
    <cellStyle name="Normal 236 2 3 2 4" xfId="20051" xr:uid="{00000000-0005-0000-0000-0000534E0000}"/>
    <cellStyle name="Normal 236 2 3 3" xfId="20052" xr:uid="{00000000-0005-0000-0000-0000544E0000}"/>
    <cellStyle name="Normal 236 2 3 3 2" xfId="20053" xr:uid="{00000000-0005-0000-0000-0000554E0000}"/>
    <cellStyle name="Normal 236 2 3 3 2 2" xfId="20054" xr:uid="{00000000-0005-0000-0000-0000564E0000}"/>
    <cellStyle name="Normal 236 2 3 3 3" xfId="20055" xr:uid="{00000000-0005-0000-0000-0000574E0000}"/>
    <cellStyle name="Normal 236 2 3 4" xfId="20056" xr:uid="{00000000-0005-0000-0000-0000584E0000}"/>
    <cellStyle name="Normal 236 2 3 4 2" xfId="20057" xr:uid="{00000000-0005-0000-0000-0000594E0000}"/>
    <cellStyle name="Normal 236 2 3 4 2 2" xfId="20058" xr:uid="{00000000-0005-0000-0000-00005A4E0000}"/>
    <cellStyle name="Normal 236 2 3 4 3" xfId="20059" xr:uid="{00000000-0005-0000-0000-00005B4E0000}"/>
    <cellStyle name="Normal 236 2 3 5" xfId="20060" xr:uid="{00000000-0005-0000-0000-00005C4E0000}"/>
    <cellStyle name="Normal 236 2 3 5 2" xfId="20061" xr:uid="{00000000-0005-0000-0000-00005D4E0000}"/>
    <cellStyle name="Normal 236 2 3 5 2 2" xfId="20062" xr:uid="{00000000-0005-0000-0000-00005E4E0000}"/>
    <cellStyle name="Normal 236 2 3 5 3" xfId="20063" xr:uid="{00000000-0005-0000-0000-00005F4E0000}"/>
    <cellStyle name="Normal 236 2 3 6" xfId="20064" xr:uid="{00000000-0005-0000-0000-0000604E0000}"/>
    <cellStyle name="Normal 236 2 4" xfId="20065" xr:uid="{00000000-0005-0000-0000-0000614E0000}"/>
    <cellStyle name="Normal 236 2 4 2" xfId="20066" xr:uid="{00000000-0005-0000-0000-0000624E0000}"/>
    <cellStyle name="Normal 236 2 4 2 2" xfId="20067" xr:uid="{00000000-0005-0000-0000-0000634E0000}"/>
    <cellStyle name="Normal 236 2 4 3" xfId="20068" xr:uid="{00000000-0005-0000-0000-0000644E0000}"/>
    <cellStyle name="Normal 236 2 5" xfId="20069" xr:uid="{00000000-0005-0000-0000-0000654E0000}"/>
    <cellStyle name="Normal 236 2 5 2" xfId="20070" xr:uid="{00000000-0005-0000-0000-0000664E0000}"/>
    <cellStyle name="Normal 236 2 5 2 2" xfId="20071" xr:uid="{00000000-0005-0000-0000-0000674E0000}"/>
    <cellStyle name="Normal 236 2 5 3" xfId="20072" xr:uid="{00000000-0005-0000-0000-0000684E0000}"/>
    <cellStyle name="Normal 236 2 6" xfId="20073" xr:uid="{00000000-0005-0000-0000-0000694E0000}"/>
    <cellStyle name="Normal 236 2 6 2" xfId="20074" xr:uid="{00000000-0005-0000-0000-00006A4E0000}"/>
    <cellStyle name="Normal 236 2 6 2 2" xfId="20075" xr:uid="{00000000-0005-0000-0000-00006B4E0000}"/>
    <cellStyle name="Normal 236 2 6 3" xfId="20076" xr:uid="{00000000-0005-0000-0000-00006C4E0000}"/>
    <cellStyle name="Normal 236 2 7" xfId="20077" xr:uid="{00000000-0005-0000-0000-00006D4E0000}"/>
    <cellStyle name="Normal 236 3" xfId="20078" xr:uid="{00000000-0005-0000-0000-00006E4E0000}"/>
    <cellStyle name="Normal 236 3 2" xfId="20079" xr:uid="{00000000-0005-0000-0000-00006F4E0000}"/>
    <cellStyle name="Normal 236 3 2 2" xfId="20080" xr:uid="{00000000-0005-0000-0000-0000704E0000}"/>
    <cellStyle name="Normal 236 3 3" xfId="20081" xr:uid="{00000000-0005-0000-0000-0000714E0000}"/>
    <cellStyle name="Normal 236 3 3 2" xfId="20082" xr:uid="{00000000-0005-0000-0000-0000724E0000}"/>
    <cellStyle name="Normal 236 3 3 2 2" xfId="20083" xr:uid="{00000000-0005-0000-0000-0000734E0000}"/>
    <cellStyle name="Normal 236 3 3 3" xfId="20084" xr:uid="{00000000-0005-0000-0000-0000744E0000}"/>
    <cellStyle name="Normal 236 3 4" xfId="20085" xr:uid="{00000000-0005-0000-0000-0000754E0000}"/>
    <cellStyle name="Normal 236 3 4 2" xfId="20086" xr:uid="{00000000-0005-0000-0000-0000764E0000}"/>
    <cellStyle name="Normal 236 3 4 2 2" xfId="20087" xr:uid="{00000000-0005-0000-0000-0000774E0000}"/>
    <cellStyle name="Normal 236 3 4 3" xfId="20088" xr:uid="{00000000-0005-0000-0000-0000784E0000}"/>
    <cellStyle name="Normal 236 3 5" xfId="20089" xr:uid="{00000000-0005-0000-0000-0000794E0000}"/>
    <cellStyle name="Normal 236 4" xfId="20090" xr:uid="{00000000-0005-0000-0000-00007A4E0000}"/>
    <cellStyle name="Normal 236 4 2" xfId="20091" xr:uid="{00000000-0005-0000-0000-00007B4E0000}"/>
    <cellStyle name="Normal 236 4 2 2" xfId="20092" xr:uid="{00000000-0005-0000-0000-00007C4E0000}"/>
    <cellStyle name="Normal 236 4 2 2 2" xfId="20093" xr:uid="{00000000-0005-0000-0000-00007D4E0000}"/>
    <cellStyle name="Normal 236 4 2 3" xfId="20094" xr:uid="{00000000-0005-0000-0000-00007E4E0000}"/>
    <cellStyle name="Normal 236 4 2 3 2" xfId="20095" xr:uid="{00000000-0005-0000-0000-00007F4E0000}"/>
    <cellStyle name="Normal 236 4 2 3 2 2" xfId="20096" xr:uid="{00000000-0005-0000-0000-0000804E0000}"/>
    <cellStyle name="Normal 236 4 2 3 3" xfId="20097" xr:uid="{00000000-0005-0000-0000-0000814E0000}"/>
    <cellStyle name="Normal 236 4 2 4" xfId="20098" xr:uid="{00000000-0005-0000-0000-0000824E0000}"/>
    <cellStyle name="Normal 236 4 3" xfId="20099" xr:uid="{00000000-0005-0000-0000-0000834E0000}"/>
    <cellStyle name="Normal 236 4 3 2" xfId="20100" xr:uid="{00000000-0005-0000-0000-0000844E0000}"/>
    <cellStyle name="Normal 236 4 3 2 2" xfId="20101" xr:uid="{00000000-0005-0000-0000-0000854E0000}"/>
    <cellStyle name="Normal 236 4 3 3" xfId="20102" xr:uid="{00000000-0005-0000-0000-0000864E0000}"/>
    <cellStyle name="Normal 236 4 4" xfId="20103" xr:uid="{00000000-0005-0000-0000-0000874E0000}"/>
    <cellStyle name="Normal 236 4 4 2" xfId="20104" xr:uid="{00000000-0005-0000-0000-0000884E0000}"/>
    <cellStyle name="Normal 236 4 4 2 2" xfId="20105" xr:uid="{00000000-0005-0000-0000-0000894E0000}"/>
    <cellStyle name="Normal 236 4 4 3" xfId="20106" xr:uid="{00000000-0005-0000-0000-00008A4E0000}"/>
    <cellStyle name="Normal 236 4 5" xfId="20107" xr:uid="{00000000-0005-0000-0000-00008B4E0000}"/>
    <cellStyle name="Normal 236 4 5 2" xfId="20108" xr:uid="{00000000-0005-0000-0000-00008C4E0000}"/>
    <cellStyle name="Normal 236 4 5 2 2" xfId="20109" xr:uid="{00000000-0005-0000-0000-00008D4E0000}"/>
    <cellStyle name="Normal 236 4 5 3" xfId="20110" xr:uid="{00000000-0005-0000-0000-00008E4E0000}"/>
    <cellStyle name="Normal 236 4 6" xfId="20111" xr:uid="{00000000-0005-0000-0000-00008F4E0000}"/>
    <cellStyle name="Normal 236 5" xfId="20112" xr:uid="{00000000-0005-0000-0000-0000904E0000}"/>
    <cellStyle name="Normal 236 5 2" xfId="20113" xr:uid="{00000000-0005-0000-0000-0000914E0000}"/>
    <cellStyle name="Normal 236 5 2 2" xfId="20114" xr:uid="{00000000-0005-0000-0000-0000924E0000}"/>
    <cellStyle name="Normal 236 5 3" xfId="20115" xr:uid="{00000000-0005-0000-0000-0000934E0000}"/>
    <cellStyle name="Normal 236 6" xfId="20116" xr:uid="{00000000-0005-0000-0000-0000944E0000}"/>
    <cellStyle name="Normal 236 6 2" xfId="20117" xr:uid="{00000000-0005-0000-0000-0000954E0000}"/>
    <cellStyle name="Normal 236 6 2 2" xfId="20118" xr:uid="{00000000-0005-0000-0000-0000964E0000}"/>
    <cellStyle name="Normal 236 6 3" xfId="20119" xr:uid="{00000000-0005-0000-0000-0000974E0000}"/>
    <cellStyle name="Normal 236 7" xfId="20120" xr:uid="{00000000-0005-0000-0000-0000984E0000}"/>
    <cellStyle name="Normal 236 7 2" xfId="20121" xr:uid="{00000000-0005-0000-0000-0000994E0000}"/>
    <cellStyle name="Normal 236 7 2 2" xfId="20122" xr:uid="{00000000-0005-0000-0000-00009A4E0000}"/>
    <cellStyle name="Normal 236 7 3" xfId="20123" xr:uid="{00000000-0005-0000-0000-00009B4E0000}"/>
    <cellStyle name="Normal 236 8" xfId="20124" xr:uid="{00000000-0005-0000-0000-00009C4E0000}"/>
    <cellStyle name="Normal 237" xfId="20125" xr:uid="{00000000-0005-0000-0000-00009D4E0000}"/>
    <cellStyle name="Normal 237 2" xfId="20126" xr:uid="{00000000-0005-0000-0000-00009E4E0000}"/>
    <cellStyle name="Normal 237 2 2" xfId="20127" xr:uid="{00000000-0005-0000-0000-00009F4E0000}"/>
    <cellStyle name="Normal 237 2 2 2" xfId="20128" xr:uid="{00000000-0005-0000-0000-0000A04E0000}"/>
    <cellStyle name="Normal 237 2 2 2 2" xfId="20129" xr:uid="{00000000-0005-0000-0000-0000A14E0000}"/>
    <cellStyle name="Normal 237 2 2 3" xfId="20130" xr:uid="{00000000-0005-0000-0000-0000A24E0000}"/>
    <cellStyle name="Normal 237 2 2 3 2" xfId="20131" xr:uid="{00000000-0005-0000-0000-0000A34E0000}"/>
    <cellStyle name="Normal 237 2 2 3 2 2" xfId="20132" xr:uid="{00000000-0005-0000-0000-0000A44E0000}"/>
    <cellStyle name="Normal 237 2 2 3 3" xfId="20133" xr:uid="{00000000-0005-0000-0000-0000A54E0000}"/>
    <cellStyle name="Normal 237 2 2 4" xfId="20134" xr:uid="{00000000-0005-0000-0000-0000A64E0000}"/>
    <cellStyle name="Normal 237 2 2 4 2" xfId="20135" xr:uid="{00000000-0005-0000-0000-0000A74E0000}"/>
    <cellStyle name="Normal 237 2 2 4 2 2" xfId="20136" xr:uid="{00000000-0005-0000-0000-0000A84E0000}"/>
    <cellStyle name="Normal 237 2 2 4 3" xfId="20137" xr:uid="{00000000-0005-0000-0000-0000A94E0000}"/>
    <cellStyle name="Normal 237 2 2 5" xfId="20138" xr:uid="{00000000-0005-0000-0000-0000AA4E0000}"/>
    <cellStyle name="Normal 237 2 3" xfId="20139" xr:uid="{00000000-0005-0000-0000-0000AB4E0000}"/>
    <cellStyle name="Normal 237 2 3 2" xfId="20140" xr:uid="{00000000-0005-0000-0000-0000AC4E0000}"/>
    <cellStyle name="Normal 237 2 3 2 2" xfId="20141" xr:uid="{00000000-0005-0000-0000-0000AD4E0000}"/>
    <cellStyle name="Normal 237 2 3 2 2 2" xfId="20142" xr:uid="{00000000-0005-0000-0000-0000AE4E0000}"/>
    <cellStyle name="Normal 237 2 3 2 3" xfId="20143" xr:uid="{00000000-0005-0000-0000-0000AF4E0000}"/>
    <cellStyle name="Normal 237 2 3 2 3 2" xfId="20144" xr:uid="{00000000-0005-0000-0000-0000B04E0000}"/>
    <cellStyle name="Normal 237 2 3 2 3 2 2" xfId="20145" xr:uid="{00000000-0005-0000-0000-0000B14E0000}"/>
    <cellStyle name="Normal 237 2 3 2 3 3" xfId="20146" xr:uid="{00000000-0005-0000-0000-0000B24E0000}"/>
    <cellStyle name="Normal 237 2 3 2 4" xfId="20147" xr:uid="{00000000-0005-0000-0000-0000B34E0000}"/>
    <cellStyle name="Normal 237 2 3 3" xfId="20148" xr:uid="{00000000-0005-0000-0000-0000B44E0000}"/>
    <cellStyle name="Normal 237 2 3 3 2" xfId="20149" xr:uid="{00000000-0005-0000-0000-0000B54E0000}"/>
    <cellStyle name="Normal 237 2 3 3 2 2" xfId="20150" xr:uid="{00000000-0005-0000-0000-0000B64E0000}"/>
    <cellStyle name="Normal 237 2 3 3 3" xfId="20151" xr:uid="{00000000-0005-0000-0000-0000B74E0000}"/>
    <cellStyle name="Normal 237 2 3 4" xfId="20152" xr:uid="{00000000-0005-0000-0000-0000B84E0000}"/>
    <cellStyle name="Normal 237 2 3 4 2" xfId="20153" xr:uid="{00000000-0005-0000-0000-0000B94E0000}"/>
    <cellStyle name="Normal 237 2 3 4 2 2" xfId="20154" xr:uid="{00000000-0005-0000-0000-0000BA4E0000}"/>
    <cellStyle name="Normal 237 2 3 4 3" xfId="20155" xr:uid="{00000000-0005-0000-0000-0000BB4E0000}"/>
    <cellStyle name="Normal 237 2 3 5" xfId="20156" xr:uid="{00000000-0005-0000-0000-0000BC4E0000}"/>
    <cellStyle name="Normal 237 2 3 5 2" xfId="20157" xr:uid="{00000000-0005-0000-0000-0000BD4E0000}"/>
    <cellStyle name="Normal 237 2 3 5 2 2" xfId="20158" xr:uid="{00000000-0005-0000-0000-0000BE4E0000}"/>
    <cellStyle name="Normal 237 2 3 5 3" xfId="20159" xr:uid="{00000000-0005-0000-0000-0000BF4E0000}"/>
    <cellStyle name="Normal 237 2 3 6" xfId="20160" xr:uid="{00000000-0005-0000-0000-0000C04E0000}"/>
    <cellStyle name="Normal 237 2 4" xfId="20161" xr:uid="{00000000-0005-0000-0000-0000C14E0000}"/>
    <cellStyle name="Normal 237 2 4 2" xfId="20162" xr:uid="{00000000-0005-0000-0000-0000C24E0000}"/>
    <cellStyle name="Normal 237 2 4 2 2" xfId="20163" xr:uid="{00000000-0005-0000-0000-0000C34E0000}"/>
    <cellStyle name="Normal 237 2 4 3" xfId="20164" xr:uid="{00000000-0005-0000-0000-0000C44E0000}"/>
    <cellStyle name="Normal 237 2 5" xfId="20165" xr:uid="{00000000-0005-0000-0000-0000C54E0000}"/>
    <cellStyle name="Normal 237 2 5 2" xfId="20166" xr:uid="{00000000-0005-0000-0000-0000C64E0000}"/>
    <cellStyle name="Normal 237 2 5 2 2" xfId="20167" xr:uid="{00000000-0005-0000-0000-0000C74E0000}"/>
    <cellStyle name="Normal 237 2 5 3" xfId="20168" xr:uid="{00000000-0005-0000-0000-0000C84E0000}"/>
    <cellStyle name="Normal 237 2 6" xfId="20169" xr:uid="{00000000-0005-0000-0000-0000C94E0000}"/>
    <cellStyle name="Normal 237 2 6 2" xfId="20170" xr:uid="{00000000-0005-0000-0000-0000CA4E0000}"/>
    <cellStyle name="Normal 237 2 6 2 2" xfId="20171" xr:uid="{00000000-0005-0000-0000-0000CB4E0000}"/>
    <cellStyle name="Normal 237 2 6 3" xfId="20172" xr:uid="{00000000-0005-0000-0000-0000CC4E0000}"/>
    <cellStyle name="Normal 237 2 7" xfId="20173" xr:uid="{00000000-0005-0000-0000-0000CD4E0000}"/>
    <cellStyle name="Normal 237 3" xfId="20174" xr:uid="{00000000-0005-0000-0000-0000CE4E0000}"/>
    <cellStyle name="Normal 237 3 2" xfId="20175" xr:uid="{00000000-0005-0000-0000-0000CF4E0000}"/>
    <cellStyle name="Normal 237 3 2 2" xfId="20176" xr:uid="{00000000-0005-0000-0000-0000D04E0000}"/>
    <cellStyle name="Normal 237 3 3" xfId="20177" xr:uid="{00000000-0005-0000-0000-0000D14E0000}"/>
    <cellStyle name="Normal 237 3 3 2" xfId="20178" xr:uid="{00000000-0005-0000-0000-0000D24E0000}"/>
    <cellStyle name="Normal 237 3 3 2 2" xfId="20179" xr:uid="{00000000-0005-0000-0000-0000D34E0000}"/>
    <cellStyle name="Normal 237 3 3 3" xfId="20180" xr:uid="{00000000-0005-0000-0000-0000D44E0000}"/>
    <cellStyle name="Normal 237 3 4" xfId="20181" xr:uid="{00000000-0005-0000-0000-0000D54E0000}"/>
    <cellStyle name="Normal 237 3 4 2" xfId="20182" xr:uid="{00000000-0005-0000-0000-0000D64E0000}"/>
    <cellStyle name="Normal 237 3 4 2 2" xfId="20183" xr:uid="{00000000-0005-0000-0000-0000D74E0000}"/>
    <cellStyle name="Normal 237 3 4 3" xfId="20184" xr:uid="{00000000-0005-0000-0000-0000D84E0000}"/>
    <cellStyle name="Normal 237 3 5" xfId="20185" xr:uid="{00000000-0005-0000-0000-0000D94E0000}"/>
    <cellStyle name="Normal 237 4" xfId="20186" xr:uid="{00000000-0005-0000-0000-0000DA4E0000}"/>
    <cellStyle name="Normal 237 4 2" xfId="20187" xr:uid="{00000000-0005-0000-0000-0000DB4E0000}"/>
    <cellStyle name="Normal 237 4 2 2" xfId="20188" xr:uid="{00000000-0005-0000-0000-0000DC4E0000}"/>
    <cellStyle name="Normal 237 4 2 2 2" xfId="20189" xr:uid="{00000000-0005-0000-0000-0000DD4E0000}"/>
    <cellStyle name="Normal 237 4 2 3" xfId="20190" xr:uid="{00000000-0005-0000-0000-0000DE4E0000}"/>
    <cellStyle name="Normal 237 4 2 3 2" xfId="20191" xr:uid="{00000000-0005-0000-0000-0000DF4E0000}"/>
    <cellStyle name="Normal 237 4 2 3 2 2" xfId="20192" xr:uid="{00000000-0005-0000-0000-0000E04E0000}"/>
    <cellStyle name="Normal 237 4 2 3 3" xfId="20193" xr:uid="{00000000-0005-0000-0000-0000E14E0000}"/>
    <cellStyle name="Normal 237 4 2 4" xfId="20194" xr:uid="{00000000-0005-0000-0000-0000E24E0000}"/>
    <cellStyle name="Normal 237 4 3" xfId="20195" xr:uid="{00000000-0005-0000-0000-0000E34E0000}"/>
    <cellStyle name="Normal 237 4 3 2" xfId="20196" xr:uid="{00000000-0005-0000-0000-0000E44E0000}"/>
    <cellStyle name="Normal 237 4 3 2 2" xfId="20197" xr:uid="{00000000-0005-0000-0000-0000E54E0000}"/>
    <cellStyle name="Normal 237 4 3 3" xfId="20198" xr:uid="{00000000-0005-0000-0000-0000E64E0000}"/>
    <cellStyle name="Normal 237 4 4" xfId="20199" xr:uid="{00000000-0005-0000-0000-0000E74E0000}"/>
    <cellStyle name="Normal 237 4 4 2" xfId="20200" xr:uid="{00000000-0005-0000-0000-0000E84E0000}"/>
    <cellStyle name="Normal 237 4 4 2 2" xfId="20201" xr:uid="{00000000-0005-0000-0000-0000E94E0000}"/>
    <cellStyle name="Normal 237 4 4 3" xfId="20202" xr:uid="{00000000-0005-0000-0000-0000EA4E0000}"/>
    <cellStyle name="Normal 237 4 5" xfId="20203" xr:uid="{00000000-0005-0000-0000-0000EB4E0000}"/>
    <cellStyle name="Normal 237 4 5 2" xfId="20204" xr:uid="{00000000-0005-0000-0000-0000EC4E0000}"/>
    <cellStyle name="Normal 237 4 5 2 2" xfId="20205" xr:uid="{00000000-0005-0000-0000-0000ED4E0000}"/>
    <cellStyle name="Normal 237 4 5 3" xfId="20206" xr:uid="{00000000-0005-0000-0000-0000EE4E0000}"/>
    <cellStyle name="Normal 237 4 6" xfId="20207" xr:uid="{00000000-0005-0000-0000-0000EF4E0000}"/>
    <cellStyle name="Normal 237 5" xfId="20208" xr:uid="{00000000-0005-0000-0000-0000F04E0000}"/>
    <cellStyle name="Normal 237 5 2" xfId="20209" xr:uid="{00000000-0005-0000-0000-0000F14E0000}"/>
    <cellStyle name="Normal 237 5 2 2" xfId="20210" xr:uid="{00000000-0005-0000-0000-0000F24E0000}"/>
    <cellStyle name="Normal 237 5 3" xfId="20211" xr:uid="{00000000-0005-0000-0000-0000F34E0000}"/>
    <cellStyle name="Normal 237 6" xfId="20212" xr:uid="{00000000-0005-0000-0000-0000F44E0000}"/>
    <cellStyle name="Normal 237 6 2" xfId="20213" xr:uid="{00000000-0005-0000-0000-0000F54E0000}"/>
    <cellStyle name="Normal 237 6 2 2" xfId="20214" xr:uid="{00000000-0005-0000-0000-0000F64E0000}"/>
    <cellStyle name="Normal 237 6 3" xfId="20215" xr:uid="{00000000-0005-0000-0000-0000F74E0000}"/>
    <cellStyle name="Normal 237 7" xfId="20216" xr:uid="{00000000-0005-0000-0000-0000F84E0000}"/>
    <cellStyle name="Normal 237 7 2" xfId="20217" xr:uid="{00000000-0005-0000-0000-0000F94E0000}"/>
    <cellStyle name="Normal 237 7 2 2" xfId="20218" xr:uid="{00000000-0005-0000-0000-0000FA4E0000}"/>
    <cellStyle name="Normal 237 7 3" xfId="20219" xr:uid="{00000000-0005-0000-0000-0000FB4E0000}"/>
    <cellStyle name="Normal 237 8" xfId="20220" xr:uid="{00000000-0005-0000-0000-0000FC4E0000}"/>
    <cellStyle name="Normal 238" xfId="20221" xr:uid="{00000000-0005-0000-0000-0000FD4E0000}"/>
    <cellStyle name="Normal 238 2" xfId="20222" xr:uid="{00000000-0005-0000-0000-0000FE4E0000}"/>
    <cellStyle name="Normal 238 2 2" xfId="20223" xr:uid="{00000000-0005-0000-0000-0000FF4E0000}"/>
    <cellStyle name="Normal 238 2 2 2" xfId="20224" xr:uid="{00000000-0005-0000-0000-0000004F0000}"/>
    <cellStyle name="Normal 238 2 2 2 2" xfId="20225" xr:uid="{00000000-0005-0000-0000-0000014F0000}"/>
    <cellStyle name="Normal 238 2 2 3" xfId="20226" xr:uid="{00000000-0005-0000-0000-0000024F0000}"/>
    <cellStyle name="Normal 238 2 2 3 2" xfId="20227" xr:uid="{00000000-0005-0000-0000-0000034F0000}"/>
    <cellStyle name="Normal 238 2 2 3 2 2" xfId="20228" xr:uid="{00000000-0005-0000-0000-0000044F0000}"/>
    <cellStyle name="Normal 238 2 2 3 3" xfId="20229" xr:uid="{00000000-0005-0000-0000-0000054F0000}"/>
    <cellStyle name="Normal 238 2 2 4" xfId="20230" xr:uid="{00000000-0005-0000-0000-0000064F0000}"/>
    <cellStyle name="Normal 238 2 2 4 2" xfId="20231" xr:uid="{00000000-0005-0000-0000-0000074F0000}"/>
    <cellStyle name="Normal 238 2 2 4 2 2" xfId="20232" xr:uid="{00000000-0005-0000-0000-0000084F0000}"/>
    <cellStyle name="Normal 238 2 2 4 3" xfId="20233" xr:uid="{00000000-0005-0000-0000-0000094F0000}"/>
    <cellStyle name="Normal 238 2 2 5" xfId="20234" xr:uid="{00000000-0005-0000-0000-00000A4F0000}"/>
    <cellStyle name="Normal 238 2 3" xfId="20235" xr:uid="{00000000-0005-0000-0000-00000B4F0000}"/>
    <cellStyle name="Normal 238 2 3 2" xfId="20236" xr:uid="{00000000-0005-0000-0000-00000C4F0000}"/>
    <cellStyle name="Normal 238 2 3 2 2" xfId="20237" xr:uid="{00000000-0005-0000-0000-00000D4F0000}"/>
    <cellStyle name="Normal 238 2 3 2 2 2" xfId="20238" xr:uid="{00000000-0005-0000-0000-00000E4F0000}"/>
    <cellStyle name="Normal 238 2 3 2 3" xfId="20239" xr:uid="{00000000-0005-0000-0000-00000F4F0000}"/>
    <cellStyle name="Normal 238 2 3 2 3 2" xfId="20240" xr:uid="{00000000-0005-0000-0000-0000104F0000}"/>
    <cellStyle name="Normal 238 2 3 2 3 2 2" xfId="20241" xr:uid="{00000000-0005-0000-0000-0000114F0000}"/>
    <cellStyle name="Normal 238 2 3 2 3 3" xfId="20242" xr:uid="{00000000-0005-0000-0000-0000124F0000}"/>
    <cellStyle name="Normal 238 2 3 2 4" xfId="20243" xr:uid="{00000000-0005-0000-0000-0000134F0000}"/>
    <cellStyle name="Normal 238 2 3 3" xfId="20244" xr:uid="{00000000-0005-0000-0000-0000144F0000}"/>
    <cellStyle name="Normal 238 2 3 3 2" xfId="20245" xr:uid="{00000000-0005-0000-0000-0000154F0000}"/>
    <cellStyle name="Normal 238 2 3 3 2 2" xfId="20246" xr:uid="{00000000-0005-0000-0000-0000164F0000}"/>
    <cellStyle name="Normal 238 2 3 3 3" xfId="20247" xr:uid="{00000000-0005-0000-0000-0000174F0000}"/>
    <cellStyle name="Normal 238 2 3 4" xfId="20248" xr:uid="{00000000-0005-0000-0000-0000184F0000}"/>
    <cellStyle name="Normal 238 2 3 4 2" xfId="20249" xr:uid="{00000000-0005-0000-0000-0000194F0000}"/>
    <cellStyle name="Normal 238 2 3 4 2 2" xfId="20250" xr:uid="{00000000-0005-0000-0000-00001A4F0000}"/>
    <cellStyle name="Normal 238 2 3 4 3" xfId="20251" xr:uid="{00000000-0005-0000-0000-00001B4F0000}"/>
    <cellStyle name="Normal 238 2 3 5" xfId="20252" xr:uid="{00000000-0005-0000-0000-00001C4F0000}"/>
    <cellStyle name="Normal 238 2 3 5 2" xfId="20253" xr:uid="{00000000-0005-0000-0000-00001D4F0000}"/>
    <cellStyle name="Normal 238 2 3 5 2 2" xfId="20254" xr:uid="{00000000-0005-0000-0000-00001E4F0000}"/>
    <cellStyle name="Normal 238 2 3 5 3" xfId="20255" xr:uid="{00000000-0005-0000-0000-00001F4F0000}"/>
    <cellStyle name="Normal 238 2 3 6" xfId="20256" xr:uid="{00000000-0005-0000-0000-0000204F0000}"/>
    <cellStyle name="Normal 238 2 4" xfId="20257" xr:uid="{00000000-0005-0000-0000-0000214F0000}"/>
    <cellStyle name="Normal 238 2 4 2" xfId="20258" xr:uid="{00000000-0005-0000-0000-0000224F0000}"/>
    <cellStyle name="Normal 238 2 4 2 2" xfId="20259" xr:uid="{00000000-0005-0000-0000-0000234F0000}"/>
    <cellStyle name="Normal 238 2 4 3" xfId="20260" xr:uid="{00000000-0005-0000-0000-0000244F0000}"/>
    <cellStyle name="Normal 238 2 5" xfId="20261" xr:uid="{00000000-0005-0000-0000-0000254F0000}"/>
    <cellStyle name="Normal 238 2 5 2" xfId="20262" xr:uid="{00000000-0005-0000-0000-0000264F0000}"/>
    <cellStyle name="Normal 238 2 5 2 2" xfId="20263" xr:uid="{00000000-0005-0000-0000-0000274F0000}"/>
    <cellStyle name="Normal 238 2 5 3" xfId="20264" xr:uid="{00000000-0005-0000-0000-0000284F0000}"/>
    <cellStyle name="Normal 238 2 6" xfId="20265" xr:uid="{00000000-0005-0000-0000-0000294F0000}"/>
    <cellStyle name="Normal 238 2 6 2" xfId="20266" xr:uid="{00000000-0005-0000-0000-00002A4F0000}"/>
    <cellStyle name="Normal 238 2 6 2 2" xfId="20267" xr:uid="{00000000-0005-0000-0000-00002B4F0000}"/>
    <cellStyle name="Normal 238 2 6 3" xfId="20268" xr:uid="{00000000-0005-0000-0000-00002C4F0000}"/>
    <cellStyle name="Normal 238 2 7" xfId="20269" xr:uid="{00000000-0005-0000-0000-00002D4F0000}"/>
    <cellStyle name="Normal 238 3" xfId="20270" xr:uid="{00000000-0005-0000-0000-00002E4F0000}"/>
    <cellStyle name="Normal 238 3 2" xfId="20271" xr:uid="{00000000-0005-0000-0000-00002F4F0000}"/>
    <cellStyle name="Normal 238 3 2 2" xfId="20272" xr:uid="{00000000-0005-0000-0000-0000304F0000}"/>
    <cellStyle name="Normal 238 3 3" xfId="20273" xr:uid="{00000000-0005-0000-0000-0000314F0000}"/>
    <cellStyle name="Normal 238 3 3 2" xfId="20274" xr:uid="{00000000-0005-0000-0000-0000324F0000}"/>
    <cellStyle name="Normal 238 3 3 2 2" xfId="20275" xr:uid="{00000000-0005-0000-0000-0000334F0000}"/>
    <cellStyle name="Normal 238 3 3 3" xfId="20276" xr:uid="{00000000-0005-0000-0000-0000344F0000}"/>
    <cellStyle name="Normal 238 3 4" xfId="20277" xr:uid="{00000000-0005-0000-0000-0000354F0000}"/>
    <cellStyle name="Normal 238 3 4 2" xfId="20278" xr:uid="{00000000-0005-0000-0000-0000364F0000}"/>
    <cellStyle name="Normal 238 3 4 2 2" xfId="20279" xr:uid="{00000000-0005-0000-0000-0000374F0000}"/>
    <cellStyle name="Normal 238 3 4 3" xfId="20280" xr:uid="{00000000-0005-0000-0000-0000384F0000}"/>
    <cellStyle name="Normal 238 3 5" xfId="20281" xr:uid="{00000000-0005-0000-0000-0000394F0000}"/>
    <cellStyle name="Normal 238 4" xfId="20282" xr:uid="{00000000-0005-0000-0000-00003A4F0000}"/>
    <cellStyle name="Normal 238 4 2" xfId="20283" xr:uid="{00000000-0005-0000-0000-00003B4F0000}"/>
    <cellStyle name="Normal 238 4 2 2" xfId="20284" xr:uid="{00000000-0005-0000-0000-00003C4F0000}"/>
    <cellStyle name="Normal 238 4 2 2 2" xfId="20285" xr:uid="{00000000-0005-0000-0000-00003D4F0000}"/>
    <cellStyle name="Normal 238 4 2 3" xfId="20286" xr:uid="{00000000-0005-0000-0000-00003E4F0000}"/>
    <cellStyle name="Normal 238 4 2 3 2" xfId="20287" xr:uid="{00000000-0005-0000-0000-00003F4F0000}"/>
    <cellStyle name="Normal 238 4 2 3 2 2" xfId="20288" xr:uid="{00000000-0005-0000-0000-0000404F0000}"/>
    <cellStyle name="Normal 238 4 2 3 3" xfId="20289" xr:uid="{00000000-0005-0000-0000-0000414F0000}"/>
    <cellStyle name="Normal 238 4 2 4" xfId="20290" xr:uid="{00000000-0005-0000-0000-0000424F0000}"/>
    <cellStyle name="Normal 238 4 3" xfId="20291" xr:uid="{00000000-0005-0000-0000-0000434F0000}"/>
    <cellStyle name="Normal 238 4 3 2" xfId="20292" xr:uid="{00000000-0005-0000-0000-0000444F0000}"/>
    <cellStyle name="Normal 238 4 3 2 2" xfId="20293" xr:uid="{00000000-0005-0000-0000-0000454F0000}"/>
    <cellStyle name="Normal 238 4 3 3" xfId="20294" xr:uid="{00000000-0005-0000-0000-0000464F0000}"/>
    <cellStyle name="Normal 238 4 4" xfId="20295" xr:uid="{00000000-0005-0000-0000-0000474F0000}"/>
    <cellStyle name="Normal 238 4 4 2" xfId="20296" xr:uid="{00000000-0005-0000-0000-0000484F0000}"/>
    <cellStyle name="Normal 238 4 4 2 2" xfId="20297" xr:uid="{00000000-0005-0000-0000-0000494F0000}"/>
    <cellStyle name="Normal 238 4 4 3" xfId="20298" xr:uid="{00000000-0005-0000-0000-00004A4F0000}"/>
    <cellStyle name="Normal 238 4 5" xfId="20299" xr:uid="{00000000-0005-0000-0000-00004B4F0000}"/>
    <cellStyle name="Normal 238 4 5 2" xfId="20300" xr:uid="{00000000-0005-0000-0000-00004C4F0000}"/>
    <cellStyle name="Normal 238 4 5 2 2" xfId="20301" xr:uid="{00000000-0005-0000-0000-00004D4F0000}"/>
    <cellStyle name="Normal 238 4 5 3" xfId="20302" xr:uid="{00000000-0005-0000-0000-00004E4F0000}"/>
    <cellStyle name="Normal 238 4 6" xfId="20303" xr:uid="{00000000-0005-0000-0000-00004F4F0000}"/>
    <cellStyle name="Normal 238 5" xfId="20304" xr:uid="{00000000-0005-0000-0000-0000504F0000}"/>
    <cellStyle name="Normal 238 5 2" xfId="20305" xr:uid="{00000000-0005-0000-0000-0000514F0000}"/>
    <cellStyle name="Normal 238 5 2 2" xfId="20306" xr:uid="{00000000-0005-0000-0000-0000524F0000}"/>
    <cellStyle name="Normal 238 5 3" xfId="20307" xr:uid="{00000000-0005-0000-0000-0000534F0000}"/>
    <cellStyle name="Normal 238 6" xfId="20308" xr:uid="{00000000-0005-0000-0000-0000544F0000}"/>
    <cellStyle name="Normal 238 6 2" xfId="20309" xr:uid="{00000000-0005-0000-0000-0000554F0000}"/>
    <cellStyle name="Normal 238 6 2 2" xfId="20310" xr:uid="{00000000-0005-0000-0000-0000564F0000}"/>
    <cellStyle name="Normal 238 6 3" xfId="20311" xr:uid="{00000000-0005-0000-0000-0000574F0000}"/>
    <cellStyle name="Normal 238 7" xfId="20312" xr:uid="{00000000-0005-0000-0000-0000584F0000}"/>
    <cellStyle name="Normal 238 7 2" xfId="20313" xr:uid="{00000000-0005-0000-0000-0000594F0000}"/>
    <cellStyle name="Normal 238 7 2 2" xfId="20314" xr:uid="{00000000-0005-0000-0000-00005A4F0000}"/>
    <cellStyle name="Normal 238 7 3" xfId="20315" xr:uid="{00000000-0005-0000-0000-00005B4F0000}"/>
    <cellStyle name="Normal 238 8" xfId="20316" xr:uid="{00000000-0005-0000-0000-00005C4F0000}"/>
    <cellStyle name="Normal 239" xfId="20317" xr:uid="{00000000-0005-0000-0000-00005D4F0000}"/>
    <cellStyle name="Normal 239 2" xfId="20318" xr:uid="{00000000-0005-0000-0000-00005E4F0000}"/>
    <cellStyle name="Normal 239 2 2" xfId="20319" xr:uid="{00000000-0005-0000-0000-00005F4F0000}"/>
    <cellStyle name="Normal 239 2 2 2" xfId="20320" xr:uid="{00000000-0005-0000-0000-0000604F0000}"/>
    <cellStyle name="Normal 239 2 2 2 2" xfId="20321" xr:uid="{00000000-0005-0000-0000-0000614F0000}"/>
    <cellStyle name="Normal 239 2 2 3" xfId="20322" xr:uid="{00000000-0005-0000-0000-0000624F0000}"/>
    <cellStyle name="Normal 239 2 2 3 2" xfId="20323" xr:uid="{00000000-0005-0000-0000-0000634F0000}"/>
    <cellStyle name="Normal 239 2 2 3 2 2" xfId="20324" xr:uid="{00000000-0005-0000-0000-0000644F0000}"/>
    <cellStyle name="Normal 239 2 2 3 3" xfId="20325" xr:uid="{00000000-0005-0000-0000-0000654F0000}"/>
    <cellStyle name="Normal 239 2 2 4" xfId="20326" xr:uid="{00000000-0005-0000-0000-0000664F0000}"/>
    <cellStyle name="Normal 239 2 2 4 2" xfId="20327" xr:uid="{00000000-0005-0000-0000-0000674F0000}"/>
    <cellStyle name="Normal 239 2 2 4 2 2" xfId="20328" xr:uid="{00000000-0005-0000-0000-0000684F0000}"/>
    <cellStyle name="Normal 239 2 2 4 3" xfId="20329" xr:uid="{00000000-0005-0000-0000-0000694F0000}"/>
    <cellStyle name="Normal 239 2 2 5" xfId="20330" xr:uid="{00000000-0005-0000-0000-00006A4F0000}"/>
    <cellStyle name="Normal 239 2 3" xfId="20331" xr:uid="{00000000-0005-0000-0000-00006B4F0000}"/>
    <cellStyle name="Normal 239 2 3 2" xfId="20332" xr:uid="{00000000-0005-0000-0000-00006C4F0000}"/>
    <cellStyle name="Normal 239 2 3 2 2" xfId="20333" xr:uid="{00000000-0005-0000-0000-00006D4F0000}"/>
    <cellStyle name="Normal 239 2 3 2 2 2" xfId="20334" xr:uid="{00000000-0005-0000-0000-00006E4F0000}"/>
    <cellStyle name="Normal 239 2 3 2 3" xfId="20335" xr:uid="{00000000-0005-0000-0000-00006F4F0000}"/>
    <cellStyle name="Normal 239 2 3 2 3 2" xfId="20336" xr:uid="{00000000-0005-0000-0000-0000704F0000}"/>
    <cellStyle name="Normal 239 2 3 2 3 2 2" xfId="20337" xr:uid="{00000000-0005-0000-0000-0000714F0000}"/>
    <cellStyle name="Normal 239 2 3 2 3 3" xfId="20338" xr:uid="{00000000-0005-0000-0000-0000724F0000}"/>
    <cellStyle name="Normal 239 2 3 2 4" xfId="20339" xr:uid="{00000000-0005-0000-0000-0000734F0000}"/>
    <cellStyle name="Normal 239 2 3 3" xfId="20340" xr:uid="{00000000-0005-0000-0000-0000744F0000}"/>
    <cellStyle name="Normal 239 2 3 3 2" xfId="20341" xr:uid="{00000000-0005-0000-0000-0000754F0000}"/>
    <cellStyle name="Normal 239 2 3 3 2 2" xfId="20342" xr:uid="{00000000-0005-0000-0000-0000764F0000}"/>
    <cellStyle name="Normal 239 2 3 3 3" xfId="20343" xr:uid="{00000000-0005-0000-0000-0000774F0000}"/>
    <cellStyle name="Normal 239 2 3 4" xfId="20344" xr:uid="{00000000-0005-0000-0000-0000784F0000}"/>
    <cellStyle name="Normal 239 2 3 4 2" xfId="20345" xr:uid="{00000000-0005-0000-0000-0000794F0000}"/>
    <cellStyle name="Normal 239 2 3 4 2 2" xfId="20346" xr:uid="{00000000-0005-0000-0000-00007A4F0000}"/>
    <cellStyle name="Normal 239 2 3 4 3" xfId="20347" xr:uid="{00000000-0005-0000-0000-00007B4F0000}"/>
    <cellStyle name="Normal 239 2 3 5" xfId="20348" xr:uid="{00000000-0005-0000-0000-00007C4F0000}"/>
    <cellStyle name="Normal 239 2 3 5 2" xfId="20349" xr:uid="{00000000-0005-0000-0000-00007D4F0000}"/>
    <cellStyle name="Normal 239 2 3 5 2 2" xfId="20350" xr:uid="{00000000-0005-0000-0000-00007E4F0000}"/>
    <cellStyle name="Normal 239 2 3 5 3" xfId="20351" xr:uid="{00000000-0005-0000-0000-00007F4F0000}"/>
    <cellStyle name="Normal 239 2 3 6" xfId="20352" xr:uid="{00000000-0005-0000-0000-0000804F0000}"/>
    <cellStyle name="Normal 239 2 4" xfId="20353" xr:uid="{00000000-0005-0000-0000-0000814F0000}"/>
    <cellStyle name="Normal 239 2 4 2" xfId="20354" xr:uid="{00000000-0005-0000-0000-0000824F0000}"/>
    <cellStyle name="Normal 239 2 4 2 2" xfId="20355" xr:uid="{00000000-0005-0000-0000-0000834F0000}"/>
    <cellStyle name="Normal 239 2 4 3" xfId="20356" xr:uid="{00000000-0005-0000-0000-0000844F0000}"/>
    <cellStyle name="Normal 239 2 5" xfId="20357" xr:uid="{00000000-0005-0000-0000-0000854F0000}"/>
    <cellStyle name="Normal 239 2 5 2" xfId="20358" xr:uid="{00000000-0005-0000-0000-0000864F0000}"/>
    <cellStyle name="Normal 239 2 5 2 2" xfId="20359" xr:uid="{00000000-0005-0000-0000-0000874F0000}"/>
    <cellStyle name="Normal 239 2 5 3" xfId="20360" xr:uid="{00000000-0005-0000-0000-0000884F0000}"/>
    <cellStyle name="Normal 239 2 6" xfId="20361" xr:uid="{00000000-0005-0000-0000-0000894F0000}"/>
    <cellStyle name="Normal 239 2 6 2" xfId="20362" xr:uid="{00000000-0005-0000-0000-00008A4F0000}"/>
    <cellStyle name="Normal 239 2 6 2 2" xfId="20363" xr:uid="{00000000-0005-0000-0000-00008B4F0000}"/>
    <cellStyle name="Normal 239 2 6 3" xfId="20364" xr:uid="{00000000-0005-0000-0000-00008C4F0000}"/>
    <cellStyle name="Normal 239 2 7" xfId="20365" xr:uid="{00000000-0005-0000-0000-00008D4F0000}"/>
    <cellStyle name="Normal 239 3" xfId="20366" xr:uid="{00000000-0005-0000-0000-00008E4F0000}"/>
    <cellStyle name="Normal 239 3 2" xfId="20367" xr:uid="{00000000-0005-0000-0000-00008F4F0000}"/>
    <cellStyle name="Normal 239 3 2 2" xfId="20368" xr:uid="{00000000-0005-0000-0000-0000904F0000}"/>
    <cellStyle name="Normal 239 3 3" xfId="20369" xr:uid="{00000000-0005-0000-0000-0000914F0000}"/>
    <cellStyle name="Normal 239 3 3 2" xfId="20370" xr:uid="{00000000-0005-0000-0000-0000924F0000}"/>
    <cellStyle name="Normal 239 3 3 2 2" xfId="20371" xr:uid="{00000000-0005-0000-0000-0000934F0000}"/>
    <cellStyle name="Normal 239 3 3 3" xfId="20372" xr:uid="{00000000-0005-0000-0000-0000944F0000}"/>
    <cellStyle name="Normal 239 3 4" xfId="20373" xr:uid="{00000000-0005-0000-0000-0000954F0000}"/>
    <cellStyle name="Normal 239 3 4 2" xfId="20374" xr:uid="{00000000-0005-0000-0000-0000964F0000}"/>
    <cellStyle name="Normal 239 3 4 2 2" xfId="20375" xr:uid="{00000000-0005-0000-0000-0000974F0000}"/>
    <cellStyle name="Normal 239 3 4 3" xfId="20376" xr:uid="{00000000-0005-0000-0000-0000984F0000}"/>
    <cellStyle name="Normal 239 3 5" xfId="20377" xr:uid="{00000000-0005-0000-0000-0000994F0000}"/>
    <cellStyle name="Normal 239 4" xfId="20378" xr:uid="{00000000-0005-0000-0000-00009A4F0000}"/>
    <cellStyle name="Normal 239 4 2" xfId="20379" xr:uid="{00000000-0005-0000-0000-00009B4F0000}"/>
    <cellStyle name="Normal 239 4 2 2" xfId="20380" xr:uid="{00000000-0005-0000-0000-00009C4F0000}"/>
    <cellStyle name="Normal 239 4 2 2 2" xfId="20381" xr:uid="{00000000-0005-0000-0000-00009D4F0000}"/>
    <cellStyle name="Normal 239 4 2 3" xfId="20382" xr:uid="{00000000-0005-0000-0000-00009E4F0000}"/>
    <cellStyle name="Normal 239 4 2 3 2" xfId="20383" xr:uid="{00000000-0005-0000-0000-00009F4F0000}"/>
    <cellStyle name="Normal 239 4 2 3 2 2" xfId="20384" xr:uid="{00000000-0005-0000-0000-0000A04F0000}"/>
    <cellStyle name="Normal 239 4 2 3 3" xfId="20385" xr:uid="{00000000-0005-0000-0000-0000A14F0000}"/>
    <cellStyle name="Normal 239 4 2 4" xfId="20386" xr:uid="{00000000-0005-0000-0000-0000A24F0000}"/>
    <cellStyle name="Normal 239 4 3" xfId="20387" xr:uid="{00000000-0005-0000-0000-0000A34F0000}"/>
    <cellStyle name="Normal 239 4 3 2" xfId="20388" xr:uid="{00000000-0005-0000-0000-0000A44F0000}"/>
    <cellStyle name="Normal 239 4 3 2 2" xfId="20389" xr:uid="{00000000-0005-0000-0000-0000A54F0000}"/>
    <cellStyle name="Normal 239 4 3 3" xfId="20390" xr:uid="{00000000-0005-0000-0000-0000A64F0000}"/>
    <cellStyle name="Normal 239 4 4" xfId="20391" xr:uid="{00000000-0005-0000-0000-0000A74F0000}"/>
    <cellStyle name="Normal 239 4 4 2" xfId="20392" xr:uid="{00000000-0005-0000-0000-0000A84F0000}"/>
    <cellStyle name="Normal 239 4 4 2 2" xfId="20393" xr:uid="{00000000-0005-0000-0000-0000A94F0000}"/>
    <cellStyle name="Normal 239 4 4 3" xfId="20394" xr:uid="{00000000-0005-0000-0000-0000AA4F0000}"/>
    <cellStyle name="Normal 239 4 5" xfId="20395" xr:uid="{00000000-0005-0000-0000-0000AB4F0000}"/>
    <cellStyle name="Normal 239 4 5 2" xfId="20396" xr:uid="{00000000-0005-0000-0000-0000AC4F0000}"/>
    <cellStyle name="Normal 239 4 5 2 2" xfId="20397" xr:uid="{00000000-0005-0000-0000-0000AD4F0000}"/>
    <cellStyle name="Normal 239 4 5 3" xfId="20398" xr:uid="{00000000-0005-0000-0000-0000AE4F0000}"/>
    <cellStyle name="Normal 239 4 6" xfId="20399" xr:uid="{00000000-0005-0000-0000-0000AF4F0000}"/>
    <cellStyle name="Normal 239 5" xfId="20400" xr:uid="{00000000-0005-0000-0000-0000B04F0000}"/>
    <cellStyle name="Normal 239 5 2" xfId="20401" xr:uid="{00000000-0005-0000-0000-0000B14F0000}"/>
    <cellStyle name="Normal 239 5 2 2" xfId="20402" xr:uid="{00000000-0005-0000-0000-0000B24F0000}"/>
    <cellStyle name="Normal 239 5 3" xfId="20403" xr:uid="{00000000-0005-0000-0000-0000B34F0000}"/>
    <cellStyle name="Normal 239 6" xfId="20404" xr:uid="{00000000-0005-0000-0000-0000B44F0000}"/>
    <cellStyle name="Normal 239 6 2" xfId="20405" xr:uid="{00000000-0005-0000-0000-0000B54F0000}"/>
    <cellStyle name="Normal 239 6 2 2" xfId="20406" xr:uid="{00000000-0005-0000-0000-0000B64F0000}"/>
    <cellStyle name="Normal 239 6 3" xfId="20407" xr:uid="{00000000-0005-0000-0000-0000B74F0000}"/>
    <cellStyle name="Normal 239 7" xfId="20408" xr:uid="{00000000-0005-0000-0000-0000B84F0000}"/>
    <cellStyle name="Normal 239 7 2" xfId="20409" xr:uid="{00000000-0005-0000-0000-0000B94F0000}"/>
    <cellStyle name="Normal 239 7 2 2" xfId="20410" xr:uid="{00000000-0005-0000-0000-0000BA4F0000}"/>
    <cellStyle name="Normal 239 7 3" xfId="20411" xr:uid="{00000000-0005-0000-0000-0000BB4F0000}"/>
    <cellStyle name="Normal 239 8" xfId="20412" xr:uid="{00000000-0005-0000-0000-0000BC4F0000}"/>
    <cellStyle name="Normal 24" xfId="20413" xr:uid="{00000000-0005-0000-0000-0000BD4F0000}"/>
    <cellStyle name="Normal 24 2" xfId="20414" xr:uid="{00000000-0005-0000-0000-0000BE4F0000}"/>
    <cellStyle name="Normal 24 2 2" xfId="20415" xr:uid="{00000000-0005-0000-0000-0000BF4F0000}"/>
    <cellStyle name="Normal 24 2 2 2" xfId="20416" xr:uid="{00000000-0005-0000-0000-0000C04F0000}"/>
    <cellStyle name="Normal 24 2 2 2 2" xfId="20417" xr:uid="{00000000-0005-0000-0000-0000C14F0000}"/>
    <cellStyle name="Normal 24 2 2 3" xfId="20418" xr:uid="{00000000-0005-0000-0000-0000C24F0000}"/>
    <cellStyle name="Normal 24 2 2 3 2" xfId="20419" xr:uid="{00000000-0005-0000-0000-0000C34F0000}"/>
    <cellStyle name="Normal 24 2 2 3 2 2" xfId="20420" xr:uid="{00000000-0005-0000-0000-0000C44F0000}"/>
    <cellStyle name="Normal 24 2 2 3 3" xfId="20421" xr:uid="{00000000-0005-0000-0000-0000C54F0000}"/>
    <cellStyle name="Normal 24 2 2 4" xfId="20422" xr:uid="{00000000-0005-0000-0000-0000C64F0000}"/>
    <cellStyle name="Normal 24 2 2 4 2" xfId="20423" xr:uid="{00000000-0005-0000-0000-0000C74F0000}"/>
    <cellStyle name="Normal 24 2 2 4 2 2" xfId="20424" xr:uid="{00000000-0005-0000-0000-0000C84F0000}"/>
    <cellStyle name="Normal 24 2 2 4 3" xfId="20425" xr:uid="{00000000-0005-0000-0000-0000C94F0000}"/>
    <cellStyle name="Normal 24 2 2 5" xfId="20426" xr:uid="{00000000-0005-0000-0000-0000CA4F0000}"/>
    <cellStyle name="Normal 24 2 3" xfId="20427" xr:uid="{00000000-0005-0000-0000-0000CB4F0000}"/>
    <cellStyle name="Normal 24 2 3 2" xfId="20428" xr:uid="{00000000-0005-0000-0000-0000CC4F0000}"/>
    <cellStyle name="Normal 24 2 3 2 2" xfId="20429" xr:uid="{00000000-0005-0000-0000-0000CD4F0000}"/>
    <cellStyle name="Normal 24 2 3 3" xfId="20430" xr:uid="{00000000-0005-0000-0000-0000CE4F0000}"/>
    <cellStyle name="Normal 24 2 4" xfId="20431" xr:uid="{00000000-0005-0000-0000-0000CF4F0000}"/>
    <cellStyle name="Normal 24 2 4 2" xfId="20432" xr:uid="{00000000-0005-0000-0000-0000D04F0000}"/>
    <cellStyle name="Normal 24 2 4 2 2" xfId="20433" xr:uid="{00000000-0005-0000-0000-0000D14F0000}"/>
    <cellStyle name="Normal 24 2 4 3" xfId="20434" xr:uid="{00000000-0005-0000-0000-0000D24F0000}"/>
    <cellStyle name="Normal 24 2 5" xfId="20435" xr:uid="{00000000-0005-0000-0000-0000D34F0000}"/>
    <cellStyle name="Normal 24 2 5 2" xfId="20436" xr:uid="{00000000-0005-0000-0000-0000D44F0000}"/>
    <cellStyle name="Normal 24 2 5 2 2" xfId="20437" xr:uid="{00000000-0005-0000-0000-0000D54F0000}"/>
    <cellStyle name="Normal 24 2 5 3" xfId="20438" xr:uid="{00000000-0005-0000-0000-0000D64F0000}"/>
    <cellStyle name="Normal 24 2 6" xfId="20439" xr:uid="{00000000-0005-0000-0000-0000D74F0000}"/>
    <cellStyle name="Normal 24 3" xfId="20440" xr:uid="{00000000-0005-0000-0000-0000D84F0000}"/>
    <cellStyle name="Normal 24 3 2" xfId="20441" xr:uid="{00000000-0005-0000-0000-0000D94F0000}"/>
    <cellStyle name="Normal 24 3 2 2" xfId="20442" xr:uid="{00000000-0005-0000-0000-0000DA4F0000}"/>
    <cellStyle name="Normal 24 3 3" xfId="20443" xr:uid="{00000000-0005-0000-0000-0000DB4F0000}"/>
    <cellStyle name="Normal 24 3 3 2" xfId="20444" xr:uid="{00000000-0005-0000-0000-0000DC4F0000}"/>
    <cellStyle name="Normal 24 3 3 2 2" xfId="20445" xr:uid="{00000000-0005-0000-0000-0000DD4F0000}"/>
    <cellStyle name="Normal 24 3 3 3" xfId="20446" xr:uid="{00000000-0005-0000-0000-0000DE4F0000}"/>
    <cellStyle name="Normal 24 3 4" xfId="20447" xr:uid="{00000000-0005-0000-0000-0000DF4F0000}"/>
    <cellStyle name="Normal 24 3 4 2" xfId="20448" xr:uid="{00000000-0005-0000-0000-0000E04F0000}"/>
    <cellStyle name="Normal 24 3 4 2 2" xfId="20449" xr:uid="{00000000-0005-0000-0000-0000E14F0000}"/>
    <cellStyle name="Normal 24 3 4 3" xfId="20450" xr:uid="{00000000-0005-0000-0000-0000E24F0000}"/>
    <cellStyle name="Normal 24 3 5" xfId="20451" xr:uid="{00000000-0005-0000-0000-0000E34F0000}"/>
    <cellStyle name="Normal 24 4" xfId="20452" xr:uid="{00000000-0005-0000-0000-0000E44F0000}"/>
    <cellStyle name="Normal 24 4 2" xfId="20453" xr:uid="{00000000-0005-0000-0000-0000E54F0000}"/>
    <cellStyle name="Normal 24 4 2 2" xfId="20454" xr:uid="{00000000-0005-0000-0000-0000E64F0000}"/>
    <cellStyle name="Normal 24 4 3" xfId="20455" xr:uid="{00000000-0005-0000-0000-0000E74F0000}"/>
    <cellStyle name="Normal 24 4 3 2" xfId="20456" xr:uid="{00000000-0005-0000-0000-0000E84F0000}"/>
    <cellStyle name="Normal 24 4 3 2 2" xfId="20457" xr:uid="{00000000-0005-0000-0000-0000E94F0000}"/>
    <cellStyle name="Normal 24 4 3 3" xfId="20458" xr:uid="{00000000-0005-0000-0000-0000EA4F0000}"/>
    <cellStyle name="Normal 24 4 4" xfId="20459" xr:uid="{00000000-0005-0000-0000-0000EB4F0000}"/>
    <cellStyle name="Normal 24 4 4 2" xfId="20460" xr:uid="{00000000-0005-0000-0000-0000EC4F0000}"/>
    <cellStyle name="Normal 24 4 4 2 2" xfId="20461" xr:uid="{00000000-0005-0000-0000-0000ED4F0000}"/>
    <cellStyle name="Normal 24 4 4 3" xfId="20462" xr:uid="{00000000-0005-0000-0000-0000EE4F0000}"/>
    <cellStyle name="Normal 24 4 5" xfId="20463" xr:uid="{00000000-0005-0000-0000-0000EF4F0000}"/>
    <cellStyle name="Normal 24 5" xfId="20464" xr:uid="{00000000-0005-0000-0000-0000F04F0000}"/>
    <cellStyle name="Normal 24 5 2" xfId="20465" xr:uid="{00000000-0005-0000-0000-0000F14F0000}"/>
    <cellStyle name="Normal 24 5 2 2" xfId="20466" xr:uid="{00000000-0005-0000-0000-0000F24F0000}"/>
    <cellStyle name="Normal 24 5 3" xfId="20467" xr:uid="{00000000-0005-0000-0000-0000F34F0000}"/>
    <cellStyle name="Normal 24 6" xfId="20468" xr:uid="{00000000-0005-0000-0000-0000F44F0000}"/>
    <cellStyle name="Normal 24 6 2" xfId="20469" xr:uid="{00000000-0005-0000-0000-0000F54F0000}"/>
    <cellStyle name="Normal 24 6 2 2" xfId="20470" xr:uid="{00000000-0005-0000-0000-0000F64F0000}"/>
    <cellStyle name="Normal 24 6 3" xfId="20471" xr:uid="{00000000-0005-0000-0000-0000F74F0000}"/>
    <cellStyle name="Normal 24 7" xfId="20472" xr:uid="{00000000-0005-0000-0000-0000F84F0000}"/>
    <cellStyle name="Normal 24 7 2" xfId="20473" xr:uid="{00000000-0005-0000-0000-0000F94F0000}"/>
    <cellStyle name="Normal 24 7 2 2" xfId="20474" xr:uid="{00000000-0005-0000-0000-0000FA4F0000}"/>
    <cellStyle name="Normal 24 7 3" xfId="20475" xr:uid="{00000000-0005-0000-0000-0000FB4F0000}"/>
    <cellStyle name="Normal 24 8" xfId="20476" xr:uid="{00000000-0005-0000-0000-0000FC4F0000}"/>
    <cellStyle name="Normal 240" xfId="20477" xr:uid="{00000000-0005-0000-0000-0000FD4F0000}"/>
    <cellStyle name="Normal 240 2" xfId="20478" xr:uid="{00000000-0005-0000-0000-0000FE4F0000}"/>
    <cellStyle name="Normal 240 2 2" xfId="20479" xr:uid="{00000000-0005-0000-0000-0000FF4F0000}"/>
    <cellStyle name="Normal 240 2 2 2" xfId="20480" xr:uid="{00000000-0005-0000-0000-000000500000}"/>
    <cellStyle name="Normal 240 2 2 2 2" xfId="20481" xr:uid="{00000000-0005-0000-0000-000001500000}"/>
    <cellStyle name="Normal 240 2 2 3" xfId="20482" xr:uid="{00000000-0005-0000-0000-000002500000}"/>
    <cellStyle name="Normal 240 2 2 3 2" xfId="20483" xr:uid="{00000000-0005-0000-0000-000003500000}"/>
    <cellStyle name="Normal 240 2 2 3 2 2" xfId="20484" xr:uid="{00000000-0005-0000-0000-000004500000}"/>
    <cellStyle name="Normal 240 2 2 3 3" xfId="20485" xr:uid="{00000000-0005-0000-0000-000005500000}"/>
    <cellStyle name="Normal 240 2 2 4" xfId="20486" xr:uid="{00000000-0005-0000-0000-000006500000}"/>
    <cellStyle name="Normal 240 2 2 4 2" xfId="20487" xr:uid="{00000000-0005-0000-0000-000007500000}"/>
    <cellStyle name="Normal 240 2 2 4 2 2" xfId="20488" xr:uid="{00000000-0005-0000-0000-000008500000}"/>
    <cellStyle name="Normal 240 2 2 4 3" xfId="20489" xr:uid="{00000000-0005-0000-0000-000009500000}"/>
    <cellStyle name="Normal 240 2 2 5" xfId="20490" xr:uid="{00000000-0005-0000-0000-00000A500000}"/>
    <cellStyle name="Normal 240 2 3" xfId="20491" xr:uid="{00000000-0005-0000-0000-00000B500000}"/>
    <cellStyle name="Normal 240 2 3 2" xfId="20492" xr:uid="{00000000-0005-0000-0000-00000C500000}"/>
    <cellStyle name="Normal 240 2 3 2 2" xfId="20493" xr:uid="{00000000-0005-0000-0000-00000D500000}"/>
    <cellStyle name="Normal 240 2 3 2 2 2" xfId="20494" xr:uid="{00000000-0005-0000-0000-00000E500000}"/>
    <cellStyle name="Normal 240 2 3 2 3" xfId="20495" xr:uid="{00000000-0005-0000-0000-00000F500000}"/>
    <cellStyle name="Normal 240 2 3 2 3 2" xfId="20496" xr:uid="{00000000-0005-0000-0000-000010500000}"/>
    <cellStyle name="Normal 240 2 3 2 3 2 2" xfId="20497" xr:uid="{00000000-0005-0000-0000-000011500000}"/>
    <cellStyle name="Normal 240 2 3 2 3 3" xfId="20498" xr:uid="{00000000-0005-0000-0000-000012500000}"/>
    <cellStyle name="Normal 240 2 3 2 4" xfId="20499" xr:uid="{00000000-0005-0000-0000-000013500000}"/>
    <cellStyle name="Normal 240 2 3 3" xfId="20500" xr:uid="{00000000-0005-0000-0000-000014500000}"/>
    <cellStyle name="Normal 240 2 3 3 2" xfId="20501" xr:uid="{00000000-0005-0000-0000-000015500000}"/>
    <cellStyle name="Normal 240 2 3 3 2 2" xfId="20502" xr:uid="{00000000-0005-0000-0000-000016500000}"/>
    <cellStyle name="Normal 240 2 3 3 3" xfId="20503" xr:uid="{00000000-0005-0000-0000-000017500000}"/>
    <cellStyle name="Normal 240 2 3 4" xfId="20504" xr:uid="{00000000-0005-0000-0000-000018500000}"/>
    <cellStyle name="Normal 240 2 3 4 2" xfId="20505" xr:uid="{00000000-0005-0000-0000-000019500000}"/>
    <cellStyle name="Normal 240 2 3 4 2 2" xfId="20506" xr:uid="{00000000-0005-0000-0000-00001A500000}"/>
    <cellStyle name="Normal 240 2 3 4 3" xfId="20507" xr:uid="{00000000-0005-0000-0000-00001B500000}"/>
    <cellStyle name="Normal 240 2 3 5" xfId="20508" xr:uid="{00000000-0005-0000-0000-00001C500000}"/>
    <cellStyle name="Normal 240 2 3 5 2" xfId="20509" xr:uid="{00000000-0005-0000-0000-00001D500000}"/>
    <cellStyle name="Normal 240 2 3 5 2 2" xfId="20510" xr:uid="{00000000-0005-0000-0000-00001E500000}"/>
    <cellStyle name="Normal 240 2 3 5 3" xfId="20511" xr:uid="{00000000-0005-0000-0000-00001F500000}"/>
    <cellStyle name="Normal 240 2 3 6" xfId="20512" xr:uid="{00000000-0005-0000-0000-000020500000}"/>
    <cellStyle name="Normal 240 2 4" xfId="20513" xr:uid="{00000000-0005-0000-0000-000021500000}"/>
    <cellStyle name="Normal 240 2 4 2" xfId="20514" xr:uid="{00000000-0005-0000-0000-000022500000}"/>
    <cellStyle name="Normal 240 2 4 2 2" xfId="20515" xr:uid="{00000000-0005-0000-0000-000023500000}"/>
    <cellStyle name="Normal 240 2 4 3" xfId="20516" xr:uid="{00000000-0005-0000-0000-000024500000}"/>
    <cellStyle name="Normal 240 2 5" xfId="20517" xr:uid="{00000000-0005-0000-0000-000025500000}"/>
    <cellStyle name="Normal 240 2 5 2" xfId="20518" xr:uid="{00000000-0005-0000-0000-000026500000}"/>
    <cellStyle name="Normal 240 2 5 2 2" xfId="20519" xr:uid="{00000000-0005-0000-0000-000027500000}"/>
    <cellStyle name="Normal 240 2 5 3" xfId="20520" xr:uid="{00000000-0005-0000-0000-000028500000}"/>
    <cellStyle name="Normal 240 2 6" xfId="20521" xr:uid="{00000000-0005-0000-0000-000029500000}"/>
    <cellStyle name="Normal 240 2 6 2" xfId="20522" xr:uid="{00000000-0005-0000-0000-00002A500000}"/>
    <cellStyle name="Normal 240 2 6 2 2" xfId="20523" xr:uid="{00000000-0005-0000-0000-00002B500000}"/>
    <cellStyle name="Normal 240 2 6 3" xfId="20524" xr:uid="{00000000-0005-0000-0000-00002C500000}"/>
    <cellStyle name="Normal 240 2 7" xfId="20525" xr:uid="{00000000-0005-0000-0000-00002D500000}"/>
    <cellStyle name="Normal 240 3" xfId="20526" xr:uid="{00000000-0005-0000-0000-00002E500000}"/>
    <cellStyle name="Normal 240 3 2" xfId="20527" xr:uid="{00000000-0005-0000-0000-00002F500000}"/>
    <cellStyle name="Normal 240 3 2 2" xfId="20528" xr:uid="{00000000-0005-0000-0000-000030500000}"/>
    <cellStyle name="Normal 240 3 3" xfId="20529" xr:uid="{00000000-0005-0000-0000-000031500000}"/>
    <cellStyle name="Normal 240 3 3 2" xfId="20530" xr:uid="{00000000-0005-0000-0000-000032500000}"/>
    <cellStyle name="Normal 240 3 3 2 2" xfId="20531" xr:uid="{00000000-0005-0000-0000-000033500000}"/>
    <cellStyle name="Normal 240 3 3 3" xfId="20532" xr:uid="{00000000-0005-0000-0000-000034500000}"/>
    <cellStyle name="Normal 240 3 4" xfId="20533" xr:uid="{00000000-0005-0000-0000-000035500000}"/>
    <cellStyle name="Normal 240 3 4 2" xfId="20534" xr:uid="{00000000-0005-0000-0000-000036500000}"/>
    <cellStyle name="Normal 240 3 4 2 2" xfId="20535" xr:uid="{00000000-0005-0000-0000-000037500000}"/>
    <cellStyle name="Normal 240 3 4 3" xfId="20536" xr:uid="{00000000-0005-0000-0000-000038500000}"/>
    <cellStyle name="Normal 240 3 5" xfId="20537" xr:uid="{00000000-0005-0000-0000-000039500000}"/>
    <cellStyle name="Normal 240 4" xfId="20538" xr:uid="{00000000-0005-0000-0000-00003A500000}"/>
    <cellStyle name="Normal 240 4 2" xfId="20539" xr:uid="{00000000-0005-0000-0000-00003B500000}"/>
    <cellStyle name="Normal 240 4 2 2" xfId="20540" xr:uid="{00000000-0005-0000-0000-00003C500000}"/>
    <cellStyle name="Normal 240 4 2 2 2" xfId="20541" xr:uid="{00000000-0005-0000-0000-00003D500000}"/>
    <cellStyle name="Normal 240 4 2 3" xfId="20542" xr:uid="{00000000-0005-0000-0000-00003E500000}"/>
    <cellStyle name="Normal 240 4 2 3 2" xfId="20543" xr:uid="{00000000-0005-0000-0000-00003F500000}"/>
    <cellStyle name="Normal 240 4 2 3 2 2" xfId="20544" xr:uid="{00000000-0005-0000-0000-000040500000}"/>
    <cellStyle name="Normal 240 4 2 3 3" xfId="20545" xr:uid="{00000000-0005-0000-0000-000041500000}"/>
    <cellStyle name="Normal 240 4 2 4" xfId="20546" xr:uid="{00000000-0005-0000-0000-000042500000}"/>
    <cellStyle name="Normal 240 4 3" xfId="20547" xr:uid="{00000000-0005-0000-0000-000043500000}"/>
    <cellStyle name="Normal 240 4 3 2" xfId="20548" xr:uid="{00000000-0005-0000-0000-000044500000}"/>
    <cellStyle name="Normal 240 4 3 2 2" xfId="20549" xr:uid="{00000000-0005-0000-0000-000045500000}"/>
    <cellStyle name="Normal 240 4 3 3" xfId="20550" xr:uid="{00000000-0005-0000-0000-000046500000}"/>
    <cellStyle name="Normal 240 4 4" xfId="20551" xr:uid="{00000000-0005-0000-0000-000047500000}"/>
    <cellStyle name="Normal 240 4 4 2" xfId="20552" xr:uid="{00000000-0005-0000-0000-000048500000}"/>
    <cellStyle name="Normal 240 4 4 2 2" xfId="20553" xr:uid="{00000000-0005-0000-0000-000049500000}"/>
    <cellStyle name="Normal 240 4 4 3" xfId="20554" xr:uid="{00000000-0005-0000-0000-00004A500000}"/>
    <cellStyle name="Normal 240 4 5" xfId="20555" xr:uid="{00000000-0005-0000-0000-00004B500000}"/>
    <cellStyle name="Normal 240 4 5 2" xfId="20556" xr:uid="{00000000-0005-0000-0000-00004C500000}"/>
    <cellStyle name="Normal 240 4 5 2 2" xfId="20557" xr:uid="{00000000-0005-0000-0000-00004D500000}"/>
    <cellStyle name="Normal 240 4 5 3" xfId="20558" xr:uid="{00000000-0005-0000-0000-00004E500000}"/>
    <cellStyle name="Normal 240 4 6" xfId="20559" xr:uid="{00000000-0005-0000-0000-00004F500000}"/>
    <cellStyle name="Normal 240 5" xfId="20560" xr:uid="{00000000-0005-0000-0000-000050500000}"/>
    <cellStyle name="Normal 240 5 2" xfId="20561" xr:uid="{00000000-0005-0000-0000-000051500000}"/>
    <cellStyle name="Normal 240 5 2 2" xfId="20562" xr:uid="{00000000-0005-0000-0000-000052500000}"/>
    <cellStyle name="Normal 240 5 3" xfId="20563" xr:uid="{00000000-0005-0000-0000-000053500000}"/>
    <cellStyle name="Normal 240 6" xfId="20564" xr:uid="{00000000-0005-0000-0000-000054500000}"/>
    <cellStyle name="Normal 240 6 2" xfId="20565" xr:uid="{00000000-0005-0000-0000-000055500000}"/>
    <cellStyle name="Normal 240 6 2 2" xfId="20566" xr:uid="{00000000-0005-0000-0000-000056500000}"/>
    <cellStyle name="Normal 240 6 3" xfId="20567" xr:uid="{00000000-0005-0000-0000-000057500000}"/>
    <cellStyle name="Normal 240 7" xfId="20568" xr:uid="{00000000-0005-0000-0000-000058500000}"/>
    <cellStyle name="Normal 240 7 2" xfId="20569" xr:uid="{00000000-0005-0000-0000-000059500000}"/>
    <cellStyle name="Normal 240 7 2 2" xfId="20570" xr:uid="{00000000-0005-0000-0000-00005A500000}"/>
    <cellStyle name="Normal 240 7 3" xfId="20571" xr:uid="{00000000-0005-0000-0000-00005B500000}"/>
    <cellStyle name="Normal 240 8" xfId="20572" xr:uid="{00000000-0005-0000-0000-00005C500000}"/>
    <cellStyle name="Normal 241" xfId="20573" xr:uid="{00000000-0005-0000-0000-00005D500000}"/>
    <cellStyle name="Normal 241 2" xfId="20574" xr:uid="{00000000-0005-0000-0000-00005E500000}"/>
    <cellStyle name="Normal 241 2 2" xfId="20575" xr:uid="{00000000-0005-0000-0000-00005F500000}"/>
    <cellStyle name="Normal 241 2 2 2" xfId="20576" xr:uid="{00000000-0005-0000-0000-000060500000}"/>
    <cellStyle name="Normal 241 2 2 2 2" xfId="20577" xr:uid="{00000000-0005-0000-0000-000061500000}"/>
    <cellStyle name="Normal 241 2 2 3" xfId="20578" xr:uid="{00000000-0005-0000-0000-000062500000}"/>
    <cellStyle name="Normal 241 2 2 3 2" xfId="20579" xr:uid="{00000000-0005-0000-0000-000063500000}"/>
    <cellStyle name="Normal 241 2 2 3 2 2" xfId="20580" xr:uid="{00000000-0005-0000-0000-000064500000}"/>
    <cellStyle name="Normal 241 2 2 3 3" xfId="20581" xr:uid="{00000000-0005-0000-0000-000065500000}"/>
    <cellStyle name="Normal 241 2 2 4" xfId="20582" xr:uid="{00000000-0005-0000-0000-000066500000}"/>
    <cellStyle name="Normal 241 2 2 4 2" xfId="20583" xr:uid="{00000000-0005-0000-0000-000067500000}"/>
    <cellStyle name="Normal 241 2 2 4 2 2" xfId="20584" xr:uid="{00000000-0005-0000-0000-000068500000}"/>
    <cellStyle name="Normal 241 2 2 4 3" xfId="20585" xr:uid="{00000000-0005-0000-0000-000069500000}"/>
    <cellStyle name="Normal 241 2 2 5" xfId="20586" xr:uid="{00000000-0005-0000-0000-00006A500000}"/>
    <cellStyle name="Normal 241 2 3" xfId="20587" xr:uid="{00000000-0005-0000-0000-00006B500000}"/>
    <cellStyle name="Normal 241 2 3 2" xfId="20588" xr:uid="{00000000-0005-0000-0000-00006C500000}"/>
    <cellStyle name="Normal 241 2 3 2 2" xfId="20589" xr:uid="{00000000-0005-0000-0000-00006D500000}"/>
    <cellStyle name="Normal 241 2 3 2 2 2" xfId="20590" xr:uid="{00000000-0005-0000-0000-00006E500000}"/>
    <cellStyle name="Normal 241 2 3 2 3" xfId="20591" xr:uid="{00000000-0005-0000-0000-00006F500000}"/>
    <cellStyle name="Normal 241 2 3 2 3 2" xfId="20592" xr:uid="{00000000-0005-0000-0000-000070500000}"/>
    <cellStyle name="Normal 241 2 3 2 3 2 2" xfId="20593" xr:uid="{00000000-0005-0000-0000-000071500000}"/>
    <cellStyle name="Normal 241 2 3 2 3 3" xfId="20594" xr:uid="{00000000-0005-0000-0000-000072500000}"/>
    <cellStyle name="Normal 241 2 3 2 4" xfId="20595" xr:uid="{00000000-0005-0000-0000-000073500000}"/>
    <cellStyle name="Normal 241 2 3 3" xfId="20596" xr:uid="{00000000-0005-0000-0000-000074500000}"/>
    <cellStyle name="Normal 241 2 3 3 2" xfId="20597" xr:uid="{00000000-0005-0000-0000-000075500000}"/>
    <cellStyle name="Normal 241 2 3 3 2 2" xfId="20598" xr:uid="{00000000-0005-0000-0000-000076500000}"/>
    <cellStyle name="Normal 241 2 3 3 3" xfId="20599" xr:uid="{00000000-0005-0000-0000-000077500000}"/>
    <cellStyle name="Normal 241 2 3 4" xfId="20600" xr:uid="{00000000-0005-0000-0000-000078500000}"/>
    <cellStyle name="Normal 241 2 3 4 2" xfId="20601" xr:uid="{00000000-0005-0000-0000-000079500000}"/>
    <cellStyle name="Normal 241 2 3 4 2 2" xfId="20602" xr:uid="{00000000-0005-0000-0000-00007A500000}"/>
    <cellStyle name="Normal 241 2 3 4 3" xfId="20603" xr:uid="{00000000-0005-0000-0000-00007B500000}"/>
    <cellStyle name="Normal 241 2 3 5" xfId="20604" xr:uid="{00000000-0005-0000-0000-00007C500000}"/>
    <cellStyle name="Normal 241 2 3 5 2" xfId="20605" xr:uid="{00000000-0005-0000-0000-00007D500000}"/>
    <cellStyle name="Normal 241 2 3 5 2 2" xfId="20606" xr:uid="{00000000-0005-0000-0000-00007E500000}"/>
    <cellStyle name="Normal 241 2 3 5 3" xfId="20607" xr:uid="{00000000-0005-0000-0000-00007F500000}"/>
    <cellStyle name="Normal 241 2 3 6" xfId="20608" xr:uid="{00000000-0005-0000-0000-000080500000}"/>
    <cellStyle name="Normal 241 2 4" xfId="20609" xr:uid="{00000000-0005-0000-0000-000081500000}"/>
    <cellStyle name="Normal 241 2 4 2" xfId="20610" xr:uid="{00000000-0005-0000-0000-000082500000}"/>
    <cellStyle name="Normal 241 2 4 2 2" xfId="20611" xr:uid="{00000000-0005-0000-0000-000083500000}"/>
    <cellStyle name="Normal 241 2 4 3" xfId="20612" xr:uid="{00000000-0005-0000-0000-000084500000}"/>
    <cellStyle name="Normal 241 2 5" xfId="20613" xr:uid="{00000000-0005-0000-0000-000085500000}"/>
    <cellStyle name="Normal 241 2 5 2" xfId="20614" xr:uid="{00000000-0005-0000-0000-000086500000}"/>
    <cellStyle name="Normal 241 2 5 2 2" xfId="20615" xr:uid="{00000000-0005-0000-0000-000087500000}"/>
    <cellStyle name="Normal 241 2 5 3" xfId="20616" xr:uid="{00000000-0005-0000-0000-000088500000}"/>
    <cellStyle name="Normal 241 2 6" xfId="20617" xr:uid="{00000000-0005-0000-0000-000089500000}"/>
    <cellStyle name="Normal 241 2 6 2" xfId="20618" xr:uid="{00000000-0005-0000-0000-00008A500000}"/>
    <cellStyle name="Normal 241 2 6 2 2" xfId="20619" xr:uid="{00000000-0005-0000-0000-00008B500000}"/>
    <cellStyle name="Normal 241 2 6 3" xfId="20620" xr:uid="{00000000-0005-0000-0000-00008C500000}"/>
    <cellStyle name="Normal 241 2 7" xfId="20621" xr:uid="{00000000-0005-0000-0000-00008D500000}"/>
    <cellStyle name="Normal 241 3" xfId="20622" xr:uid="{00000000-0005-0000-0000-00008E500000}"/>
    <cellStyle name="Normal 241 3 2" xfId="20623" xr:uid="{00000000-0005-0000-0000-00008F500000}"/>
    <cellStyle name="Normal 241 3 2 2" xfId="20624" xr:uid="{00000000-0005-0000-0000-000090500000}"/>
    <cellStyle name="Normal 241 3 3" xfId="20625" xr:uid="{00000000-0005-0000-0000-000091500000}"/>
    <cellStyle name="Normal 241 3 3 2" xfId="20626" xr:uid="{00000000-0005-0000-0000-000092500000}"/>
    <cellStyle name="Normal 241 3 3 2 2" xfId="20627" xr:uid="{00000000-0005-0000-0000-000093500000}"/>
    <cellStyle name="Normal 241 3 3 3" xfId="20628" xr:uid="{00000000-0005-0000-0000-000094500000}"/>
    <cellStyle name="Normal 241 3 4" xfId="20629" xr:uid="{00000000-0005-0000-0000-000095500000}"/>
    <cellStyle name="Normal 241 3 4 2" xfId="20630" xr:uid="{00000000-0005-0000-0000-000096500000}"/>
    <cellStyle name="Normal 241 3 4 2 2" xfId="20631" xr:uid="{00000000-0005-0000-0000-000097500000}"/>
    <cellStyle name="Normal 241 3 4 3" xfId="20632" xr:uid="{00000000-0005-0000-0000-000098500000}"/>
    <cellStyle name="Normal 241 3 5" xfId="20633" xr:uid="{00000000-0005-0000-0000-000099500000}"/>
    <cellStyle name="Normal 241 4" xfId="20634" xr:uid="{00000000-0005-0000-0000-00009A500000}"/>
    <cellStyle name="Normal 241 4 2" xfId="20635" xr:uid="{00000000-0005-0000-0000-00009B500000}"/>
    <cellStyle name="Normal 241 4 2 2" xfId="20636" xr:uid="{00000000-0005-0000-0000-00009C500000}"/>
    <cellStyle name="Normal 241 4 2 2 2" xfId="20637" xr:uid="{00000000-0005-0000-0000-00009D500000}"/>
    <cellStyle name="Normal 241 4 2 3" xfId="20638" xr:uid="{00000000-0005-0000-0000-00009E500000}"/>
    <cellStyle name="Normal 241 4 2 3 2" xfId="20639" xr:uid="{00000000-0005-0000-0000-00009F500000}"/>
    <cellStyle name="Normal 241 4 2 3 2 2" xfId="20640" xr:uid="{00000000-0005-0000-0000-0000A0500000}"/>
    <cellStyle name="Normal 241 4 2 3 3" xfId="20641" xr:uid="{00000000-0005-0000-0000-0000A1500000}"/>
    <cellStyle name="Normal 241 4 2 4" xfId="20642" xr:uid="{00000000-0005-0000-0000-0000A2500000}"/>
    <cellStyle name="Normal 241 4 3" xfId="20643" xr:uid="{00000000-0005-0000-0000-0000A3500000}"/>
    <cellStyle name="Normal 241 4 3 2" xfId="20644" xr:uid="{00000000-0005-0000-0000-0000A4500000}"/>
    <cellStyle name="Normal 241 4 3 2 2" xfId="20645" xr:uid="{00000000-0005-0000-0000-0000A5500000}"/>
    <cellStyle name="Normal 241 4 3 3" xfId="20646" xr:uid="{00000000-0005-0000-0000-0000A6500000}"/>
    <cellStyle name="Normal 241 4 4" xfId="20647" xr:uid="{00000000-0005-0000-0000-0000A7500000}"/>
    <cellStyle name="Normal 241 4 4 2" xfId="20648" xr:uid="{00000000-0005-0000-0000-0000A8500000}"/>
    <cellStyle name="Normal 241 4 4 2 2" xfId="20649" xr:uid="{00000000-0005-0000-0000-0000A9500000}"/>
    <cellStyle name="Normal 241 4 4 3" xfId="20650" xr:uid="{00000000-0005-0000-0000-0000AA500000}"/>
    <cellStyle name="Normal 241 4 5" xfId="20651" xr:uid="{00000000-0005-0000-0000-0000AB500000}"/>
    <cellStyle name="Normal 241 4 5 2" xfId="20652" xr:uid="{00000000-0005-0000-0000-0000AC500000}"/>
    <cellStyle name="Normal 241 4 5 2 2" xfId="20653" xr:uid="{00000000-0005-0000-0000-0000AD500000}"/>
    <cellStyle name="Normal 241 4 5 3" xfId="20654" xr:uid="{00000000-0005-0000-0000-0000AE500000}"/>
    <cellStyle name="Normal 241 4 6" xfId="20655" xr:uid="{00000000-0005-0000-0000-0000AF500000}"/>
    <cellStyle name="Normal 241 5" xfId="20656" xr:uid="{00000000-0005-0000-0000-0000B0500000}"/>
    <cellStyle name="Normal 241 5 2" xfId="20657" xr:uid="{00000000-0005-0000-0000-0000B1500000}"/>
    <cellStyle name="Normal 241 5 2 2" xfId="20658" xr:uid="{00000000-0005-0000-0000-0000B2500000}"/>
    <cellStyle name="Normal 241 5 3" xfId="20659" xr:uid="{00000000-0005-0000-0000-0000B3500000}"/>
    <cellStyle name="Normal 241 6" xfId="20660" xr:uid="{00000000-0005-0000-0000-0000B4500000}"/>
    <cellStyle name="Normal 241 6 2" xfId="20661" xr:uid="{00000000-0005-0000-0000-0000B5500000}"/>
    <cellStyle name="Normal 241 6 2 2" xfId="20662" xr:uid="{00000000-0005-0000-0000-0000B6500000}"/>
    <cellStyle name="Normal 241 6 3" xfId="20663" xr:uid="{00000000-0005-0000-0000-0000B7500000}"/>
    <cellStyle name="Normal 241 7" xfId="20664" xr:uid="{00000000-0005-0000-0000-0000B8500000}"/>
    <cellStyle name="Normal 241 7 2" xfId="20665" xr:uid="{00000000-0005-0000-0000-0000B9500000}"/>
    <cellStyle name="Normal 241 7 2 2" xfId="20666" xr:uid="{00000000-0005-0000-0000-0000BA500000}"/>
    <cellStyle name="Normal 241 7 3" xfId="20667" xr:uid="{00000000-0005-0000-0000-0000BB500000}"/>
    <cellStyle name="Normal 241 8" xfId="20668" xr:uid="{00000000-0005-0000-0000-0000BC500000}"/>
    <cellStyle name="Normal 242" xfId="20669" xr:uid="{00000000-0005-0000-0000-0000BD500000}"/>
    <cellStyle name="Normal 242 2" xfId="20670" xr:uid="{00000000-0005-0000-0000-0000BE500000}"/>
    <cellStyle name="Normal 242 2 2" xfId="20671" xr:uid="{00000000-0005-0000-0000-0000BF500000}"/>
    <cellStyle name="Normal 242 2 2 2" xfId="20672" xr:uid="{00000000-0005-0000-0000-0000C0500000}"/>
    <cellStyle name="Normal 242 2 2 2 2" xfId="20673" xr:uid="{00000000-0005-0000-0000-0000C1500000}"/>
    <cellStyle name="Normal 242 2 2 3" xfId="20674" xr:uid="{00000000-0005-0000-0000-0000C2500000}"/>
    <cellStyle name="Normal 242 2 2 3 2" xfId="20675" xr:uid="{00000000-0005-0000-0000-0000C3500000}"/>
    <cellStyle name="Normal 242 2 2 3 2 2" xfId="20676" xr:uid="{00000000-0005-0000-0000-0000C4500000}"/>
    <cellStyle name="Normal 242 2 2 3 3" xfId="20677" xr:uid="{00000000-0005-0000-0000-0000C5500000}"/>
    <cellStyle name="Normal 242 2 2 4" xfId="20678" xr:uid="{00000000-0005-0000-0000-0000C6500000}"/>
    <cellStyle name="Normal 242 2 2 4 2" xfId="20679" xr:uid="{00000000-0005-0000-0000-0000C7500000}"/>
    <cellStyle name="Normal 242 2 2 4 2 2" xfId="20680" xr:uid="{00000000-0005-0000-0000-0000C8500000}"/>
    <cellStyle name="Normal 242 2 2 4 3" xfId="20681" xr:uid="{00000000-0005-0000-0000-0000C9500000}"/>
    <cellStyle name="Normal 242 2 2 5" xfId="20682" xr:uid="{00000000-0005-0000-0000-0000CA500000}"/>
    <cellStyle name="Normal 242 2 3" xfId="20683" xr:uid="{00000000-0005-0000-0000-0000CB500000}"/>
    <cellStyle name="Normal 242 2 3 2" xfId="20684" xr:uid="{00000000-0005-0000-0000-0000CC500000}"/>
    <cellStyle name="Normal 242 2 3 2 2" xfId="20685" xr:uid="{00000000-0005-0000-0000-0000CD500000}"/>
    <cellStyle name="Normal 242 2 3 2 2 2" xfId="20686" xr:uid="{00000000-0005-0000-0000-0000CE500000}"/>
    <cellStyle name="Normal 242 2 3 2 3" xfId="20687" xr:uid="{00000000-0005-0000-0000-0000CF500000}"/>
    <cellStyle name="Normal 242 2 3 2 3 2" xfId="20688" xr:uid="{00000000-0005-0000-0000-0000D0500000}"/>
    <cellStyle name="Normal 242 2 3 2 3 2 2" xfId="20689" xr:uid="{00000000-0005-0000-0000-0000D1500000}"/>
    <cellStyle name="Normal 242 2 3 2 3 3" xfId="20690" xr:uid="{00000000-0005-0000-0000-0000D2500000}"/>
    <cellStyle name="Normal 242 2 3 2 4" xfId="20691" xr:uid="{00000000-0005-0000-0000-0000D3500000}"/>
    <cellStyle name="Normal 242 2 3 3" xfId="20692" xr:uid="{00000000-0005-0000-0000-0000D4500000}"/>
    <cellStyle name="Normal 242 2 3 3 2" xfId="20693" xr:uid="{00000000-0005-0000-0000-0000D5500000}"/>
    <cellStyle name="Normal 242 2 3 3 2 2" xfId="20694" xr:uid="{00000000-0005-0000-0000-0000D6500000}"/>
    <cellStyle name="Normal 242 2 3 3 3" xfId="20695" xr:uid="{00000000-0005-0000-0000-0000D7500000}"/>
    <cellStyle name="Normal 242 2 3 4" xfId="20696" xr:uid="{00000000-0005-0000-0000-0000D8500000}"/>
    <cellStyle name="Normal 242 2 3 4 2" xfId="20697" xr:uid="{00000000-0005-0000-0000-0000D9500000}"/>
    <cellStyle name="Normal 242 2 3 4 2 2" xfId="20698" xr:uid="{00000000-0005-0000-0000-0000DA500000}"/>
    <cellStyle name="Normal 242 2 3 4 3" xfId="20699" xr:uid="{00000000-0005-0000-0000-0000DB500000}"/>
    <cellStyle name="Normal 242 2 3 5" xfId="20700" xr:uid="{00000000-0005-0000-0000-0000DC500000}"/>
    <cellStyle name="Normal 242 2 3 5 2" xfId="20701" xr:uid="{00000000-0005-0000-0000-0000DD500000}"/>
    <cellStyle name="Normal 242 2 3 5 2 2" xfId="20702" xr:uid="{00000000-0005-0000-0000-0000DE500000}"/>
    <cellStyle name="Normal 242 2 3 5 3" xfId="20703" xr:uid="{00000000-0005-0000-0000-0000DF500000}"/>
    <cellStyle name="Normal 242 2 3 6" xfId="20704" xr:uid="{00000000-0005-0000-0000-0000E0500000}"/>
    <cellStyle name="Normal 242 2 4" xfId="20705" xr:uid="{00000000-0005-0000-0000-0000E1500000}"/>
    <cellStyle name="Normal 242 2 4 2" xfId="20706" xr:uid="{00000000-0005-0000-0000-0000E2500000}"/>
    <cellStyle name="Normal 242 2 4 2 2" xfId="20707" xr:uid="{00000000-0005-0000-0000-0000E3500000}"/>
    <cellStyle name="Normal 242 2 4 3" xfId="20708" xr:uid="{00000000-0005-0000-0000-0000E4500000}"/>
    <cellStyle name="Normal 242 2 5" xfId="20709" xr:uid="{00000000-0005-0000-0000-0000E5500000}"/>
    <cellStyle name="Normal 242 2 5 2" xfId="20710" xr:uid="{00000000-0005-0000-0000-0000E6500000}"/>
    <cellStyle name="Normal 242 2 5 2 2" xfId="20711" xr:uid="{00000000-0005-0000-0000-0000E7500000}"/>
    <cellStyle name="Normal 242 2 5 3" xfId="20712" xr:uid="{00000000-0005-0000-0000-0000E8500000}"/>
    <cellStyle name="Normal 242 2 6" xfId="20713" xr:uid="{00000000-0005-0000-0000-0000E9500000}"/>
    <cellStyle name="Normal 242 2 6 2" xfId="20714" xr:uid="{00000000-0005-0000-0000-0000EA500000}"/>
    <cellStyle name="Normal 242 2 6 2 2" xfId="20715" xr:uid="{00000000-0005-0000-0000-0000EB500000}"/>
    <cellStyle name="Normal 242 2 6 3" xfId="20716" xr:uid="{00000000-0005-0000-0000-0000EC500000}"/>
    <cellStyle name="Normal 242 2 7" xfId="20717" xr:uid="{00000000-0005-0000-0000-0000ED500000}"/>
    <cellStyle name="Normal 242 3" xfId="20718" xr:uid="{00000000-0005-0000-0000-0000EE500000}"/>
    <cellStyle name="Normal 242 3 2" xfId="20719" xr:uid="{00000000-0005-0000-0000-0000EF500000}"/>
    <cellStyle name="Normal 242 3 2 2" xfId="20720" xr:uid="{00000000-0005-0000-0000-0000F0500000}"/>
    <cellStyle name="Normal 242 3 3" xfId="20721" xr:uid="{00000000-0005-0000-0000-0000F1500000}"/>
    <cellStyle name="Normal 242 3 3 2" xfId="20722" xr:uid="{00000000-0005-0000-0000-0000F2500000}"/>
    <cellStyle name="Normal 242 3 3 2 2" xfId="20723" xr:uid="{00000000-0005-0000-0000-0000F3500000}"/>
    <cellStyle name="Normal 242 3 3 3" xfId="20724" xr:uid="{00000000-0005-0000-0000-0000F4500000}"/>
    <cellStyle name="Normal 242 3 4" xfId="20725" xr:uid="{00000000-0005-0000-0000-0000F5500000}"/>
    <cellStyle name="Normal 242 3 4 2" xfId="20726" xr:uid="{00000000-0005-0000-0000-0000F6500000}"/>
    <cellStyle name="Normal 242 3 4 2 2" xfId="20727" xr:uid="{00000000-0005-0000-0000-0000F7500000}"/>
    <cellStyle name="Normal 242 3 4 3" xfId="20728" xr:uid="{00000000-0005-0000-0000-0000F8500000}"/>
    <cellStyle name="Normal 242 3 5" xfId="20729" xr:uid="{00000000-0005-0000-0000-0000F9500000}"/>
    <cellStyle name="Normal 242 4" xfId="20730" xr:uid="{00000000-0005-0000-0000-0000FA500000}"/>
    <cellStyle name="Normal 242 4 2" xfId="20731" xr:uid="{00000000-0005-0000-0000-0000FB500000}"/>
    <cellStyle name="Normal 242 4 2 2" xfId="20732" xr:uid="{00000000-0005-0000-0000-0000FC500000}"/>
    <cellStyle name="Normal 242 4 2 2 2" xfId="20733" xr:uid="{00000000-0005-0000-0000-0000FD500000}"/>
    <cellStyle name="Normal 242 4 2 3" xfId="20734" xr:uid="{00000000-0005-0000-0000-0000FE500000}"/>
    <cellStyle name="Normal 242 4 2 3 2" xfId="20735" xr:uid="{00000000-0005-0000-0000-0000FF500000}"/>
    <cellStyle name="Normal 242 4 2 3 2 2" xfId="20736" xr:uid="{00000000-0005-0000-0000-000000510000}"/>
    <cellStyle name="Normal 242 4 2 3 3" xfId="20737" xr:uid="{00000000-0005-0000-0000-000001510000}"/>
    <cellStyle name="Normal 242 4 2 4" xfId="20738" xr:uid="{00000000-0005-0000-0000-000002510000}"/>
    <cellStyle name="Normal 242 4 3" xfId="20739" xr:uid="{00000000-0005-0000-0000-000003510000}"/>
    <cellStyle name="Normal 242 4 3 2" xfId="20740" xr:uid="{00000000-0005-0000-0000-000004510000}"/>
    <cellStyle name="Normal 242 4 3 2 2" xfId="20741" xr:uid="{00000000-0005-0000-0000-000005510000}"/>
    <cellStyle name="Normal 242 4 3 3" xfId="20742" xr:uid="{00000000-0005-0000-0000-000006510000}"/>
    <cellStyle name="Normal 242 4 4" xfId="20743" xr:uid="{00000000-0005-0000-0000-000007510000}"/>
    <cellStyle name="Normal 242 4 4 2" xfId="20744" xr:uid="{00000000-0005-0000-0000-000008510000}"/>
    <cellStyle name="Normal 242 4 4 2 2" xfId="20745" xr:uid="{00000000-0005-0000-0000-000009510000}"/>
    <cellStyle name="Normal 242 4 4 3" xfId="20746" xr:uid="{00000000-0005-0000-0000-00000A510000}"/>
    <cellStyle name="Normal 242 4 5" xfId="20747" xr:uid="{00000000-0005-0000-0000-00000B510000}"/>
    <cellStyle name="Normal 242 4 5 2" xfId="20748" xr:uid="{00000000-0005-0000-0000-00000C510000}"/>
    <cellStyle name="Normal 242 4 5 2 2" xfId="20749" xr:uid="{00000000-0005-0000-0000-00000D510000}"/>
    <cellStyle name="Normal 242 4 5 3" xfId="20750" xr:uid="{00000000-0005-0000-0000-00000E510000}"/>
    <cellStyle name="Normal 242 4 6" xfId="20751" xr:uid="{00000000-0005-0000-0000-00000F510000}"/>
    <cellStyle name="Normal 242 5" xfId="20752" xr:uid="{00000000-0005-0000-0000-000010510000}"/>
    <cellStyle name="Normal 242 5 2" xfId="20753" xr:uid="{00000000-0005-0000-0000-000011510000}"/>
    <cellStyle name="Normal 242 5 2 2" xfId="20754" xr:uid="{00000000-0005-0000-0000-000012510000}"/>
    <cellStyle name="Normal 242 5 3" xfId="20755" xr:uid="{00000000-0005-0000-0000-000013510000}"/>
    <cellStyle name="Normal 242 6" xfId="20756" xr:uid="{00000000-0005-0000-0000-000014510000}"/>
    <cellStyle name="Normal 242 6 2" xfId="20757" xr:uid="{00000000-0005-0000-0000-000015510000}"/>
    <cellStyle name="Normal 242 6 2 2" xfId="20758" xr:uid="{00000000-0005-0000-0000-000016510000}"/>
    <cellStyle name="Normal 242 6 3" xfId="20759" xr:uid="{00000000-0005-0000-0000-000017510000}"/>
    <cellStyle name="Normal 242 7" xfId="20760" xr:uid="{00000000-0005-0000-0000-000018510000}"/>
    <cellStyle name="Normal 242 7 2" xfId="20761" xr:uid="{00000000-0005-0000-0000-000019510000}"/>
    <cellStyle name="Normal 242 7 2 2" xfId="20762" xr:uid="{00000000-0005-0000-0000-00001A510000}"/>
    <cellStyle name="Normal 242 7 3" xfId="20763" xr:uid="{00000000-0005-0000-0000-00001B510000}"/>
    <cellStyle name="Normal 242 8" xfId="20764" xr:uid="{00000000-0005-0000-0000-00001C510000}"/>
    <cellStyle name="Normal 243" xfId="20765" xr:uid="{00000000-0005-0000-0000-00001D510000}"/>
    <cellStyle name="Normal 243 2" xfId="20766" xr:uid="{00000000-0005-0000-0000-00001E510000}"/>
    <cellStyle name="Normal 243 2 2" xfId="20767" xr:uid="{00000000-0005-0000-0000-00001F510000}"/>
    <cellStyle name="Normal 243 2 2 2" xfId="20768" xr:uid="{00000000-0005-0000-0000-000020510000}"/>
    <cellStyle name="Normal 243 2 2 2 2" xfId="20769" xr:uid="{00000000-0005-0000-0000-000021510000}"/>
    <cellStyle name="Normal 243 2 2 3" xfId="20770" xr:uid="{00000000-0005-0000-0000-000022510000}"/>
    <cellStyle name="Normal 243 2 2 3 2" xfId="20771" xr:uid="{00000000-0005-0000-0000-000023510000}"/>
    <cellStyle name="Normal 243 2 2 3 2 2" xfId="20772" xr:uid="{00000000-0005-0000-0000-000024510000}"/>
    <cellStyle name="Normal 243 2 2 3 3" xfId="20773" xr:uid="{00000000-0005-0000-0000-000025510000}"/>
    <cellStyle name="Normal 243 2 2 4" xfId="20774" xr:uid="{00000000-0005-0000-0000-000026510000}"/>
    <cellStyle name="Normal 243 2 2 4 2" xfId="20775" xr:uid="{00000000-0005-0000-0000-000027510000}"/>
    <cellStyle name="Normal 243 2 2 4 2 2" xfId="20776" xr:uid="{00000000-0005-0000-0000-000028510000}"/>
    <cellStyle name="Normal 243 2 2 4 3" xfId="20777" xr:uid="{00000000-0005-0000-0000-000029510000}"/>
    <cellStyle name="Normal 243 2 2 5" xfId="20778" xr:uid="{00000000-0005-0000-0000-00002A510000}"/>
    <cellStyle name="Normal 243 2 3" xfId="20779" xr:uid="{00000000-0005-0000-0000-00002B510000}"/>
    <cellStyle name="Normal 243 2 3 2" xfId="20780" xr:uid="{00000000-0005-0000-0000-00002C510000}"/>
    <cellStyle name="Normal 243 2 3 2 2" xfId="20781" xr:uid="{00000000-0005-0000-0000-00002D510000}"/>
    <cellStyle name="Normal 243 2 3 2 2 2" xfId="20782" xr:uid="{00000000-0005-0000-0000-00002E510000}"/>
    <cellStyle name="Normal 243 2 3 2 3" xfId="20783" xr:uid="{00000000-0005-0000-0000-00002F510000}"/>
    <cellStyle name="Normal 243 2 3 2 3 2" xfId="20784" xr:uid="{00000000-0005-0000-0000-000030510000}"/>
    <cellStyle name="Normal 243 2 3 2 3 2 2" xfId="20785" xr:uid="{00000000-0005-0000-0000-000031510000}"/>
    <cellStyle name="Normal 243 2 3 2 3 3" xfId="20786" xr:uid="{00000000-0005-0000-0000-000032510000}"/>
    <cellStyle name="Normal 243 2 3 2 4" xfId="20787" xr:uid="{00000000-0005-0000-0000-000033510000}"/>
    <cellStyle name="Normal 243 2 3 3" xfId="20788" xr:uid="{00000000-0005-0000-0000-000034510000}"/>
    <cellStyle name="Normal 243 2 3 3 2" xfId="20789" xr:uid="{00000000-0005-0000-0000-000035510000}"/>
    <cellStyle name="Normal 243 2 3 3 2 2" xfId="20790" xr:uid="{00000000-0005-0000-0000-000036510000}"/>
    <cellStyle name="Normal 243 2 3 3 3" xfId="20791" xr:uid="{00000000-0005-0000-0000-000037510000}"/>
    <cellStyle name="Normal 243 2 3 4" xfId="20792" xr:uid="{00000000-0005-0000-0000-000038510000}"/>
    <cellStyle name="Normal 243 2 3 4 2" xfId="20793" xr:uid="{00000000-0005-0000-0000-000039510000}"/>
    <cellStyle name="Normal 243 2 3 4 2 2" xfId="20794" xr:uid="{00000000-0005-0000-0000-00003A510000}"/>
    <cellStyle name="Normal 243 2 3 4 3" xfId="20795" xr:uid="{00000000-0005-0000-0000-00003B510000}"/>
    <cellStyle name="Normal 243 2 3 5" xfId="20796" xr:uid="{00000000-0005-0000-0000-00003C510000}"/>
    <cellStyle name="Normal 243 2 3 5 2" xfId="20797" xr:uid="{00000000-0005-0000-0000-00003D510000}"/>
    <cellStyle name="Normal 243 2 3 5 2 2" xfId="20798" xr:uid="{00000000-0005-0000-0000-00003E510000}"/>
    <cellStyle name="Normal 243 2 3 5 3" xfId="20799" xr:uid="{00000000-0005-0000-0000-00003F510000}"/>
    <cellStyle name="Normal 243 2 3 6" xfId="20800" xr:uid="{00000000-0005-0000-0000-000040510000}"/>
    <cellStyle name="Normal 243 2 4" xfId="20801" xr:uid="{00000000-0005-0000-0000-000041510000}"/>
    <cellStyle name="Normal 243 2 4 2" xfId="20802" xr:uid="{00000000-0005-0000-0000-000042510000}"/>
    <cellStyle name="Normal 243 2 4 2 2" xfId="20803" xr:uid="{00000000-0005-0000-0000-000043510000}"/>
    <cellStyle name="Normal 243 2 4 3" xfId="20804" xr:uid="{00000000-0005-0000-0000-000044510000}"/>
    <cellStyle name="Normal 243 2 5" xfId="20805" xr:uid="{00000000-0005-0000-0000-000045510000}"/>
    <cellStyle name="Normal 243 2 5 2" xfId="20806" xr:uid="{00000000-0005-0000-0000-000046510000}"/>
    <cellStyle name="Normal 243 2 5 2 2" xfId="20807" xr:uid="{00000000-0005-0000-0000-000047510000}"/>
    <cellStyle name="Normal 243 2 5 3" xfId="20808" xr:uid="{00000000-0005-0000-0000-000048510000}"/>
    <cellStyle name="Normal 243 2 6" xfId="20809" xr:uid="{00000000-0005-0000-0000-000049510000}"/>
    <cellStyle name="Normal 243 2 6 2" xfId="20810" xr:uid="{00000000-0005-0000-0000-00004A510000}"/>
    <cellStyle name="Normal 243 2 6 2 2" xfId="20811" xr:uid="{00000000-0005-0000-0000-00004B510000}"/>
    <cellStyle name="Normal 243 2 6 3" xfId="20812" xr:uid="{00000000-0005-0000-0000-00004C510000}"/>
    <cellStyle name="Normal 243 2 7" xfId="20813" xr:uid="{00000000-0005-0000-0000-00004D510000}"/>
    <cellStyle name="Normal 243 3" xfId="20814" xr:uid="{00000000-0005-0000-0000-00004E510000}"/>
    <cellStyle name="Normal 243 3 2" xfId="20815" xr:uid="{00000000-0005-0000-0000-00004F510000}"/>
    <cellStyle name="Normal 243 3 2 2" xfId="20816" xr:uid="{00000000-0005-0000-0000-000050510000}"/>
    <cellStyle name="Normal 243 3 3" xfId="20817" xr:uid="{00000000-0005-0000-0000-000051510000}"/>
    <cellStyle name="Normal 243 3 3 2" xfId="20818" xr:uid="{00000000-0005-0000-0000-000052510000}"/>
    <cellStyle name="Normal 243 3 3 2 2" xfId="20819" xr:uid="{00000000-0005-0000-0000-000053510000}"/>
    <cellStyle name="Normal 243 3 3 3" xfId="20820" xr:uid="{00000000-0005-0000-0000-000054510000}"/>
    <cellStyle name="Normal 243 3 4" xfId="20821" xr:uid="{00000000-0005-0000-0000-000055510000}"/>
    <cellStyle name="Normal 243 3 4 2" xfId="20822" xr:uid="{00000000-0005-0000-0000-000056510000}"/>
    <cellStyle name="Normal 243 3 4 2 2" xfId="20823" xr:uid="{00000000-0005-0000-0000-000057510000}"/>
    <cellStyle name="Normal 243 3 4 3" xfId="20824" xr:uid="{00000000-0005-0000-0000-000058510000}"/>
    <cellStyle name="Normal 243 3 5" xfId="20825" xr:uid="{00000000-0005-0000-0000-000059510000}"/>
    <cellStyle name="Normal 243 4" xfId="20826" xr:uid="{00000000-0005-0000-0000-00005A510000}"/>
    <cellStyle name="Normal 243 4 2" xfId="20827" xr:uid="{00000000-0005-0000-0000-00005B510000}"/>
    <cellStyle name="Normal 243 4 2 2" xfId="20828" xr:uid="{00000000-0005-0000-0000-00005C510000}"/>
    <cellStyle name="Normal 243 4 2 2 2" xfId="20829" xr:uid="{00000000-0005-0000-0000-00005D510000}"/>
    <cellStyle name="Normal 243 4 2 3" xfId="20830" xr:uid="{00000000-0005-0000-0000-00005E510000}"/>
    <cellStyle name="Normal 243 4 2 3 2" xfId="20831" xr:uid="{00000000-0005-0000-0000-00005F510000}"/>
    <cellStyle name="Normal 243 4 2 3 2 2" xfId="20832" xr:uid="{00000000-0005-0000-0000-000060510000}"/>
    <cellStyle name="Normal 243 4 2 3 3" xfId="20833" xr:uid="{00000000-0005-0000-0000-000061510000}"/>
    <cellStyle name="Normal 243 4 2 4" xfId="20834" xr:uid="{00000000-0005-0000-0000-000062510000}"/>
    <cellStyle name="Normal 243 4 3" xfId="20835" xr:uid="{00000000-0005-0000-0000-000063510000}"/>
    <cellStyle name="Normal 243 4 3 2" xfId="20836" xr:uid="{00000000-0005-0000-0000-000064510000}"/>
    <cellStyle name="Normal 243 4 3 2 2" xfId="20837" xr:uid="{00000000-0005-0000-0000-000065510000}"/>
    <cellStyle name="Normal 243 4 3 3" xfId="20838" xr:uid="{00000000-0005-0000-0000-000066510000}"/>
    <cellStyle name="Normal 243 4 4" xfId="20839" xr:uid="{00000000-0005-0000-0000-000067510000}"/>
    <cellStyle name="Normal 243 4 4 2" xfId="20840" xr:uid="{00000000-0005-0000-0000-000068510000}"/>
    <cellStyle name="Normal 243 4 4 2 2" xfId="20841" xr:uid="{00000000-0005-0000-0000-000069510000}"/>
    <cellStyle name="Normal 243 4 4 3" xfId="20842" xr:uid="{00000000-0005-0000-0000-00006A510000}"/>
    <cellStyle name="Normal 243 4 5" xfId="20843" xr:uid="{00000000-0005-0000-0000-00006B510000}"/>
    <cellStyle name="Normal 243 4 5 2" xfId="20844" xr:uid="{00000000-0005-0000-0000-00006C510000}"/>
    <cellStyle name="Normal 243 4 5 2 2" xfId="20845" xr:uid="{00000000-0005-0000-0000-00006D510000}"/>
    <cellStyle name="Normal 243 4 5 3" xfId="20846" xr:uid="{00000000-0005-0000-0000-00006E510000}"/>
    <cellStyle name="Normal 243 4 6" xfId="20847" xr:uid="{00000000-0005-0000-0000-00006F510000}"/>
    <cellStyle name="Normal 243 5" xfId="20848" xr:uid="{00000000-0005-0000-0000-000070510000}"/>
    <cellStyle name="Normal 243 5 2" xfId="20849" xr:uid="{00000000-0005-0000-0000-000071510000}"/>
    <cellStyle name="Normal 243 5 2 2" xfId="20850" xr:uid="{00000000-0005-0000-0000-000072510000}"/>
    <cellStyle name="Normal 243 5 3" xfId="20851" xr:uid="{00000000-0005-0000-0000-000073510000}"/>
    <cellStyle name="Normal 243 6" xfId="20852" xr:uid="{00000000-0005-0000-0000-000074510000}"/>
    <cellStyle name="Normal 243 6 2" xfId="20853" xr:uid="{00000000-0005-0000-0000-000075510000}"/>
    <cellStyle name="Normal 243 6 2 2" xfId="20854" xr:uid="{00000000-0005-0000-0000-000076510000}"/>
    <cellStyle name="Normal 243 6 3" xfId="20855" xr:uid="{00000000-0005-0000-0000-000077510000}"/>
    <cellStyle name="Normal 243 7" xfId="20856" xr:uid="{00000000-0005-0000-0000-000078510000}"/>
    <cellStyle name="Normal 243 7 2" xfId="20857" xr:uid="{00000000-0005-0000-0000-000079510000}"/>
    <cellStyle name="Normal 243 7 2 2" xfId="20858" xr:uid="{00000000-0005-0000-0000-00007A510000}"/>
    <cellStyle name="Normal 243 7 3" xfId="20859" xr:uid="{00000000-0005-0000-0000-00007B510000}"/>
    <cellStyle name="Normal 243 8" xfId="20860" xr:uid="{00000000-0005-0000-0000-00007C510000}"/>
    <cellStyle name="Normal 244" xfId="20861" xr:uid="{00000000-0005-0000-0000-00007D510000}"/>
    <cellStyle name="Normal 244 2" xfId="20862" xr:uid="{00000000-0005-0000-0000-00007E510000}"/>
    <cellStyle name="Normal 244 2 2" xfId="20863" xr:uid="{00000000-0005-0000-0000-00007F510000}"/>
    <cellStyle name="Normal 244 2 2 2" xfId="20864" xr:uid="{00000000-0005-0000-0000-000080510000}"/>
    <cellStyle name="Normal 244 2 2 2 2" xfId="20865" xr:uid="{00000000-0005-0000-0000-000081510000}"/>
    <cellStyle name="Normal 244 2 2 3" xfId="20866" xr:uid="{00000000-0005-0000-0000-000082510000}"/>
    <cellStyle name="Normal 244 2 2 3 2" xfId="20867" xr:uid="{00000000-0005-0000-0000-000083510000}"/>
    <cellStyle name="Normal 244 2 2 3 2 2" xfId="20868" xr:uid="{00000000-0005-0000-0000-000084510000}"/>
    <cellStyle name="Normal 244 2 2 3 3" xfId="20869" xr:uid="{00000000-0005-0000-0000-000085510000}"/>
    <cellStyle name="Normal 244 2 2 4" xfId="20870" xr:uid="{00000000-0005-0000-0000-000086510000}"/>
    <cellStyle name="Normal 244 2 2 4 2" xfId="20871" xr:uid="{00000000-0005-0000-0000-000087510000}"/>
    <cellStyle name="Normal 244 2 2 4 2 2" xfId="20872" xr:uid="{00000000-0005-0000-0000-000088510000}"/>
    <cellStyle name="Normal 244 2 2 4 3" xfId="20873" xr:uid="{00000000-0005-0000-0000-000089510000}"/>
    <cellStyle name="Normal 244 2 2 5" xfId="20874" xr:uid="{00000000-0005-0000-0000-00008A510000}"/>
    <cellStyle name="Normal 244 2 3" xfId="20875" xr:uid="{00000000-0005-0000-0000-00008B510000}"/>
    <cellStyle name="Normal 244 2 3 2" xfId="20876" xr:uid="{00000000-0005-0000-0000-00008C510000}"/>
    <cellStyle name="Normal 244 2 3 2 2" xfId="20877" xr:uid="{00000000-0005-0000-0000-00008D510000}"/>
    <cellStyle name="Normal 244 2 3 2 2 2" xfId="20878" xr:uid="{00000000-0005-0000-0000-00008E510000}"/>
    <cellStyle name="Normal 244 2 3 2 3" xfId="20879" xr:uid="{00000000-0005-0000-0000-00008F510000}"/>
    <cellStyle name="Normal 244 2 3 2 3 2" xfId="20880" xr:uid="{00000000-0005-0000-0000-000090510000}"/>
    <cellStyle name="Normal 244 2 3 2 3 2 2" xfId="20881" xr:uid="{00000000-0005-0000-0000-000091510000}"/>
    <cellStyle name="Normal 244 2 3 2 3 3" xfId="20882" xr:uid="{00000000-0005-0000-0000-000092510000}"/>
    <cellStyle name="Normal 244 2 3 2 4" xfId="20883" xr:uid="{00000000-0005-0000-0000-000093510000}"/>
    <cellStyle name="Normal 244 2 3 3" xfId="20884" xr:uid="{00000000-0005-0000-0000-000094510000}"/>
    <cellStyle name="Normal 244 2 3 3 2" xfId="20885" xr:uid="{00000000-0005-0000-0000-000095510000}"/>
    <cellStyle name="Normal 244 2 3 3 2 2" xfId="20886" xr:uid="{00000000-0005-0000-0000-000096510000}"/>
    <cellStyle name="Normal 244 2 3 3 3" xfId="20887" xr:uid="{00000000-0005-0000-0000-000097510000}"/>
    <cellStyle name="Normal 244 2 3 4" xfId="20888" xr:uid="{00000000-0005-0000-0000-000098510000}"/>
    <cellStyle name="Normal 244 2 3 4 2" xfId="20889" xr:uid="{00000000-0005-0000-0000-000099510000}"/>
    <cellStyle name="Normal 244 2 3 4 2 2" xfId="20890" xr:uid="{00000000-0005-0000-0000-00009A510000}"/>
    <cellStyle name="Normal 244 2 3 4 3" xfId="20891" xr:uid="{00000000-0005-0000-0000-00009B510000}"/>
    <cellStyle name="Normal 244 2 3 5" xfId="20892" xr:uid="{00000000-0005-0000-0000-00009C510000}"/>
    <cellStyle name="Normal 244 2 3 5 2" xfId="20893" xr:uid="{00000000-0005-0000-0000-00009D510000}"/>
    <cellStyle name="Normal 244 2 3 5 2 2" xfId="20894" xr:uid="{00000000-0005-0000-0000-00009E510000}"/>
    <cellStyle name="Normal 244 2 3 5 3" xfId="20895" xr:uid="{00000000-0005-0000-0000-00009F510000}"/>
    <cellStyle name="Normal 244 2 3 6" xfId="20896" xr:uid="{00000000-0005-0000-0000-0000A0510000}"/>
    <cellStyle name="Normal 244 2 4" xfId="20897" xr:uid="{00000000-0005-0000-0000-0000A1510000}"/>
    <cellStyle name="Normal 244 2 4 2" xfId="20898" xr:uid="{00000000-0005-0000-0000-0000A2510000}"/>
    <cellStyle name="Normal 244 2 4 2 2" xfId="20899" xr:uid="{00000000-0005-0000-0000-0000A3510000}"/>
    <cellStyle name="Normal 244 2 4 3" xfId="20900" xr:uid="{00000000-0005-0000-0000-0000A4510000}"/>
    <cellStyle name="Normal 244 2 5" xfId="20901" xr:uid="{00000000-0005-0000-0000-0000A5510000}"/>
    <cellStyle name="Normal 244 2 5 2" xfId="20902" xr:uid="{00000000-0005-0000-0000-0000A6510000}"/>
    <cellStyle name="Normal 244 2 5 2 2" xfId="20903" xr:uid="{00000000-0005-0000-0000-0000A7510000}"/>
    <cellStyle name="Normal 244 2 5 3" xfId="20904" xr:uid="{00000000-0005-0000-0000-0000A8510000}"/>
    <cellStyle name="Normal 244 2 6" xfId="20905" xr:uid="{00000000-0005-0000-0000-0000A9510000}"/>
    <cellStyle name="Normal 244 2 6 2" xfId="20906" xr:uid="{00000000-0005-0000-0000-0000AA510000}"/>
    <cellStyle name="Normal 244 2 6 2 2" xfId="20907" xr:uid="{00000000-0005-0000-0000-0000AB510000}"/>
    <cellStyle name="Normal 244 2 6 3" xfId="20908" xr:uid="{00000000-0005-0000-0000-0000AC510000}"/>
    <cellStyle name="Normal 244 2 7" xfId="20909" xr:uid="{00000000-0005-0000-0000-0000AD510000}"/>
    <cellStyle name="Normal 244 3" xfId="20910" xr:uid="{00000000-0005-0000-0000-0000AE510000}"/>
    <cellStyle name="Normal 244 3 2" xfId="20911" xr:uid="{00000000-0005-0000-0000-0000AF510000}"/>
    <cellStyle name="Normal 244 3 2 2" xfId="20912" xr:uid="{00000000-0005-0000-0000-0000B0510000}"/>
    <cellStyle name="Normal 244 3 3" xfId="20913" xr:uid="{00000000-0005-0000-0000-0000B1510000}"/>
    <cellStyle name="Normal 244 3 3 2" xfId="20914" xr:uid="{00000000-0005-0000-0000-0000B2510000}"/>
    <cellStyle name="Normal 244 3 3 2 2" xfId="20915" xr:uid="{00000000-0005-0000-0000-0000B3510000}"/>
    <cellStyle name="Normal 244 3 3 3" xfId="20916" xr:uid="{00000000-0005-0000-0000-0000B4510000}"/>
    <cellStyle name="Normal 244 3 4" xfId="20917" xr:uid="{00000000-0005-0000-0000-0000B5510000}"/>
    <cellStyle name="Normal 244 3 4 2" xfId="20918" xr:uid="{00000000-0005-0000-0000-0000B6510000}"/>
    <cellStyle name="Normal 244 3 4 2 2" xfId="20919" xr:uid="{00000000-0005-0000-0000-0000B7510000}"/>
    <cellStyle name="Normal 244 3 4 3" xfId="20920" xr:uid="{00000000-0005-0000-0000-0000B8510000}"/>
    <cellStyle name="Normal 244 3 5" xfId="20921" xr:uid="{00000000-0005-0000-0000-0000B9510000}"/>
    <cellStyle name="Normal 244 4" xfId="20922" xr:uid="{00000000-0005-0000-0000-0000BA510000}"/>
    <cellStyle name="Normal 244 4 2" xfId="20923" xr:uid="{00000000-0005-0000-0000-0000BB510000}"/>
    <cellStyle name="Normal 244 4 2 2" xfId="20924" xr:uid="{00000000-0005-0000-0000-0000BC510000}"/>
    <cellStyle name="Normal 244 4 2 2 2" xfId="20925" xr:uid="{00000000-0005-0000-0000-0000BD510000}"/>
    <cellStyle name="Normal 244 4 2 3" xfId="20926" xr:uid="{00000000-0005-0000-0000-0000BE510000}"/>
    <cellStyle name="Normal 244 4 2 3 2" xfId="20927" xr:uid="{00000000-0005-0000-0000-0000BF510000}"/>
    <cellStyle name="Normal 244 4 2 3 2 2" xfId="20928" xr:uid="{00000000-0005-0000-0000-0000C0510000}"/>
    <cellStyle name="Normal 244 4 2 3 3" xfId="20929" xr:uid="{00000000-0005-0000-0000-0000C1510000}"/>
    <cellStyle name="Normal 244 4 2 4" xfId="20930" xr:uid="{00000000-0005-0000-0000-0000C2510000}"/>
    <cellStyle name="Normal 244 4 3" xfId="20931" xr:uid="{00000000-0005-0000-0000-0000C3510000}"/>
    <cellStyle name="Normal 244 4 3 2" xfId="20932" xr:uid="{00000000-0005-0000-0000-0000C4510000}"/>
    <cellStyle name="Normal 244 4 3 2 2" xfId="20933" xr:uid="{00000000-0005-0000-0000-0000C5510000}"/>
    <cellStyle name="Normal 244 4 3 3" xfId="20934" xr:uid="{00000000-0005-0000-0000-0000C6510000}"/>
    <cellStyle name="Normal 244 4 4" xfId="20935" xr:uid="{00000000-0005-0000-0000-0000C7510000}"/>
    <cellStyle name="Normal 244 4 4 2" xfId="20936" xr:uid="{00000000-0005-0000-0000-0000C8510000}"/>
    <cellStyle name="Normal 244 4 4 2 2" xfId="20937" xr:uid="{00000000-0005-0000-0000-0000C9510000}"/>
    <cellStyle name="Normal 244 4 4 3" xfId="20938" xr:uid="{00000000-0005-0000-0000-0000CA510000}"/>
    <cellStyle name="Normal 244 4 5" xfId="20939" xr:uid="{00000000-0005-0000-0000-0000CB510000}"/>
    <cellStyle name="Normal 244 4 5 2" xfId="20940" xr:uid="{00000000-0005-0000-0000-0000CC510000}"/>
    <cellStyle name="Normal 244 4 5 2 2" xfId="20941" xr:uid="{00000000-0005-0000-0000-0000CD510000}"/>
    <cellStyle name="Normal 244 4 5 3" xfId="20942" xr:uid="{00000000-0005-0000-0000-0000CE510000}"/>
    <cellStyle name="Normal 244 4 6" xfId="20943" xr:uid="{00000000-0005-0000-0000-0000CF510000}"/>
    <cellStyle name="Normal 244 5" xfId="20944" xr:uid="{00000000-0005-0000-0000-0000D0510000}"/>
    <cellStyle name="Normal 244 5 2" xfId="20945" xr:uid="{00000000-0005-0000-0000-0000D1510000}"/>
    <cellStyle name="Normal 244 5 2 2" xfId="20946" xr:uid="{00000000-0005-0000-0000-0000D2510000}"/>
    <cellStyle name="Normal 244 5 3" xfId="20947" xr:uid="{00000000-0005-0000-0000-0000D3510000}"/>
    <cellStyle name="Normal 244 6" xfId="20948" xr:uid="{00000000-0005-0000-0000-0000D4510000}"/>
    <cellStyle name="Normal 244 6 2" xfId="20949" xr:uid="{00000000-0005-0000-0000-0000D5510000}"/>
    <cellStyle name="Normal 244 6 2 2" xfId="20950" xr:uid="{00000000-0005-0000-0000-0000D6510000}"/>
    <cellStyle name="Normal 244 6 3" xfId="20951" xr:uid="{00000000-0005-0000-0000-0000D7510000}"/>
    <cellStyle name="Normal 244 7" xfId="20952" xr:uid="{00000000-0005-0000-0000-0000D8510000}"/>
    <cellStyle name="Normal 244 7 2" xfId="20953" xr:uid="{00000000-0005-0000-0000-0000D9510000}"/>
    <cellStyle name="Normal 244 7 2 2" xfId="20954" xr:uid="{00000000-0005-0000-0000-0000DA510000}"/>
    <cellStyle name="Normal 244 7 3" xfId="20955" xr:uid="{00000000-0005-0000-0000-0000DB510000}"/>
    <cellStyle name="Normal 244 8" xfId="20956" xr:uid="{00000000-0005-0000-0000-0000DC510000}"/>
    <cellStyle name="Normal 245" xfId="20957" xr:uid="{00000000-0005-0000-0000-0000DD510000}"/>
    <cellStyle name="Normal 245 2" xfId="20958" xr:uid="{00000000-0005-0000-0000-0000DE510000}"/>
    <cellStyle name="Normal 245 2 2" xfId="20959" xr:uid="{00000000-0005-0000-0000-0000DF510000}"/>
    <cellStyle name="Normal 245 2 2 2" xfId="20960" xr:uid="{00000000-0005-0000-0000-0000E0510000}"/>
    <cellStyle name="Normal 245 2 2 2 2" xfId="20961" xr:uid="{00000000-0005-0000-0000-0000E1510000}"/>
    <cellStyle name="Normal 245 2 2 3" xfId="20962" xr:uid="{00000000-0005-0000-0000-0000E2510000}"/>
    <cellStyle name="Normal 245 2 2 3 2" xfId="20963" xr:uid="{00000000-0005-0000-0000-0000E3510000}"/>
    <cellStyle name="Normal 245 2 2 3 2 2" xfId="20964" xr:uid="{00000000-0005-0000-0000-0000E4510000}"/>
    <cellStyle name="Normal 245 2 2 3 3" xfId="20965" xr:uid="{00000000-0005-0000-0000-0000E5510000}"/>
    <cellStyle name="Normal 245 2 2 4" xfId="20966" xr:uid="{00000000-0005-0000-0000-0000E6510000}"/>
    <cellStyle name="Normal 245 2 2 4 2" xfId="20967" xr:uid="{00000000-0005-0000-0000-0000E7510000}"/>
    <cellStyle name="Normal 245 2 2 4 2 2" xfId="20968" xr:uid="{00000000-0005-0000-0000-0000E8510000}"/>
    <cellStyle name="Normal 245 2 2 4 3" xfId="20969" xr:uid="{00000000-0005-0000-0000-0000E9510000}"/>
    <cellStyle name="Normal 245 2 2 5" xfId="20970" xr:uid="{00000000-0005-0000-0000-0000EA510000}"/>
    <cellStyle name="Normal 245 2 3" xfId="20971" xr:uid="{00000000-0005-0000-0000-0000EB510000}"/>
    <cellStyle name="Normal 245 2 3 2" xfId="20972" xr:uid="{00000000-0005-0000-0000-0000EC510000}"/>
    <cellStyle name="Normal 245 2 3 2 2" xfId="20973" xr:uid="{00000000-0005-0000-0000-0000ED510000}"/>
    <cellStyle name="Normal 245 2 3 2 2 2" xfId="20974" xr:uid="{00000000-0005-0000-0000-0000EE510000}"/>
    <cellStyle name="Normal 245 2 3 2 3" xfId="20975" xr:uid="{00000000-0005-0000-0000-0000EF510000}"/>
    <cellStyle name="Normal 245 2 3 2 3 2" xfId="20976" xr:uid="{00000000-0005-0000-0000-0000F0510000}"/>
    <cellStyle name="Normal 245 2 3 2 3 2 2" xfId="20977" xr:uid="{00000000-0005-0000-0000-0000F1510000}"/>
    <cellStyle name="Normal 245 2 3 2 3 3" xfId="20978" xr:uid="{00000000-0005-0000-0000-0000F2510000}"/>
    <cellStyle name="Normal 245 2 3 2 4" xfId="20979" xr:uid="{00000000-0005-0000-0000-0000F3510000}"/>
    <cellStyle name="Normal 245 2 3 3" xfId="20980" xr:uid="{00000000-0005-0000-0000-0000F4510000}"/>
    <cellStyle name="Normal 245 2 3 3 2" xfId="20981" xr:uid="{00000000-0005-0000-0000-0000F5510000}"/>
    <cellStyle name="Normal 245 2 3 3 2 2" xfId="20982" xr:uid="{00000000-0005-0000-0000-0000F6510000}"/>
    <cellStyle name="Normal 245 2 3 3 3" xfId="20983" xr:uid="{00000000-0005-0000-0000-0000F7510000}"/>
    <cellStyle name="Normal 245 2 3 4" xfId="20984" xr:uid="{00000000-0005-0000-0000-0000F8510000}"/>
    <cellStyle name="Normal 245 2 3 4 2" xfId="20985" xr:uid="{00000000-0005-0000-0000-0000F9510000}"/>
    <cellStyle name="Normal 245 2 3 4 2 2" xfId="20986" xr:uid="{00000000-0005-0000-0000-0000FA510000}"/>
    <cellStyle name="Normal 245 2 3 4 3" xfId="20987" xr:uid="{00000000-0005-0000-0000-0000FB510000}"/>
    <cellStyle name="Normal 245 2 3 5" xfId="20988" xr:uid="{00000000-0005-0000-0000-0000FC510000}"/>
    <cellStyle name="Normal 245 2 3 5 2" xfId="20989" xr:uid="{00000000-0005-0000-0000-0000FD510000}"/>
    <cellStyle name="Normal 245 2 3 5 2 2" xfId="20990" xr:uid="{00000000-0005-0000-0000-0000FE510000}"/>
    <cellStyle name="Normal 245 2 3 5 3" xfId="20991" xr:uid="{00000000-0005-0000-0000-0000FF510000}"/>
    <cellStyle name="Normal 245 2 3 6" xfId="20992" xr:uid="{00000000-0005-0000-0000-000000520000}"/>
    <cellStyle name="Normal 245 2 4" xfId="20993" xr:uid="{00000000-0005-0000-0000-000001520000}"/>
    <cellStyle name="Normal 245 2 4 2" xfId="20994" xr:uid="{00000000-0005-0000-0000-000002520000}"/>
    <cellStyle name="Normal 245 2 4 2 2" xfId="20995" xr:uid="{00000000-0005-0000-0000-000003520000}"/>
    <cellStyle name="Normal 245 2 4 3" xfId="20996" xr:uid="{00000000-0005-0000-0000-000004520000}"/>
    <cellStyle name="Normal 245 2 5" xfId="20997" xr:uid="{00000000-0005-0000-0000-000005520000}"/>
    <cellStyle name="Normal 245 2 5 2" xfId="20998" xr:uid="{00000000-0005-0000-0000-000006520000}"/>
    <cellStyle name="Normal 245 2 5 2 2" xfId="20999" xr:uid="{00000000-0005-0000-0000-000007520000}"/>
    <cellStyle name="Normal 245 2 5 3" xfId="21000" xr:uid="{00000000-0005-0000-0000-000008520000}"/>
    <cellStyle name="Normal 245 2 6" xfId="21001" xr:uid="{00000000-0005-0000-0000-000009520000}"/>
    <cellStyle name="Normal 245 2 6 2" xfId="21002" xr:uid="{00000000-0005-0000-0000-00000A520000}"/>
    <cellStyle name="Normal 245 2 6 2 2" xfId="21003" xr:uid="{00000000-0005-0000-0000-00000B520000}"/>
    <cellStyle name="Normal 245 2 6 3" xfId="21004" xr:uid="{00000000-0005-0000-0000-00000C520000}"/>
    <cellStyle name="Normal 245 2 7" xfId="21005" xr:uid="{00000000-0005-0000-0000-00000D520000}"/>
    <cellStyle name="Normal 245 3" xfId="21006" xr:uid="{00000000-0005-0000-0000-00000E520000}"/>
    <cellStyle name="Normal 245 3 2" xfId="21007" xr:uid="{00000000-0005-0000-0000-00000F520000}"/>
    <cellStyle name="Normal 245 3 2 2" xfId="21008" xr:uid="{00000000-0005-0000-0000-000010520000}"/>
    <cellStyle name="Normal 245 3 3" xfId="21009" xr:uid="{00000000-0005-0000-0000-000011520000}"/>
    <cellStyle name="Normal 245 3 3 2" xfId="21010" xr:uid="{00000000-0005-0000-0000-000012520000}"/>
    <cellStyle name="Normal 245 3 3 2 2" xfId="21011" xr:uid="{00000000-0005-0000-0000-000013520000}"/>
    <cellStyle name="Normal 245 3 3 3" xfId="21012" xr:uid="{00000000-0005-0000-0000-000014520000}"/>
    <cellStyle name="Normal 245 3 4" xfId="21013" xr:uid="{00000000-0005-0000-0000-000015520000}"/>
    <cellStyle name="Normal 245 3 4 2" xfId="21014" xr:uid="{00000000-0005-0000-0000-000016520000}"/>
    <cellStyle name="Normal 245 3 4 2 2" xfId="21015" xr:uid="{00000000-0005-0000-0000-000017520000}"/>
    <cellStyle name="Normal 245 3 4 3" xfId="21016" xr:uid="{00000000-0005-0000-0000-000018520000}"/>
    <cellStyle name="Normal 245 3 5" xfId="21017" xr:uid="{00000000-0005-0000-0000-000019520000}"/>
    <cellStyle name="Normal 245 4" xfId="21018" xr:uid="{00000000-0005-0000-0000-00001A520000}"/>
    <cellStyle name="Normal 245 4 2" xfId="21019" xr:uid="{00000000-0005-0000-0000-00001B520000}"/>
    <cellStyle name="Normal 245 4 2 2" xfId="21020" xr:uid="{00000000-0005-0000-0000-00001C520000}"/>
    <cellStyle name="Normal 245 4 2 2 2" xfId="21021" xr:uid="{00000000-0005-0000-0000-00001D520000}"/>
    <cellStyle name="Normal 245 4 2 3" xfId="21022" xr:uid="{00000000-0005-0000-0000-00001E520000}"/>
    <cellStyle name="Normal 245 4 2 3 2" xfId="21023" xr:uid="{00000000-0005-0000-0000-00001F520000}"/>
    <cellStyle name="Normal 245 4 2 3 2 2" xfId="21024" xr:uid="{00000000-0005-0000-0000-000020520000}"/>
    <cellStyle name="Normal 245 4 2 3 3" xfId="21025" xr:uid="{00000000-0005-0000-0000-000021520000}"/>
    <cellStyle name="Normal 245 4 2 4" xfId="21026" xr:uid="{00000000-0005-0000-0000-000022520000}"/>
    <cellStyle name="Normal 245 4 3" xfId="21027" xr:uid="{00000000-0005-0000-0000-000023520000}"/>
    <cellStyle name="Normal 245 4 3 2" xfId="21028" xr:uid="{00000000-0005-0000-0000-000024520000}"/>
    <cellStyle name="Normal 245 4 3 2 2" xfId="21029" xr:uid="{00000000-0005-0000-0000-000025520000}"/>
    <cellStyle name="Normal 245 4 3 3" xfId="21030" xr:uid="{00000000-0005-0000-0000-000026520000}"/>
    <cellStyle name="Normal 245 4 4" xfId="21031" xr:uid="{00000000-0005-0000-0000-000027520000}"/>
    <cellStyle name="Normal 245 4 4 2" xfId="21032" xr:uid="{00000000-0005-0000-0000-000028520000}"/>
    <cellStyle name="Normal 245 4 4 2 2" xfId="21033" xr:uid="{00000000-0005-0000-0000-000029520000}"/>
    <cellStyle name="Normal 245 4 4 3" xfId="21034" xr:uid="{00000000-0005-0000-0000-00002A520000}"/>
    <cellStyle name="Normal 245 4 5" xfId="21035" xr:uid="{00000000-0005-0000-0000-00002B520000}"/>
    <cellStyle name="Normal 245 4 5 2" xfId="21036" xr:uid="{00000000-0005-0000-0000-00002C520000}"/>
    <cellStyle name="Normal 245 4 5 2 2" xfId="21037" xr:uid="{00000000-0005-0000-0000-00002D520000}"/>
    <cellStyle name="Normal 245 4 5 3" xfId="21038" xr:uid="{00000000-0005-0000-0000-00002E520000}"/>
    <cellStyle name="Normal 245 4 6" xfId="21039" xr:uid="{00000000-0005-0000-0000-00002F520000}"/>
    <cellStyle name="Normal 245 5" xfId="21040" xr:uid="{00000000-0005-0000-0000-000030520000}"/>
    <cellStyle name="Normal 245 5 2" xfId="21041" xr:uid="{00000000-0005-0000-0000-000031520000}"/>
    <cellStyle name="Normal 245 5 2 2" xfId="21042" xr:uid="{00000000-0005-0000-0000-000032520000}"/>
    <cellStyle name="Normal 245 5 3" xfId="21043" xr:uid="{00000000-0005-0000-0000-000033520000}"/>
    <cellStyle name="Normal 245 6" xfId="21044" xr:uid="{00000000-0005-0000-0000-000034520000}"/>
    <cellStyle name="Normal 245 6 2" xfId="21045" xr:uid="{00000000-0005-0000-0000-000035520000}"/>
    <cellStyle name="Normal 245 6 2 2" xfId="21046" xr:uid="{00000000-0005-0000-0000-000036520000}"/>
    <cellStyle name="Normal 245 6 3" xfId="21047" xr:uid="{00000000-0005-0000-0000-000037520000}"/>
    <cellStyle name="Normal 245 7" xfId="21048" xr:uid="{00000000-0005-0000-0000-000038520000}"/>
    <cellStyle name="Normal 245 7 2" xfId="21049" xr:uid="{00000000-0005-0000-0000-000039520000}"/>
    <cellStyle name="Normal 245 7 2 2" xfId="21050" xr:uid="{00000000-0005-0000-0000-00003A520000}"/>
    <cellStyle name="Normal 245 7 3" xfId="21051" xr:uid="{00000000-0005-0000-0000-00003B520000}"/>
    <cellStyle name="Normal 245 8" xfId="21052" xr:uid="{00000000-0005-0000-0000-00003C520000}"/>
    <cellStyle name="Normal 246" xfId="21053" xr:uid="{00000000-0005-0000-0000-00003D520000}"/>
    <cellStyle name="Normal 246 2" xfId="21054" xr:uid="{00000000-0005-0000-0000-00003E520000}"/>
    <cellStyle name="Normal 246 2 2" xfId="21055" xr:uid="{00000000-0005-0000-0000-00003F520000}"/>
    <cellStyle name="Normal 246 2 2 2" xfId="21056" xr:uid="{00000000-0005-0000-0000-000040520000}"/>
    <cellStyle name="Normal 246 2 2 2 2" xfId="21057" xr:uid="{00000000-0005-0000-0000-000041520000}"/>
    <cellStyle name="Normal 246 2 2 3" xfId="21058" xr:uid="{00000000-0005-0000-0000-000042520000}"/>
    <cellStyle name="Normal 246 2 2 3 2" xfId="21059" xr:uid="{00000000-0005-0000-0000-000043520000}"/>
    <cellStyle name="Normal 246 2 2 3 2 2" xfId="21060" xr:uid="{00000000-0005-0000-0000-000044520000}"/>
    <cellStyle name="Normal 246 2 2 3 3" xfId="21061" xr:uid="{00000000-0005-0000-0000-000045520000}"/>
    <cellStyle name="Normal 246 2 2 4" xfId="21062" xr:uid="{00000000-0005-0000-0000-000046520000}"/>
    <cellStyle name="Normal 246 2 2 4 2" xfId="21063" xr:uid="{00000000-0005-0000-0000-000047520000}"/>
    <cellStyle name="Normal 246 2 2 4 2 2" xfId="21064" xr:uid="{00000000-0005-0000-0000-000048520000}"/>
    <cellStyle name="Normal 246 2 2 4 3" xfId="21065" xr:uid="{00000000-0005-0000-0000-000049520000}"/>
    <cellStyle name="Normal 246 2 2 5" xfId="21066" xr:uid="{00000000-0005-0000-0000-00004A520000}"/>
    <cellStyle name="Normal 246 2 3" xfId="21067" xr:uid="{00000000-0005-0000-0000-00004B520000}"/>
    <cellStyle name="Normal 246 2 3 2" xfId="21068" xr:uid="{00000000-0005-0000-0000-00004C520000}"/>
    <cellStyle name="Normal 246 2 3 2 2" xfId="21069" xr:uid="{00000000-0005-0000-0000-00004D520000}"/>
    <cellStyle name="Normal 246 2 3 2 2 2" xfId="21070" xr:uid="{00000000-0005-0000-0000-00004E520000}"/>
    <cellStyle name="Normal 246 2 3 2 3" xfId="21071" xr:uid="{00000000-0005-0000-0000-00004F520000}"/>
    <cellStyle name="Normal 246 2 3 2 3 2" xfId="21072" xr:uid="{00000000-0005-0000-0000-000050520000}"/>
    <cellStyle name="Normal 246 2 3 2 3 2 2" xfId="21073" xr:uid="{00000000-0005-0000-0000-000051520000}"/>
    <cellStyle name="Normal 246 2 3 2 3 3" xfId="21074" xr:uid="{00000000-0005-0000-0000-000052520000}"/>
    <cellStyle name="Normal 246 2 3 2 4" xfId="21075" xr:uid="{00000000-0005-0000-0000-000053520000}"/>
    <cellStyle name="Normal 246 2 3 3" xfId="21076" xr:uid="{00000000-0005-0000-0000-000054520000}"/>
    <cellStyle name="Normal 246 2 3 3 2" xfId="21077" xr:uid="{00000000-0005-0000-0000-000055520000}"/>
    <cellStyle name="Normal 246 2 3 3 2 2" xfId="21078" xr:uid="{00000000-0005-0000-0000-000056520000}"/>
    <cellStyle name="Normal 246 2 3 3 3" xfId="21079" xr:uid="{00000000-0005-0000-0000-000057520000}"/>
    <cellStyle name="Normal 246 2 3 4" xfId="21080" xr:uid="{00000000-0005-0000-0000-000058520000}"/>
    <cellStyle name="Normal 246 2 3 4 2" xfId="21081" xr:uid="{00000000-0005-0000-0000-000059520000}"/>
    <cellStyle name="Normal 246 2 3 4 2 2" xfId="21082" xr:uid="{00000000-0005-0000-0000-00005A520000}"/>
    <cellStyle name="Normal 246 2 3 4 3" xfId="21083" xr:uid="{00000000-0005-0000-0000-00005B520000}"/>
    <cellStyle name="Normal 246 2 3 5" xfId="21084" xr:uid="{00000000-0005-0000-0000-00005C520000}"/>
    <cellStyle name="Normal 246 2 3 5 2" xfId="21085" xr:uid="{00000000-0005-0000-0000-00005D520000}"/>
    <cellStyle name="Normal 246 2 3 5 2 2" xfId="21086" xr:uid="{00000000-0005-0000-0000-00005E520000}"/>
    <cellStyle name="Normal 246 2 3 5 3" xfId="21087" xr:uid="{00000000-0005-0000-0000-00005F520000}"/>
    <cellStyle name="Normal 246 2 3 6" xfId="21088" xr:uid="{00000000-0005-0000-0000-000060520000}"/>
    <cellStyle name="Normal 246 2 4" xfId="21089" xr:uid="{00000000-0005-0000-0000-000061520000}"/>
    <cellStyle name="Normal 246 2 4 2" xfId="21090" xr:uid="{00000000-0005-0000-0000-000062520000}"/>
    <cellStyle name="Normal 246 2 4 2 2" xfId="21091" xr:uid="{00000000-0005-0000-0000-000063520000}"/>
    <cellStyle name="Normal 246 2 4 3" xfId="21092" xr:uid="{00000000-0005-0000-0000-000064520000}"/>
    <cellStyle name="Normal 246 2 5" xfId="21093" xr:uid="{00000000-0005-0000-0000-000065520000}"/>
    <cellStyle name="Normal 246 2 5 2" xfId="21094" xr:uid="{00000000-0005-0000-0000-000066520000}"/>
    <cellStyle name="Normal 246 2 5 2 2" xfId="21095" xr:uid="{00000000-0005-0000-0000-000067520000}"/>
    <cellStyle name="Normal 246 2 5 3" xfId="21096" xr:uid="{00000000-0005-0000-0000-000068520000}"/>
    <cellStyle name="Normal 246 2 6" xfId="21097" xr:uid="{00000000-0005-0000-0000-000069520000}"/>
    <cellStyle name="Normal 246 2 6 2" xfId="21098" xr:uid="{00000000-0005-0000-0000-00006A520000}"/>
    <cellStyle name="Normal 246 2 6 2 2" xfId="21099" xr:uid="{00000000-0005-0000-0000-00006B520000}"/>
    <cellStyle name="Normal 246 2 6 3" xfId="21100" xr:uid="{00000000-0005-0000-0000-00006C520000}"/>
    <cellStyle name="Normal 246 2 7" xfId="21101" xr:uid="{00000000-0005-0000-0000-00006D520000}"/>
    <cellStyle name="Normal 246 3" xfId="21102" xr:uid="{00000000-0005-0000-0000-00006E520000}"/>
    <cellStyle name="Normal 246 3 2" xfId="21103" xr:uid="{00000000-0005-0000-0000-00006F520000}"/>
    <cellStyle name="Normal 246 3 2 2" xfId="21104" xr:uid="{00000000-0005-0000-0000-000070520000}"/>
    <cellStyle name="Normal 246 3 3" xfId="21105" xr:uid="{00000000-0005-0000-0000-000071520000}"/>
    <cellStyle name="Normal 246 3 3 2" xfId="21106" xr:uid="{00000000-0005-0000-0000-000072520000}"/>
    <cellStyle name="Normal 246 3 3 2 2" xfId="21107" xr:uid="{00000000-0005-0000-0000-000073520000}"/>
    <cellStyle name="Normal 246 3 3 3" xfId="21108" xr:uid="{00000000-0005-0000-0000-000074520000}"/>
    <cellStyle name="Normal 246 3 4" xfId="21109" xr:uid="{00000000-0005-0000-0000-000075520000}"/>
    <cellStyle name="Normal 246 3 4 2" xfId="21110" xr:uid="{00000000-0005-0000-0000-000076520000}"/>
    <cellStyle name="Normal 246 3 4 2 2" xfId="21111" xr:uid="{00000000-0005-0000-0000-000077520000}"/>
    <cellStyle name="Normal 246 3 4 3" xfId="21112" xr:uid="{00000000-0005-0000-0000-000078520000}"/>
    <cellStyle name="Normal 246 3 5" xfId="21113" xr:uid="{00000000-0005-0000-0000-000079520000}"/>
    <cellStyle name="Normal 246 4" xfId="21114" xr:uid="{00000000-0005-0000-0000-00007A520000}"/>
    <cellStyle name="Normal 246 4 2" xfId="21115" xr:uid="{00000000-0005-0000-0000-00007B520000}"/>
    <cellStyle name="Normal 246 4 2 2" xfId="21116" xr:uid="{00000000-0005-0000-0000-00007C520000}"/>
    <cellStyle name="Normal 246 4 2 2 2" xfId="21117" xr:uid="{00000000-0005-0000-0000-00007D520000}"/>
    <cellStyle name="Normal 246 4 2 3" xfId="21118" xr:uid="{00000000-0005-0000-0000-00007E520000}"/>
    <cellStyle name="Normal 246 4 2 3 2" xfId="21119" xr:uid="{00000000-0005-0000-0000-00007F520000}"/>
    <cellStyle name="Normal 246 4 2 3 2 2" xfId="21120" xr:uid="{00000000-0005-0000-0000-000080520000}"/>
    <cellStyle name="Normal 246 4 2 3 3" xfId="21121" xr:uid="{00000000-0005-0000-0000-000081520000}"/>
    <cellStyle name="Normal 246 4 2 4" xfId="21122" xr:uid="{00000000-0005-0000-0000-000082520000}"/>
    <cellStyle name="Normal 246 4 3" xfId="21123" xr:uid="{00000000-0005-0000-0000-000083520000}"/>
    <cellStyle name="Normal 246 4 3 2" xfId="21124" xr:uid="{00000000-0005-0000-0000-000084520000}"/>
    <cellStyle name="Normal 246 4 3 2 2" xfId="21125" xr:uid="{00000000-0005-0000-0000-000085520000}"/>
    <cellStyle name="Normal 246 4 3 3" xfId="21126" xr:uid="{00000000-0005-0000-0000-000086520000}"/>
    <cellStyle name="Normal 246 4 4" xfId="21127" xr:uid="{00000000-0005-0000-0000-000087520000}"/>
    <cellStyle name="Normal 246 4 4 2" xfId="21128" xr:uid="{00000000-0005-0000-0000-000088520000}"/>
    <cellStyle name="Normal 246 4 4 2 2" xfId="21129" xr:uid="{00000000-0005-0000-0000-000089520000}"/>
    <cellStyle name="Normal 246 4 4 3" xfId="21130" xr:uid="{00000000-0005-0000-0000-00008A520000}"/>
    <cellStyle name="Normal 246 4 5" xfId="21131" xr:uid="{00000000-0005-0000-0000-00008B520000}"/>
    <cellStyle name="Normal 246 4 5 2" xfId="21132" xr:uid="{00000000-0005-0000-0000-00008C520000}"/>
    <cellStyle name="Normal 246 4 5 2 2" xfId="21133" xr:uid="{00000000-0005-0000-0000-00008D520000}"/>
    <cellStyle name="Normal 246 4 5 3" xfId="21134" xr:uid="{00000000-0005-0000-0000-00008E520000}"/>
    <cellStyle name="Normal 246 4 6" xfId="21135" xr:uid="{00000000-0005-0000-0000-00008F520000}"/>
    <cellStyle name="Normal 246 5" xfId="21136" xr:uid="{00000000-0005-0000-0000-000090520000}"/>
    <cellStyle name="Normal 246 5 2" xfId="21137" xr:uid="{00000000-0005-0000-0000-000091520000}"/>
    <cellStyle name="Normal 246 5 2 2" xfId="21138" xr:uid="{00000000-0005-0000-0000-000092520000}"/>
    <cellStyle name="Normal 246 5 3" xfId="21139" xr:uid="{00000000-0005-0000-0000-000093520000}"/>
    <cellStyle name="Normal 246 6" xfId="21140" xr:uid="{00000000-0005-0000-0000-000094520000}"/>
    <cellStyle name="Normal 246 6 2" xfId="21141" xr:uid="{00000000-0005-0000-0000-000095520000}"/>
    <cellStyle name="Normal 246 6 2 2" xfId="21142" xr:uid="{00000000-0005-0000-0000-000096520000}"/>
    <cellStyle name="Normal 246 6 3" xfId="21143" xr:uid="{00000000-0005-0000-0000-000097520000}"/>
    <cellStyle name="Normal 246 7" xfId="21144" xr:uid="{00000000-0005-0000-0000-000098520000}"/>
    <cellStyle name="Normal 246 7 2" xfId="21145" xr:uid="{00000000-0005-0000-0000-000099520000}"/>
    <cellStyle name="Normal 246 7 2 2" xfId="21146" xr:uid="{00000000-0005-0000-0000-00009A520000}"/>
    <cellStyle name="Normal 246 7 3" xfId="21147" xr:uid="{00000000-0005-0000-0000-00009B520000}"/>
    <cellStyle name="Normal 246 8" xfId="21148" xr:uid="{00000000-0005-0000-0000-00009C520000}"/>
    <cellStyle name="Normal 247" xfId="21149" xr:uid="{00000000-0005-0000-0000-00009D520000}"/>
    <cellStyle name="Normal 247 2" xfId="21150" xr:uid="{00000000-0005-0000-0000-00009E520000}"/>
    <cellStyle name="Normal 247 2 2" xfId="21151" xr:uid="{00000000-0005-0000-0000-00009F520000}"/>
    <cellStyle name="Normal 247 2 2 2" xfId="21152" xr:uid="{00000000-0005-0000-0000-0000A0520000}"/>
    <cellStyle name="Normal 247 2 2 2 2" xfId="21153" xr:uid="{00000000-0005-0000-0000-0000A1520000}"/>
    <cellStyle name="Normal 247 2 2 3" xfId="21154" xr:uid="{00000000-0005-0000-0000-0000A2520000}"/>
    <cellStyle name="Normal 247 2 2 3 2" xfId="21155" xr:uid="{00000000-0005-0000-0000-0000A3520000}"/>
    <cellStyle name="Normal 247 2 2 3 2 2" xfId="21156" xr:uid="{00000000-0005-0000-0000-0000A4520000}"/>
    <cellStyle name="Normal 247 2 2 3 3" xfId="21157" xr:uid="{00000000-0005-0000-0000-0000A5520000}"/>
    <cellStyle name="Normal 247 2 2 4" xfId="21158" xr:uid="{00000000-0005-0000-0000-0000A6520000}"/>
    <cellStyle name="Normal 247 2 2 4 2" xfId="21159" xr:uid="{00000000-0005-0000-0000-0000A7520000}"/>
    <cellStyle name="Normal 247 2 2 4 2 2" xfId="21160" xr:uid="{00000000-0005-0000-0000-0000A8520000}"/>
    <cellStyle name="Normal 247 2 2 4 3" xfId="21161" xr:uid="{00000000-0005-0000-0000-0000A9520000}"/>
    <cellStyle name="Normal 247 2 2 5" xfId="21162" xr:uid="{00000000-0005-0000-0000-0000AA520000}"/>
    <cellStyle name="Normal 247 2 3" xfId="21163" xr:uid="{00000000-0005-0000-0000-0000AB520000}"/>
    <cellStyle name="Normal 247 2 3 2" xfId="21164" xr:uid="{00000000-0005-0000-0000-0000AC520000}"/>
    <cellStyle name="Normal 247 2 3 2 2" xfId="21165" xr:uid="{00000000-0005-0000-0000-0000AD520000}"/>
    <cellStyle name="Normal 247 2 3 2 2 2" xfId="21166" xr:uid="{00000000-0005-0000-0000-0000AE520000}"/>
    <cellStyle name="Normal 247 2 3 2 3" xfId="21167" xr:uid="{00000000-0005-0000-0000-0000AF520000}"/>
    <cellStyle name="Normal 247 2 3 2 3 2" xfId="21168" xr:uid="{00000000-0005-0000-0000-0000B0520000}"/>
    <cellStyle name="Normal 247 2 3 2 3 2 2" xfId="21169" xr:uid="{00000000-0005-0000-0000-0000B1520000}"/>
    <cellStyle name="Normal 247 2 3 2 3 3" xfId="21170" xr:uid="{00000000-0005-0000-0000-0000B2520000}"/>
    <cellStyle name="Normal 247 2 3 2 4" xfId="21171" xr:uid="{00000000-0005-0000-0000-0000B3520000}"/>
    <cellStyle name="Normal 247 2 3 3" xfId="21172" xr:uid="{00000000-0005-0000-0000-0000B4520000}"/>
    <cellStyle name="Normal 247 2 3 3 2" xfId="21173" xr:uid="{00000000-0005-0000-0000-0000B5520000}"/>
    <cellStyle name="Normal 247 2 3 3 2 2" xfId="21174" xr:uid="{00000000-0005-0000-0000-0000B6520000}"/>
    <cellStyle name="Normal 247 2 3 3 3" xfId="21175" xr:uid="{00000000-0005-0000-0000-0000B7520000}"/>
    <cellStyle name="Normal 247 2 3 4" xfId="21176" xr:uid="{00000000-0005-0000-0000-0000B8520000}"/>
    <cellStyle name="Normal 247 2 3 4 2" xfId="21177" xr:uid="{00000000-0005-0000-0000-0000B9520000}"/>
    <cellStyle name="Normal 247 2 3 4 2 2" xfId="21178" xr:uid="{00000000-0005-0000-0000-0000BA520000}"/>
    <cellStyle name="Normal 247 2 3 4 3" xfId="21179" xr:uid="{00000000-0005-0000-0000-0000BB520000}"/>
    <cellStyle name="Normal 247 2 3 5" xfId="21180" xr:uid="{00000000-0005-0000-0000-0000BC520000}"/>
    <cellStyle name="Normal 247 2 3 5 2" xfId="21181" xr:uid="{00000000-0005-0000-0000-0000BD520000}"/>
    <cellStyle name="Normal 247 2 3 5 2 2" xfId="21182" xr:uid="{00000000-0005-0000-0000-0000BE520000}"/>
    <cellStyle name="Normal 247 2 3 5 3" xfId="21183" xr:uid="{00000000-0005-0000-0000-0000BF520000}"/>
    <cellStyle name="Normal 247 2 3 6" xfId="21184" xr:uid="{00000000-0005-0000-0000-0000C0520000}"/>
    <cellStyle name="Normal 247 2 4" xfId="21185" xr:uid="{00000000-0005-0000-0000-0000C1520000}"/>
    <cellStyle name="Normal 247 2 4 2" xfId="21186" xr:uid="{00000000-0005-0000-0000-0000C2520000}"/>
    <cellStyle name="Normal 247 2 4 2 2" xfId="21187" xr:uid="{00000000-0005-0000-0000-0000C3520000}"/>
    <cellStyle name="Normal 247 2 4 3" xfId="21188" xr:uid="{00000000-0005-0000-0000-0000C4520000}"/>
    <cellStyle name="Normal 247 2 5" xfId="21189" xr:uid="{00000000-0005-0000-0000-0000C5520000}"/>
    <cellStyle name="Normal 247 2 5 2" xfId="21190" xr:uid="{00000000-0005-0000-0000-0000C6520000}"/>
    <cellStyle name="Normal 247 2 5 2 2" xfId="21191" xr:uid="{00000000-0005-0000-0000-0000C7520000}"/>
    <cellStyle name="Normal 247 2 5 3" xfId="21192" xr:uid="{00000000-0005-0000-0000-0000C8520000}"/>
    <cellStyle name="Normal 247 2 6" xfId="21193" xr:uid="{00000000-0005-0000-0000-0000C9520000}"/>
    <cellStyle name="Normal 247 2 6 2" xfId="21194" xr:uid="{00000000-0005-0000-0000-0000CA520000}"/>
    <cellStyle name="Normal 247 2 6 2 2" xfId="21195" xr:uid="{00000000-0005-0000-0000-0000CB520000}"/>
    <cellStyle name="Normal 247 2 6 3" xfId="21196" xr:uid="{00000000-0005-0000-0000-0000CC520000}"/>
    <cellStyle name="Normal 247 2 7" xfId="21197" xr:uid="{00000000-0005-0000-0000-0000CD520000}"/>
    <cellStyle name="Normal 247 3" xfId="21198" xr:uid="{00000000-0005-0000-0000-0000CE520000}"/>
    <cellStyle name="Normal 247 3 2" xfId="21199" xr:uid="{00000000-0005-0000-0000-0000CF520000}"/>
    <cellStyle name="Normal 247 3 2 2" xfId="21200" xr:uid="{00000000-0005-0000-0000-0000D0520000}"/>
    <cellStyle name="Normal 247 3 3" xfId="21201" xr:uid="{00000000-0005-0000-0000-0000D1520000}"/>
    <cellStyle name="Normal 247 3 3 2" xfId="21202" xr:uid="{00000000-0005-0000-0000-0000D2520000}"/>
    <cellStyle name="Normal 247 3 3 2 2" xfId="21203" xr:uid="{00000000-0005-0000-0000-0000D3520000}"/>
    <cellStyle name="Normal 247 3 3 3" xfId="21204" xr:uid="{00000000-0005-0000-0000-0000D4520000}"/>
    <cellStyle name="Normal 247 3 4" xfId="21205" xr:uid="{00000000-0005-0000-0000-0000D5520000}"/>
    <cellStyle name="Normal 247 3 4 2" xfId="21206" xr:uid="{00000000-0005-0000-0000-0000D6520000}"/>
    <cellStyle name="Normal 247 3 4 2 2" xfId="21207" xr:uid="{00000000-0005-0000-0000-0000D7520000}"/>
    <cellStyle name="Normal 247 3 4 3" xfId="21208" xr:uid="{00000000-0005-0000-0000-0000D8520000}"/>
    <cellStyle name="Normal 247 3 5" xfId="21209" xr:uid="{00000000-0005-0000-0000-0000D9520000}"/>
    <cellStyle name="Normal 247 4" xfId="21210" xr:uid="{00000000-0005-0000-0000-0000DA520000}"/>
    <cellStyle name="Normal 247 4 2" xfId="21211" xr:uid="{00000000-0005-0000-0000-0000DB520000}"/>
    <cellStyle name="Normal 247 4 2 2" xfId="21212" xr:uid="{00000000-0005-0000-0000-0000DC520000}"/>
    <cellStyle name="Normal 247 4 2 2 2" xfId="21213" xr:uid="{00000000-0005-0000-0000-0000DD520000}"/>
    <cellStyle name="Normal 247 4 2 3" xfId="21214" xr:uid="{00000000-0005-0000-0000-0000DE520000}"/>
    <cellStyle name="Normal 247 4 2 3 2" xfId="21215" xr:uid="{00000000-0005-0000-0000-0000DF520000}"/>
    <cellStyle name="Normal 247 4 2 3 2 2" xfId="21216" xr:uid="{00000000-0005-0000-0000-0000E0520000}"/>
    <cellStyle name="Normal 247 4 2 3 3" xfId="21217" xr:uid="{00000000-0005-0000-0000-0000E1520000}"/>
    <cellStyle name="Normal 247 4 2 4" xfId="21218" xr:uid="{00000000-0005-0000-0000-0000E2520000}"/>
    <cellStyle name="Normal 247 4 3" xfId="21219" xr:uid="{00000000-0005-0000-0000-0000E3520000}"/>
    <cellStyle name="Normal 247 4 3 2" xfId="21220" xr:uid="{00000000-0005-0000-0000-0000E4520000}"/>
    <cellStyle name="Normal 247 4 3 2 2" xfId="21221" xr:uid="{00000000-0005-0000-0000-0000E5520000}"/>
    <cellStyle name="Normal 247 4 3 3" xfId="21222" xr:uid="{00000000-0005-0000-0000-0000E6520000}"/>
    <cellStyle name="Normal 247 4 4" xfId="21223" xr:uid="{00000000-0005-0000-0000-0000E7520000}"/>
    <cellStyle name="Normal 247 4 4 2" xfId="21224" xr:uid="{00000000-0005-0000-0000-0000E8520000}"/>
    <cellStyle name="Normal 247 4 4 2 2" xfId="21225" xr:uid="{00000000-0005-0000-0000-0000E9520000}"/>
    <cellStyle name="Normal 247 4 4 3" xfId="21226" xr:uid="{00000000-0005-0000-0000-0000EA520000}"/>
    <cellStyle name="Normal 247 4 5" xfId="21227" xr:uid="{00000000-0005-0000-0000-0000EB520000}"/>
    <cellStyle name="Normal 247 4 5 2" xfId="21228" xr:uid="{00000000-0005-0000-0000-0000EC520000}"/>
    <cellStyle name="Normal 247 4 5 2 2" xfId="21229" xr:uid="{00000000-0005-0000-0000-0000ED520000}"/>
    <cellStyle name="Normal 247 4 5 3" xfId="21230" xr:uid="{00000000-0005-0000-0000-0000EE520000}"/>
    <cellStyle name="Normal 247 4 6" xfId="21231" xr:uid="{00000000-0005-0000-0000-0000EF520000}"/>
    <cellStyle name="Normal 247 5" xfId="21232" xr:uid="{00000000-0005-0000-0000-0000F0520000}"/>
    <cellStyle name="Normal 247 5 2" xfId="21233" xr:uid="{00000000-0005-0000-0000-0000F1520000}"/>
    <cellStyle name="Normal 247 5 2 2" xfId="21234" xr:uid="{00000000-0005-0000-0000-0000F2520000}"/>
    <cellStyle name="Normal 247 5 3" xfId="21235" xr:uid="{00000000-0005-0000-0000-0000F3520000}"/>
    <cellStyle name="Normal 247 6" xfId="21236" xr:uid="{00000000-0005-0000-0000-0000F4520000}"/>
    <cellStyle name="Normal 247 6 2" xfId="21237" xr:uid="{00000000-0005-0000-0000-0000F5520000}"/>
    <cellStyle name="Normal 247 6 2 2" xfId="21238" xr:uid="{00000000-0005-0000-0000-0000F6520000}"/>
    <cellStyle name="Normal 247 6 3" xfId="21239" xr:uid="{00000000-0005-0000-0000-0000F7520000}"/>
    <cellStyle name="Normal 247 7" xfId="21240" xr:uid="{00000000-0005-0000-0000-0000F8520000}"/>
    <cellStyle name="Normal 247 7 2" xfId="21241" xr:uid="{00000000-0005-0000-0000-0000F9520000}"/>
    <cellStyle name="Normal 247 7 2 2" xfId="21242" xr:uid="{00000000-0005-0000-0000-0000FA520000}"/>
    <cellStyle name="Normal 247 7 3" xfId="21243" xr:uid="{00000000-0005-0000-0000-0000FB520000}"/>
    <cellStyle name="Normal 247 8" xfId="21244" xr:uid="{00000000-0005-0000-0000-0000FC520000}"/>
    <cellStyle name="Normal 248" xfId="21245" xr:uid="{00000000-0005-0000-0000-0000FD520000}"/>
    <cellStyle name="Normal 248 2" xfId="21246" xr:uid="{00000000-0005-0000-0000-0000FE520000}"/>
    <cellStyle name="Normal 248 2 2" xfId="21247" xr:uid="{00000000-0005-0000-0000-0000FF520000}"/>
    <cellStyle name="Normal 248 2 2 2" xfId="21248" xr:uid="{00000000-0005-0000-0000-000000530000}"/>
    <cellStyle name="Normal 248 2 2 2 2" xfId="21249" xr:uid="{00000000-0005-0000-0000-000001530000}"/>
    <cellStyle name="Normal 248 2 2 3" xfId="21250" xr:uid="{00000000-0005-0000-0000-000002530000}"/>
    <cellStyle name="Normal 248 2 2 3 2" xfId="21251" xr:uid="{00000000-0005-0000-0000-000003530000}"/>
    <cellStyle name="Normal 248 2 2 3 2 2" xfId="21252" xr:uid="{00000000-0005-0000-0000-000004530000}"/>
    <cellStyle name="Normal 248 2 2 3 3" xfId="21253" xr:uid="{00000000-0005-0000-0000-000005530000}"/>
    <cellStyle name="Normal 248 2 2 4" xfId="21254" xr:uid="{00000000-0005-0000-0000-000006530000}"/>
    <cellStyle name="Normal 248 2 2 4 2" xfId="21255" xr:uid="{00000000-0005-0000-0000-000007530000}"/>
    <cellStyle name="Normal 248 2 2 4 2 2" xfId="21256" xr:uid="{00000000-0005-0000-0000-000008530000}"/>
    <cellStyle name="Normal 248 2 2 4 3" xfId="21257" xr:uid="{00000000-0005-0000-0000-000009530000}"/>
    <cellStyle name="Normal 248 2 2 5" xfId="21258" xr:uid="{00000000-0005-0000-0000-00000A530000}"/>
    <cellStyle name="Normal 248 2 3" xfId="21259" xr:uid="{00000000-0005-0000-0000-00000B530000}"/>
    <cellStyle name="Normal 248 2 3 2" xfId="21260" xr:uid="{00000000-0005-0000-0000-00000C530000}"/>
    <cellStyle name="Normal 248 2 3 2 2" xfId="21261" xr:uid="{00000000-0005-0000-0000-00000D530000}"/>
    <cellStyle name="Normal 248 2 3 2 2 2" xfId="21262" xr:uid="{00000000-0005-0000-0000-00000E530000}"/>
    <cellStyle name="Normal 248 2 3 2 3" xfId="21263" xr:uid="{00000000-0005-0000-0000-00000F530000}"/>
    <cellStyle name="Normal 248 2 3 2 3 2" xfId="21264" xr:uid="{00000000-0005-0000-0000-000010530000}"/>
    <cellStyle name="Normal 248 2 3 2 3 2 2" xfId="21265" xr:uid="{00000000-0005-0000-0000-000011530000}"/>
    <cellStyle name="Normal 248 2 3 2 3 3" xfId="21266" xr:uid="{00000000-0005-0000-0000-000012530000}"/>
    <cellStyle name="Normal 248 2 3 2 4" xfId="21267" xr:uid="{00000000-0005-0000-0000-000013530000}"/>
    <cellStyle name="Normal 248 2 3 3" xfId="21268" xr:uid="{00000000-0005-0000-0000-000014530000}"/>
    <cellStyle name="Normal 248 2 3 3 2" xfId="21269" xr:uid="{00000000-0005-0000-0000-000015530000}"/>
    <cellStyle name="Normal 248 2 3 3 2 2" xfId="21270" xr:uid="{00000000-0005-0000-0000-000016530000}"/>
    <cellStyle name="Normal 248 2 3 3 3" xfId="21271" xr:uid="{00000000-0005-0000-0000-000017530000}"/>
    <cellStyle name="Normal 248 2 3 4" xfId="21272" xr:uid="{00000000-0005-0000-0000-000018530000}"/>
    <cellStyle name="Normal 248 2 3 4 2" xfId="21273" xr:uid="{00000000-0005-0000-0000-000019530000}"/>
    <cellStyle name="Normal 248 2 3 4 2 2" xfId="21274" xr:uid="{00000000-0005-0000-0000-00001A530000}"/>
    <cellStyle name="Normal 248 2 3 4 3" xfId="21275" xr:uid="{00000000-0005-0000-0000-00001B530000}"/>
    <cellStyle name="Normal 248 2 3 5" xfId="21276" xr:uid="{00000000-0005-0000-0000-00001C530000}"/>
    <cellStyle name="Normal 248 2 3 5 2" xfId="21277" xr:uid="{00000000-0005-0000-0000-00001D530000}"/>
    <cellStyle name="Normal 248 2 3 5 2 2" xfId="21278" xr:uid="{00000000-0005-0000-0000-00001E530000}"/>
    <cellStyle name="Normal 248 2 3 5 3" xfId="21279" xr:uid="{00000000-0005-0000-0000-00001F530000}"/>
    <cellStyle name="Normal 248 2 3 6" xfId="21280" xr:uid="{00000000-0005-0000-0000-000020530000}"/>
    <cellStyle name="Normal 248 2 4" xfId="21281" xr:uid="{00000000-0005-0000-0000-000021530000}"/>
    <cellStyle name="Normal 248 2 4 2" xfId="21282" xr:uid="{00000000-0005-0000-0000-000022530000}"/>
    <cellStyle name="Normal 248 2 4 2 2" xfId="21283" xr:uid="{00000000-0005-0000-0000-000023530000}"/>
    <cellStyle name="Normal 248 2 4 3" xfId="21284" xr:uid="{00000000-0005-0000-0000-000024530000}"/>
    <cellStyle name="Normal 248 2 5" xfId="21285" xr:uid="{00000000-0005-0000-0000-000025530000}"/>
    <cellStyle name="Normal 248 2 5 2" xfId="21286" xr:uid="{00000000-0005-0000-0000-000026530000}"/>
    <cellStyle name="Normal 248 2 5 2 2" xfId="21287" xr:uid="{00000000-0005-0000-0000-000027530000}"/>
    <cellStyle name="Normal 248 2 5 3" xfId="21288" xr:uid="{00000000-0005-0000-0000-000028530000}"/>
    <cellStyle name="Normal 248 2 6" xfId="21289" xr:uid="{00000000-0005-0000-0000-000029530000}"/>
    <cellStyle name="Normal 248 2 6 2" xfId="21290" xr:uid="{00000000-0005-0000-0000-00002A530000}"/>
    <cellStyle name="Normal 248 2 6 2 2" xfId="21291" xr:uid="{00000000-0005-0000-0000-00002B530000}"/>
    <cellStyle name="Normal 248 2 6 3" xfId="21292" xr:uid="{00000000-0005-0000-0000-00002C530000}"/>
    <cellStyle name="Normal 248 2 7" xfId="21293" xr:uid="{00000000-0005-0000-0000-00002D530000}"/>
    <cellStyle name="Normal 248 3" xfId="21294" xr:uid="{00000000-0005-0000-0000-00002E530000}"/>
    <cellStyle name="Normal 248 3 2" xfId="21295" xr:uid="{00000000-0005-0000-0000-00002F530000}"/>
    <cellStyle name="Normal 248 3 2 2" xfId="21296" xr:uid="{00000000-0005-0000-0000-000030530000}"/>
    <cellStyle name="Normal 248 3 3" xfId="21297" xr:uid="{00000000-0005-0000-0000-000031530000}"/>
    <cellStyle name="Normal 248 3 3 2" xfId="21298" xr:uid="{00000000-0005-0000-0000-000032530000}"/>
    <cellStyle name="Normal 248 3 3 2 2" xfId="21299" xr:uid="{00000000-0005-0000-0000-000033530000}"/>
    <cellStyle name="Normal 248 3 3 3" xfId="21300" xr:uid="{00000000-0005-0000-0000-000034530000}"/>
    <cellStyle name="Normal 248 3 4" xfId="21301" xr:uid="{00000000-0005-0000-0000-000035530000}"/>
    <cellStyle name="Normal 248 3 4 2" xfId="21302" xr:uid="{00000000-0005-0000-0000-000036530000}"/>
    <cellStyle name="Normal 248 3 4 2 2" xfId="21303" xr:uid="{00000000-0005-0000-0000-000037530000}"/>
    <cellStyle name="Normal 248 3 4 3" xfId="21304" xr:uid="{00000000-0005-0000-0000-000038530000}"/>
    <cellStyle name="Normal 248 3 5" xfId="21305" xr:uid="{00000000-0005-0000-0000-000039530000}"/>
    <cellStyle name="Normal 248 4" xfId="21306" xr:uid="{00000000-0005-0000-0000-00003A530000}"/>
    <cellStyle name="Normal 248 4 2" xfId="21307" xr:uid="{00000000-0005-0000-0000-00003B530000}"/>
    <cellStyle name="Normal 248 4 2 2" xfId="21308" xr:uid="{00000000-0005-0000-0000-00003C530000}"/>
    <cellStyle name="Normal 248 4 2 2 2" xfId="21309" xr:uid="{00000000-0005-0000-0000-00003D530000}"/>
    <cellStyle name="Normal 248 4 2 3" xfId="21310" xr:uid="{00000000-0005-0000-0000-00003E530000}"/>
    <cellStyle name="Normal 248 4 2 3 2" xfId="21311" xr:uid="{00000000-0005-0000-0000-00003F530000}"/>
    <cellStyle name="Normal 248 4 2 3 2 2" xfId="21312" xr:uid="{00000000-0005-0000-0000-000040530000}"/>
    <cellStyle name="Normal 248 4 2 3 3" xfId="21313" xr:uid="{00000000-0005-0000-0000-000041530000}"/>
    <cellStyle name="Normal 248 4 2 4" xfId="21314" xr:uid="{00000000-0005-0000-0000-000042530000}"/>
    <cellStyle name="Normal 248 4 3" xfId="21315" xr:uid="{00000000-0005-0000-0000-000043530000}"/>
    <cellStyle name="Normal 248 4 3 2" xfId="21316" xr:uid="{00000000-0005-0000-0000-000044530000}"/>
    <cellStyle name="Normal 248 4 3 2 2" xfId="21317" xr:uid="{00000000-0005-0000-0000-000045530000}"/>
    <cellStyle name="Normal 248 4 3 3" xfId="21318" xr:uid="{00000000-0005-0000-0000-000046530000}"/>
    <cellStyle name="Normal 248 4 4" xfId="21319" xr:uid="{00000000-0005-0000-0000-000047530000}"/>
    <cellStyle name="Normal 248 4 4 2" xfId="21320" xr:uid="{00000000-0005-0000-0000-000048530000}"/>
    <cellStyle name="Normal 248 4 4 2 2" xfId="21321" xr:uid="{00000000-0005-0000-0000-000049530000}"/>
    <cellStyle name="Normal 248 4 4 3" xfId="21322" xr:uid="{00000000-0005-0000-0000-00004A530000}"/>
    <cellStyle name="Normal 248 4 5" xfId="21323" xr:uid="{00000000-0005-0000-0000-00004B530000}"/>
    <cellStyle name="Normal 248 4 5 2" xfId="21324" xr:uid="{00000000-0005-0000-0000-00004C530000}"/>
    <cellStyle name="Normal 248 4 5 2 2" xfId="21325" xr:uid="{00000000-0005-0000-0000-00004D530000}"/>
    <cellStyle name="Normal 248 4 5 3" xfId="21326" xr:uid="{00000000-0005-0000-0000-00004E530000}"/>
    <cellStyle name="Normal 248 4 6" xfId="21327" xr:uid="{00000000-0005-0000-0000-00004F530000}"/>
    <cellStyle name="Normal 248 5" xfId="21328" xr:uid="{00000000-0005-0000-0000-000050530000}"/>
    <cellStyle name="Normal 248 5 2" xfId="21329" xr:uid="{00000000-0005-0000-0000-000051530000}"/>
    <cellStyle name="Normal 248 5 2 2" xfId="21330" xr:uid="{00000000-0005-0000-0000-000052530000}"/>
    <cellStyle name="Normal 248 5 3" xfId="21331" xr:uid="{00000000-0005-0000-0000-000053530000}"/>
    <cellStyle name="Normal 248 6" xfId="21332" xr:uid="{00000000-0005-0000-0000-000054530000}"/>
    <cellStyle name="Normal 248 6 2" xfId="21333" xr:uid="{00000000-0005-0000-0000-000055530000}"/>
    <cellStyle name="Normal 248 6 2 2" xfId="21334" xr:uid="{00000000-0005-0000-0000-000056530000}"/>
    <cellStyle name="Normal 248 6 3" xfId="21335" xr:uid="{00000000-0005-0000-0000-000057530000}"/>
    <cellStyle name="Normal 248 7" xfId="21336" xr:uid="{00000000-0005-0000-0000-000058530000}"/>
    <cellStyle name="Normal 248 7 2" xfId="21337" xr:uid="{00000000-0005-0000-0000-000059530000}"/>
    <cellStyle name="Normal 248 7 2 2" xfId="21338" xr:uid="{00000000-0005-0000-0000-00005A530000}"/>
    <cellStyle name="Normal 248 7 3" xfId="21339" xr:uid="{00000000-0005-0000-0000-00005B530000}"/>
    <cellStyle name="Normal 248 8" xfId="21340" xr:uid="{00000000-0005-0000-0000-00005C530000}"/>
    <cellStyle name="Normal 249" xfId="21341" xr:uid="{00000000-0005-0000-0000-00005D530000}"/>
    <cellStyle name="Normal 249 2" xfId="21342" xr:uid="{00000000-0005-0000-0000-00005E530000}"/>
    <cellStyle name="Normal 249 2 2" xfId="21343" xr:uid="{00000000-0005-0000-0000-00005F530000}"/>
    <cellStyle name="Normal 249 2 2 2" xfId="21344" xr:uid="{00000000-0005-0000-0000-000060530000}"/>
    <cellStyle name="Normal 249 2 2 2 2" xfId="21345" xr:uid="{00000000-0005-0000-0000-000061530000}"/>
    <cellStyle name="Normal 249 2 2 3" xfId="21346" xr:uid="{00000000-0005-0000-0000-000062530000}"/>
    <cellStyle name="Normal 249 2 2 3 2" xfId="21347" xr:uid="{00000000-0005-0000-0000-000063530000}"/>
    <cellStyle name="Normal 249 2 2 3 2 2" xfId="21348" xr:uid="{00000000-0005-0000-0000-000064530000}"/>
    <cellStyle name="Normal 249 2 2 3 3" xfId="21349" xr:uid="{00000000-0005-0000-0000-000065530000}"/>
    <cellStyle name="Normal 249 2 2 4" xfId="21350" xr:uid="{00000000-0005-0000-0000-000066530000}"/>
    <cellStyle name="Normal 249 2 2 4 2" xfId="21351" xr:uid="{00000000-0005-0000-0000-000067530000}"/>
    <cellStyle name="Normal 249 2 2 4 2 2" xfId="21352" xr:uid="{00000000-0005-0000-0000-000068530000}"/>
    <cellStyle name="Normal 249 2 2 4 3" xfId="21353" xr:uid="{00000000-0005-0000-0000-000069530000}"/>
    <cellStyle name="Normal 249 2 2 5" xfId="21354" xr:uid="{00000000-0005-0000-0000-00006A530000}"/>
    <cellStyle name="Normal 249 2 3" xfId="21355" xr:uid="{00000000-0005-0000-0000-00006B530000}"/>
    <cellStyle name="Normal 249 2 3 2" xfId="21356" xr:uid="{00000000-0005-0000-0000-00006C530000}"/>
    <cellStyle name="Normal 249 2 3 2 2" xfId="21357" xr:uid="{00000000-0005-0000-0000-00006D530000}"/>
    <cellStyle name="Normal 249 2 3 2 2 2" xfId="21358" xr:uid="{00000000-0005-0000-0000-00006E530000}"/>
    <cellStyle name="Normal 249 2 3 2 3" xfId="21359" xr:uid="{00000000-0005-0000-0000-00006F530000}"/>
    <cellStyle name="Normal 249 2 3 2 3 2" xfId="21360" xr:uid="{00000000-0005-0000-0000-000070530000}"/>
    <cellStyle name="Normal 249 2 3 2 3 2 2" xfId="21361" xr:uid="{00000000-0005-0000-0000-000071530000}"/>
    <cellStyle name="Normal 249 2 3 2 3 3" xfId="21362" xr:uid="{00000000-0005-0000-0000-000072530000}"/>
    <cellStyle name="Normal 249 2 3 2 4" xfId="21363" xr:uid="{00000000-0005-0000-0000-000073530000}"/>
    <cellStyle name="Normal 249 2 3 3" xfId="21364" xr:uid="{00000000-0005-0000-0000-000074530000}"/>
    <cellStyle name="Normal 249 2 3 3 2" xfId="21365" xr:uid="{00000000-0005-0000-0000-000075530000}"/>
    <cellStyle name="Normal 249 2 3 3 2 2" xfId="21366" xr:uid="{00000000-0005-0000-0000-000076530000}"/>
    <cellStyle name="Normal 249 2 3 3 3" xfId="21367" xr:uid="{00000000-0005-0000-0000-000077530000}"/>
    <cellStyle name="Normal 249 2 3 4" xfId="21368" xr:uid="{00000000-0005-0000-0000-000078530000}"/>
    <cellStyle name="Normal 249 2 3 4 2" xfId="21369" xr:uid="{00000000-0005-0000-0000-000079530000}"/>
    <cellStyle name="Normal 249 2 3 4 2 2" xfId="21370" xr:uid="{00000000-0005-0000-0000-00007A530000}"/>
    <cellStyle name="Normal 249 2 3 4 3" xfId="21371" xr:uid="{00000000-0005-0000-0000-00007B530000}"/>
    <cellStyle name="Normal 249 2 3 5" xfId="21372" xr:uid="{00000000-0005-0000-0000-00007C530000}"/>
    <cellStyle name="Normal 249 2 3 5 2" xfId="21373" xr:uid="{00000000-0005-0000-0000-00007D530000}"/>
    <cellStyle name="Normal 249 2 3 5 2 2" xfId="21374" xr:uid="{00000000-0005-0000-0000-00007E530000}"/>
    <cellStyle name="Normal 249 2 3 5 3" xfId="21375" xr:uid="{00000000-0005-0000-0000-00007F530000}"/>
    <cellStyle name="Normal 249 2 3 6" xfId="21376" xr:uid="{00000000-0005-0000-0000-000080530000}"/>
    <cellStyle name="Normal 249 2 4" xfId="21377" xr:uid="{00000000-0005-0000-0000-000081530000}"/>
    <cellStyle name="Normal 249 2 4 2" xfId="21378" xr:uid="{00000000-0005-0000-0000-000082530000}"/>
    <cellStyle name="Normal 249 2 4 2 2" xfId="21379" xr:uid="{00000000-0005-0000-0000-000083530000}"/>
    <cellStyle name="Normal 249 2 4 3" xfId="21380" xr:uid="{00000000-0005-0000-0000-000084530000}"/>
    <cellStyle name="Normal 249 2 5" xfId="21381" xr:uid="{00000000-0005-0000-0000-000085530000}"/>
    <cellStyle name="Normal 249 2 5 2" xfId="21382" xr:uid="{00000000-0005-0000-0000-000086530000}"/>
    <cellStyle name="Normal 249 2 5 2 2" xfId="21383" xr:uid="{00000000-0005-0000-0000-000087530000}"/>
    <cellStyle name="Normal 249 2 5 3" xfId="21384" xr:uid="{00000000-0005-0000-0000-000088530000}"/>
    <cellStyle name="Normal 249 2 6" xfId="21385" xr:uid="{00000000-0005-0000-0000-000089530000}"/>
    <cellStyle name="Normal 249 2 6 2" xfId="21386" xr:uid="{00000000-0005-0000-0000-00008A530000}"/>
    <cellStyle name="Normal 249 2 6 2 2" xfId="21387" xr:uid="{00000000-0005-0000-0000-00008B530000}"/>
    <cellStyle name="Normal 249 2 6 3" xfId="21388" xr:uid="{00000000-0005-0000-0000-00008C530000}"/>
    <cellStyle name="Normal 249 2 7" xfId="21389" xr:uid="{00000000-0005-0000-0000-00008D530000}"/>
    <cellStyle name="Normal 249 3" xfId="21390" xr:uid="{00000000-0005-0000-0000-00008E530000}"/>
    <cellStyle name="Normal 249 3 2" xfId="21391" xr:uid="{00000000-0005-0000-0000-00008F530000}"/>
    <cellStyle name="Normal 249 3 2 2" xfId="21392" xr:uid="{00000000-0005-0000-0000-000090530000}"/>
    <cellStyle name="Normal 249 3 3" xfId="21393" xr:uid="{00000000-0005-0000-0000-000091530000}"/>
    <cellStyle name="Normal 249 3 3 2" xfId="21394" xr:uid="{00000000-0005-0000-0000-000092530000}"/>
    <cellStyle name="Normal 249 3 3 2 2" xfId="21395" xr:uid="{00000000-0005-0000-0000-000093530000}"/>
    <cellStyle name="Normal 249 3 3 3" xfId="21396" xr:uid="{00000000-0005-0000-0000-000094530000}"/>
    <cellStyle name="Normal 249 3 4" xfId="21397" xr:uid="{00000000-0005-0000-0000-000095530000}"/>
    <cellStyle name="Normal 249 3 4 2" xfId="21398" xr:uid="{00000000-0005-0000-0000-000096530000}"/>
    <cellStyle name="Normal 249 3 4 2 2" xfId="21399" xr:uid="{00000000-0005-0000-0000-000097530000}"/>
    <cellStyle name="Normal 249 3 4 3" xfId="21400" xr:uid="{00000000-0005-0000-0000-000098530000}"/>
    <cellStyle name="Normal 249 3 5" xfId="21401" xr:uid="{00000000-0005-0000-0000-000099530000}"/>
    <cellStyle name="Normal 249 4" xfId="21402" xr:uid="{00000000-0005-0000-0000-00009A530000}"/>
    <cellStyle name="Normal 249 4 2" xfId="21403" xr:uid="{00000000-0005-0000-0000-00009B530000}"/>
    <cellStyle name="Normal 249 4 2 2" xfId="21404" xr:uid="{00000000-0005-0000-0000-00009C530000}"/>
    <cellStyle name="Normal 249 4 2 2 2" xfId="21405" xr:uid="{00000000-0005-0000-0000-00009D530000}"/>
    <cellStyle name="Normal 249 4 2 3" xfId="21406" xr:uid="{00000000-0005-0000-0000-00009E530000}"/>
    <cellStyle name="Normal 249 4 2 3 2" xfId="21407" xr:uid="{00000000-0005-0000-0000-00009F530000}"/>
    <cellStyle name="Normal 249 4 2 3 2 2" xfId="21408" xr:uid="{00000000-0005-0000-0000-0000A0530000}"/>
    <cellStyle name="Normal 249 4 2 3 3" xfId="21409" xr:uid="{00000000-0005-0000-0000-0000A1530000}"/>
    <cellStyle name="Normal 249 4 2 4" xfId="21410" xr:uid="{00000000-0005-0000-0000-0000A2530000}"/>
    <cellStyle name="Normal 249 4 3" xfId="21411" xr:uid="{00000000-0005-0000-0000-0000A3530000}"/>
    <cellStyle name="Normal 249 4 3 2" xfId="21412" xr:uid="{00000000-0005-0000-0000-0000A4530000}"/>
    <cellStyle name="Normal 249 4 3 2 2" xfId="21413" xr:uid="{00000000-0005-0000-0000-0000A5530000}"/>
    <cellStyle name="Normal 249 4 3 3" xfId="21414" xr:uid="{00000000-0005-0000-0000-0000A6530000}"/>
    <cellStyle name="Normal 249 4 4" xfId="21415" xr:uid="{00000000-0005-0000-0000-0000A7530000}"/>
    <cellStyle name="Normal 249 4 4 2" xfId="21416" xr:uid="{00000000-0005-0000-0000-0000A8530000}"/>
    <cellStyle name="Normal 249 4 4 2 2" xfId="21417" xr:uid="{00000000-0005-0000-0000-0000A9530000}"/>
    <cellStyle name="Normal 249 4 4 3" xfId="21418" xr:uid="{00000000-0005-0000-0000-0000AA530000}"/>
    <cellStyle name="Normal 249 4 5" xfId="21419" xr:uid="{00000000-0005-0000-0000-0000AB530000}"/>
    <cellStyle name="Normal 249 4 5 2" xfId="21420" xr:uid="{00000000-0005-0000-0000-0000AC530000}"/>
    <cellStyle name="Normal 249 4 5 2 2" xfId="21421" xr:uid="{00000000-0005-0000-0000-0000AD530000}"/>
    <cellStyle name="Normal 249 4 5 3" xfId="21422" xr:uid="{00000000-0005-0000-0000-0000AE530000}"/>
    <cellStyle name="Normal 249 4 6" xfId="21423" xr:uid="{00000000-0005-0000-0000-0000AF530000}"/>
    <cellStyle name="Normal 249 5" xfId="21424" xr:uid="{00000000-0005-0000-0000-0000B0530000}"/>
    <cellStyle name="Normal 249 5 2" xfId="21425" xr:uid="{00000000-0005-0000-0000-0000B1530000}"/>
    <cellStyle name="Normal 249 5 2 2" xfId="21426" xr:uid="{00000000-0005-0000-0000-0000B2530000}"/>
    <cellStyle name="Normal 249 5 3" xfId="21427" xr:uid="{00000000-0005-0000-0000-0000B3530000}"/>
    <cellStyle name="Normal 249 6" xfId="21428" xr:uid="{00000000-0005-0000-0000-0000B4530000}"/>
    <cellStyle name="Normal 249 6 2" xfId="21429" xr:uid="{00000000-0005-0000-0000-0000B5530000}"/>
    <cellStyle name="Normal 249 6 2 2" xfId="21430" xr:uid="{00000000-0005-0000-0000-0000B6530000}"/>
    <cellStyle name="Normal 249 6 3" xfId="21431" xr:uid="{00000000-0005-0000-0000-0000B7530000}"/>
    <cellStyle name="Normal 249 7" xfId="21432" xr:uid="{00000000-0005-0000-0000-0000B8530000}"/>
    <cellStyle name="Normal 249 7 2" xfId="21433" xr:uid="{00000000-0005-0000-0000-0000B9530000}"/>
    <cellStyle name="Normal 249 7 2 2" xfId="21434" xr:uid="{00000000-0005-0000-0000-0000BA530000}"/>
    <cellStyle name="Normal 249 7 3" xfId="21435" xr:uid="{00000000-0005-0000-0000-0000BB530000}"/>
    <cellStyle name="Normal 249 8" xfId="21436" xr:uid="{00000000-0005-0000-0000-0000BC530000}"/>
    <cellStyle name="Normal 25" xfId="21437" xr:uid="{00000000-0005-0000-0000-0000BD530000}"/>
    <cellStyle name="Normal 25 2" xfId="21438" xr:uid="{00000000-0005-0000-0000-0000BE530000}"/>
    <cellStyle name="Normal 25 2 2" xfId="21439" xr:uid="{00000000-0005-0000-0000-0000BF530000}"/>
    <cellStyle name="Normal 25 2 2 2" xfId="21440" xr:uid="{00000000-0005-0000-0000-0000C0530000}"/>
    <cellStyle name="Normal 25 2 2 2 2" xfId="21441" xr:uid="{00000000-0005-0000-0000-0000C1530000}"/>
    <cellStyle name="Normal 25 2 2 3" xfId="21442" xr:uid="{00000000-0005-0000-0000-0000C2530000}"/>
    <cellStyle name="Normal 25 2 2 3 2" xfId="21443" xr:uid="{00000000-0005-0000-0000-0000C3530000}"/>
    <cellStyle name="Normal 25 2 2 3 2 2" xfId="21444" xr:uid="{00000000-0005-0000-0000-0000C4530000}"/>
    <cellStyle name="Normal 25 2 2 3 3" xfId="21445" xr:uid="{00000000-0005-0000-0000-0000C5530000}"/>
    <cellStyle name="Normal 25 2 2 4" xfId="21446" xr:uid="{00000000-0005-0000-0000-0000C6530000}"/>
    <cellStyle name="Normal 25 2 2 4 2" xfId="21447" xr:uid="{00000000-0005-0000-0000-0000C7530000}"/>
    <cellStyle name="Normal 25 2 2 4 2 2" xfId="21448" xr:uid="{00000000-0005-0000-0000-0000C8530000}"/>
    <cellStyle name="Normal 25 2 2 4 3" xfId="21449" xr:uid="{00000000-0005-0000-0000-0000C9530000}"/>
    <cellStyle name="Normal 25 2 2 5" xfId="21450" xr:uid="{00000000-0005-0000-0000-0000CA530000}"/>
    <cellStyle name="Normal 25 2 3" xfId="21451" xr:uid="{00000000-0005-0000-0000-0000CB530000}"/>
    <cellStyle name="Normal 25 2 3 2" xfId="21452" xr:uid="{00000000-0005-0000-0000-0000CC530000}"/>
    <cellStyle name="Normal 25 2 3 2 2" xfId="21453" xr:uid="{00000000-0005-0000-0000-0000CD530000}"/>
    <cellStyle name="Normal 25 2 3 3" xfId="21454" xr:uid="{00000000-0005-0000-0000-0000CE530000}"/>
    <cellStyle name="Normal 25 2 4" xfId="21455" xr:uid="{00000000-0005-0000-0000-0000CF530000}"/>
    <cellStyle name="Normal 25 2 4 2" xfId="21456" xr:uid="{00000000-0005-0000-0000-0000D0530000}"/>
    <cellStyle name="Normal 25 2 4 2 2" xfId="21457" xr:uid="{00000000-0005-0000-0000-0000D1530000}"/>
    <cellStyle name="Normal 25 2 4 3" xfId="21458" xr:uid="{00000000-0005-0000-0000-0000D2530000}"/>
    <cellStyle name="Normal 25 2 5" xfId="21459" xr:uid="{00000000-0005-0000-0000-0000D3530000}"/>
    <cellStyle name="Normal 25 2 5 2" xfId="21460" xr:uid="{00000000-0005-0000-0000-0000D4530000}"/>
    <cellStyle name="Normal 25 2 5 2 2" xfId="21461" xr:uid="{00000000-0005-0000-0000-0000D5530000}"/>
    <cellStyle name="Normal 25 2 5 3" xfId="21462" xr:uid="{00000000-0005-0000-0000-0000D6530000}"/>
    <cellStyle name="Normal 25 2 6" xfId="21463" xr:uid="{00000000-0005-0000-0000-0000D7530000}"/>
    <cellStyle name="Normal 25 3" xfId="21464" xr:uid="{00000000-0005-0000-0000-0000D8530000}"/>
    <cellStyle name="Normal 25 3 2" xfId="21465" xr:uid="{00000000-0005-0000-0000-0000D9530000}"/>
    <cellStyle name="Normal 25 3 2 2" xfId="21466" xr:uid="{00000000-0005-0000-0000-0000DA530000}"/>
    <cellStyle name="Normal 25 3 3" xfId="21467" xr:uid="{00000000-0005-0000-0000-0000DB530000}"/>
    <cellStyle name="Normal 25 3 3 2" xfId="21468" xr:uid="{00000000-0005-0000-0000-0000DC530000}"/>
    <cellStyle name="Normal 25 3 3 2 2" xfId="21469" xr:uid="{00000000-0005-0000-0000-0000DD530000}"/>
    <cellStyle name="Normal 25 3 3 3" xfId="21470" xr:uid="{00000000-0005-0000-0000-0000DE530000}"/>
    <cellStyle name="Normal 25 3 4" xfId="21471" xr:uid="{00000000-0005-0000-0000-0000DF530000}"/>
    <cellStyle name="Normal 25 3 4 2" xfId="21472" xr:uid="{00000000-0005-0000-0000-0000E0530000}"/>
    <cellStyle name="Normal 25 3 4 2 2" xfId="21473" xr:uid="{00000000-0005-0000-0000-0000E1530000}"/>
    <cellStyle name="Normal 25 3 4 3" xfId="21474" xr:uid="{00000000-0005-0000-0000-0000E2530000}"/>
    <cellStyle name="Normal 25 3 5" xfId="21475" xr:uid="{00000000-0005-0000-0000-0000E3530000}"/>
    <cellStyle name="Normal 25 4" xfId="21476" xr:uid="{00000000-0005-0000-0000-0000E4530000}"/>
    <cellStyle name="Normal 25 4 2" xfId="21477" xr:uid="{00000000-0005-0000-0000-0000E5530000}"/>
    <cellStyle name="Normal 25 4 2 2" xfId="21478" xr:uid="{00000000-0005-0000-0000-0000E6530000}"/>
    <cellStyle name="Normal 25 4 3" xfId="21479" xr:uid="{00000000-0005-0000-0000-0000E7530000}"/>
    <cellStyle name="Normal 25 4 3 2" xfId="21480" xr:uid="{00000000-0005-0000-0000-0000E8530000}"/>
    <cellStyle name="Normal 25 4 3 2 2" xfId="21481" xr:uid="{00000000-0005-0000-0000-0000E9530000}"/>
    <cellStyle name="Normal 25 4 3 3" xfId="21482" xr:uid="{00000000-0005-0000-0000-0000EA530000}"/>
    <cellStyle name="Normal 25 4 4" xfId="21483" xr:uid="{00000000-0005-0000-0000-0000EB530000}"/>
    <cellStyle name="Normal 25 4 4 2" xfId="21484" xr:uid="{00000000-0005-0000-0000-0000EC530000}"/>
    <cellStyle name="Normal 25 4 4 2 2" xfId="21485" xr:uid="{00000000-0005-0000-0000-0000ED530000}"/>
    <cellStyle name="Normal 25 4 4 3" xfId="21486" xr:uid="{00000000-0005-0000-0000-0000EE530000}"/>
    <cellStyle name="Normal 25 4 5" xfId="21487" xr:uid="{00000000-0005-0000-0000-0000EF530000}"/>
    <cellStyle name="Normal 25 5" xfId="21488" xr:uid="{00000000-0005-0000-0000-0000F0530000}"/>
    <cellStyle name="Normal 25 5 2" xfId="21489" xr:uid="{00000000-0005-0000-0000-0000F1530000}"/>
    <cellStyle name="Normal 25 5 2 2" xfId="21490" xr:uid="{00000000-0005-0000-0000-0000F2530000}"/>
    <cellStyle name="Normal 25 5 3" xfId="21491" xr:uid="{00000000-0005-0000-0000-0000F3530000}"/>
    <cellStyle name="Normal 25 6" xfId="21492" xr:uid="{00000000-0005-0000-0000-0000F4530000}"/>
    <cellStyle name="Normal 25 6 2" xfId="21493" xr:uid="{00000000-0005-0000-0000-0000F5530000}"/>
    <cellStyle name="Normal 25 6 2 2" xfId="21494" xr:uid="{00000000-0005-0000-0000-0000F6530000}"/>
    <cellStyle name="Normal 25 6 3" xfId="21495" xr:uid="{00000000-0005-0000-0000-0000F7530000}"/>
    <cellStyle name="Normal 25 7" xfId="21496" xr:uid="{00000000-0005-0000-0000-0000F8530000}"/>
    <cellStyle name="Normal 25 7 2" xfId="21497" xr:uid="{00000000-0005-0000-0000-0000F9530000}"/>
    <cellStyle name="Normal 25 7 2 2" xfId="21498" xr:uid="{00000000-0005-0000-0000-0000FA530000}"/>
    <cellStyle name="Normal 25 7 3" xfId="21499" xr:uid="{00000000-0005-0000-0000-0000FB530000}"/>
    <cellStyle name="Normal 25 8" xfId="21500" xr:uid="{00000000-0005-0000-0000-0000FC530000}"/>
    <cellStyle name="Normal 250" xfId="21501" xr:uid="{00000000-0005-0000-0000-0000FD530000}"/>
    <cellStyle name="Normal 250 2" xfId="21502" xr:uid="{00000000-0005-0000-0000-0000FE530000}"/>
    <cellStyle name="Normal 250 2 2" xfId="21503" xr:uid="{00000000-0005-0000-0000-0000FF530000}"/>
    <cellStyle name="Normal 250 2 2 2" xfId="21504" xr:uid="{00000000-0005-0000-0000-000000540000}"/>
    <cellStyle name="Normal 250 2 2 2 2" xfId="21505" xr:uid="{00000000-0005-0000-0000-000001540000}"/>
    <cellStyle name="Normal 250 2 2 3" xfId="21506" xr:uid="{00000000-0005-0000-0000-000002540000}"/>
    <cellStyle name="Normal 250 2 2 3 2" xfId="21507" xr:uid="{00000000-0005-0000-0000-000003540000}"/>
    <cellStyle name="Normal 250 2 2 3 2 2" xfId="21508" xr:uid="{00000000-0005-0000-0000-000004540000}"/>
    <cellStyle name="Normal 250 2 2 3 3" xfId="21509" xr:uid="{00000000-0005-0000-0000-000005540000}"/>
    <cellStyle name="Normal 250 2 2 4" xfId="21510" xr:uid="{00000000-0005-0000-0000-000006540000}"/>
    <cellStyle name="Normal 250 2 2 4 2" xfId="21511" xr:uid="{00000000-0005-0000-0000-000007540000}"/>
    <cellStyle name="Normal 250 2 2 4 2 2" xfId="21512" xr:uid="{00000000-0005-0000-0000-000008540000}"/>
    <cellStyle name="Normal 250 2 2 4 3" xfId="21513" xr:uid="{00000000-0005-0000-0000-000009540000}"/>
    <cellStyle name="Normal 250 2 2 5" xfId="21514" xr:uid="{00000000-0005-0000-0000-00000A540000}"/>
    <cellStyle name="Normal 250 2 3" xfId="21515" xr:uid="{00000000-0005-0000-0000-00000B540000}"/>
    <cellStyle name="Normal 250 2 3 2" xfId="21516" xr:uid="{00000000-0005-0000-0000-00000C540000}"/>
    <cellStyle name="Normal 250 2 3 2 2" xfId="21517" xr:uid="{00000000-0005-0000-0000-00000D540000}"/>
    <cellStyle name="Normal 250 2 3 2 2 2" xfId="21518" xr:uid="{00000000-0005-0000-0000-00000E540000}"/>
    <cellStyle name="Normal 250 2 3 2 3" xfId="21519" xr:uid="{00000000-0005-0000-0000-00000F540000}"/>
    <cellStyle name="Normal 250 2 3 2 3 2" xfId="21520" xr:uid="{00000000-0005-0000-0000-000010540000}"/>
    <cellStyle name="Normal 250 2 3 2 3 2 2" xfId="21521" xr:uid="{00000000-0005-0000-0000-000011540000}"/>
    <cellStyle name="Normal 250 2 3 2 3 3" xfId="21522" xr:uid="{00000000-0005-0000-0000-000012540000}"/>
    <cellStyle name="Normal 250 2 3 2 4" xfId="21523" xr:uid="{00000000-0005-0000-0000-000013540000}"/>
    <cellStyle name="Normal 250 2 3 3" xfId="21524" xr:uid="{00000000-0005-0000-0000-000014540000}"/>
    <cellStyle name="Normal 250 2 3 3 2" xfId="21525" xr:uid="{00000000-0005-0000-0000-000015540000}"/>
    <cellStyle name="Normal 250 2 3 3 2 2" xfId="21526" xr:uid="{00000000-0005-0000-0000-000016540000}"/>
    <cellStyle name="Normal 250 2 3 3 3" xfId="21527" xr:uid="{00000000-0005-0000-0000-000017540000}"/>
    <cellStyle name="Normal 250 2 3 4" xfId="21528" xr:uid="{00000000-0005-0000-0000-000018540000}"/>
    <cellStyle name="Normal 250 2 3 4 2" xfId="21529" xr:uid="{00000000-0005-0000-0000-000019540000}"/>
    <cellStyle name="Normal 250 2 3 4 2 2" xfId="21530" xr:uid="{00000000-0005-0000-0000-00001A540000}"/>
    <cellStyle name="Normal 250 2 3 4 3" xfId="21531" xr:uid="{00000000-0005-0000-0000-00001B540000}"/>
    <cellStyle name="Normal 250 2 3 5" xfId="21532" xr:uid="{00000000-0005-0000-0000-00001C540000}"/>
    <cellStyle name="Normal 250 2 3 5 2" xfId="21533" xr:uid="{00000000-0005-0000-0000-00001D540000}"/>
    <cellStyle name="Normal 250 2 3 5 2 2" xfId="21534" xr:uid="{00000000-0005-0000-0000-00001E540000}"/>
    <cellStyle name="Normal 250 2 3 5 3" xfId="21535" xr:uid="{00000000-0005-0000-0000-00001F540000}"/>
    <cellStyle name="Normal 250 2 3 6" xfId="21536" xr:uid="{00000000-0005-0000-0000-000020540000}"/>
    <cellStyle name="Normal 250 2 4" xfId="21537" xr:uid="{00000000-0005-0000-0000-000021540000}"/>
    <cellStyle name="Normal 250 2 4 2" xfId="21538" xr:uid="{00000000-0005-0000-0000-000022540000}"/>
    <cellStyle name="Normal 250 2 4 2 2" xfId="21539" xr:uid="{00000000-0005-0000-0000-000023540000}"/>
    <cellStyle name="Normal 250 2 4 3" xfId="21540" xr:uid="{00000000-0005-0000-0000-000024540000}"/>
    <cellStyle name="Normal 250 2 5" xfId="21541" xr:uid="{00000000-0005-0000-0000-000025540000}"/>
    <cellStyle name="Normal 250 2 5 2" xfId="21542" xr:uid="{00000000-0005-0000-0000-000026540000}"/>
    <cellStyle name="Normal 250 2 5 2 2" xfId="21543" xr:uid="{00000000-0005-0000-0000-000027540000}"/>
    <cellStyle name="Normal 250 2 5 3" xfId="21544" xr:uid="{00000000-0005-0000-0000-000028540000}"/>
    <cellStyle name="Normal 250 2 6" xfId="21545" xr:uid="{00000000-0005-0000-0000-000029540000}"/>
    <cellStyle name="Normal 250 2 6 2" xfId="21546" xr:uid="{00000000-0005-0000-0000-00002A540000}"/>
    <cellStyle name="Normal 250 2 6 2 2" xfId="21547" xr:uid="{00000000-0005-0000-0000-00002B540000}"/>
    <cellStyle name="Normal 250 2 6 3" xfId="21548" xr:uid="{00000000-0005-0000-0000-00002C540000}"/>
    <cellStyle name="Normal 250 2 7" xfId="21549" xr:uid="{00000000-0005-0000-0000-00002D540000}"/>
    <cellStyle name="Normal 250 3" xfId="21550" xr:uid="{00000000-0005-0000-0000-00002E540000}"/>
    <cellStyle name="Normal 250 3 2" xfId="21551" xr:uid="{00000000-0005-0000-0000-00002F540000}"/>
    <cellStyle name="Normal 250 3 2 2" xfId="21552" xr:uid="{00000000-0005-0000-0000-000030540000}"/>
    <cellStyle name="Normal 250 3 3" xfId="21553" xr:uid="{00000000-0005-0000-0000-000031540000}"/>
    <cellStyle name="Normal 250 3 3 2" xfId="21554" xr:uid="{00000000-0005-0000-0000-000032540000}"/>
    <cellStyle name="Normal 250 3 3 2 2" xfId="21555" xr:uid="{00000000-0005-0000-0000-000033540000}"/>
    <cellStyle name="Normal 250 3 3 3" xfId="21556" xr:uid="{00000000-0005-0000-0000-000034540000}"/>
    <cellStyle name="Normal 250 3 4" xfId="21557" xr:uid="{00000000-0005-0000-0000-000035540000}"/>
    <cellStyle name="Normal 250 3 4 2" xfId="21558" xr:uid="{00000000-0005-0000-0000-000036540000}"/>
    <cellStyle name="Normal 250 3 4 2 2" xfId="21559" xr:uid="{00000000-0005-0000-0000-000037540000}"/>
    <cellStyle name="Normal 250 3 4 3" xfId="21560" xr:uid="{00000000-0005-0000-0000-000038540000}"/>
    <cellStyle name="Normal 250 3 5" xfId="21561" xr:uid="{00000000-0005-0000-0000-000039540000}"/>
    <cellStyle name="Normal 250 4" xfId="21562" xr:uid="{00000000-0005-0000-0000-00003A540000}"/>
    <cellStyle name="Normal 250 4 2" xfId="21563" xr:uid="{00000000-0005-0000-0000-00003B540000}"/>
    <cellStyle name="Normal 250 4 2 2" xfId="21564" xr:uid="{00000000-0005-0000-0000-00003C540000}"/>
    <cellStyle name="Normal 250 4 2 2 2" xfId="21565" xr:uid="{00000000-0005-0000-0000-00003D540000}"/>
    <cellStyle name="Normal 250 4 2 3" xfId="21566" xr:uid="{00000000-0005-0000-0000-00003E540000}"/>
    <cellStyle name="Normal 250 4 2 3 2" xfId="21567" xr:uid="{00000000-0005-0000-0000-00003F540000}"/>
    <cellStyle name="Normal 250 4 2 3 2 2" xfId="21568" xr:uid="{00000000-0005-0000-0000-000040540000}"/>
    <cellStyle name="Normal 250 4 2 3 3" xfId="21569" xr:uid="{00000000-0005-0000-0000-000041540000}"/>
    <cellStyle name="Normal 250 4 2 4" xfId="21570" xr:uid="{00000000-0005-0000-0000-000042540000}"/>
    <cellStyle name="Normal 250 4 3" xfId="21571" xr:uid="{00000000-0005-0000-0000-000043540000}"/>
    <cellStyle name="Normal 250 4 3 2" xfId="21572" xr:uid="{00000000-0005-0000-0000-000044540000}"/>
    <cellStyle name="Normal 250 4 3 2 2" xfId="21573" xr:uid="{00000000-0005-0000-0000-000045540000}"/>
    <cellStyle name="Normal 250 4 3 3" xfId="21574" xr:uid="{00000000-0005-0000-0000-000046540000}"/>
    <cellStyle name="Normal 250 4 4" xfId="21575" xr:uid="{00000000-0005-0000-0000-000047540000}"/>
    <cellStyle name="Normal 250 4 4 2" xfId="21576" xr:uid="{00000000-0005-0000-0000-000048540000}"/>
    <cellStyle name="Normal 250 4 4 2 2" xfId="21577" xr:uid="{00000000-0005-0000-0000-000049540000}"/>
    <cellStyle name="Normal 250 4 4 3" xfId="21578" xr:uid="{00000000-0005-0000-0000-00004A540000}"/>
    <cellStyle name="Normal 250 4 5" xfId="21579" xr:uid="{00000000-0005-0000-0000-00004B540000}"/>
    <cellStyle name="Normal 250 4 5 2" xfId="21580" xr:uid="{00000000-0005-0000-0000-00004C540000}"/>
    <cellStyle name="Normal 250 4 5 2 2" xfId="21581" xr:uid="{00000000-0005-0000-0000-00004D540000}"/>
    <cellStyle name="Normal 250 4 5 3" xfId="21582" xr:uid="{00000000-0005-0000-0000-00004E540000}"/>
    <cellStyle name="Normal 250 4 6" xfId="21583" xr:uid="{00000000-0005-0000-0000-00004F540000}"/>
    <cellStyle name="Normal 250 5" xfId="21584" xr:uid="{00000000-0005-0000-0000-000050540000}"/>
    <cellStyle name="Normal 250 5 2" xfId="21585" xr:uid="{00000000-0005-0000-0000-000051540000}"/>
    <cellStyle name="Normal 250 5 2 2" xfId="21586" xr:uid="{00000000-0005-0000-0000-000052540000}"/>
    <cellStyle name="Normal 250 5 3" xfId="21587" xr:uid="{00000000-0005-0000-0000-000053540000}"/>
    <cellStyle name="Normal 250 6" xfId="21588" xr:uid="{00000000-0005-0000-0000-000054540000}"/>
    <cellStyle name="Normal 250 6 2" xfId="21589" xr:uid="{00000000-0005-0000-0000-000055540000}"/>
    <cellStyle name="Normal 250 6 2 2" xfId="21590" xr:uid="{00000000-0005-0000-0000-000056540000}"/>
    <cellStyle name="Normal 250 6 3" xfId="21591" xr:uid="{00000000-0005-0000-0000-000057540000}"/>
    <cellStyle name="Normal 250 7" xfId="21592" xr:uid="{00000000-0005-0000-0000-000058540000}"/>
    <cellStyle name="Normal 250 7 2" xfId="21593" xr:uid="{00000000-0005-0000-0000-000059540000}"/>
    <cellStyle name="Normal 250 7 2 2" xfId="21594" xr:uid="{00000000-0005-0000-0000-00005A540000}"/>
    <cellStyle name="Normal 250 7 3" xfId="21595" xr:uid="{00000000-0005-0000-0000-00005B540000}"/>
    <cellStyle name="Normal 250 8" xfId="21596" xr:uid="{00000000-0005-0000-0000-00005C540000}"/>
    <cellStyle name="Normal 251" xfId="21597" xr:uid="{00000000-0005-0000-0000-00005D540000}"/>
    <cellStyle name="Normal 251 2" xfId="21598" xr:uid="{00000000-0005-0000-0000-00005E540000}"/>
    <cellStyle name="Normal 251 2 2" xfId="21599" xr:uid="{00000000-0005-0000-0000-00005F540000}"/>
    <cellStyle name="Normal 251 2 2 2" xfId="21600" xr:uid="{00000000-0005-0000-0000-000060540000}"/>
    <cellStyle name="Normal 251 2 2 2 2" xfId="21601" xr:uid="{00000000-0005-0000-0000-000061540000}"/>
    <cellStyle name="Normal 251 2 2 3" xfId="21602" xr:uid="{00000000-0005-0000-0000-000062540000}"/>
    <cellStyle name="Normal 251 2 2 3 2" xfId="21603" xr:uid="{00000000-0005-0000-0000-000063540000}"/>
    <cellStyle name="Normal 251 2 2 3 2 2" xfId="21604" xr:uid="{00000000-0005-0000-0000-000064540000}"/>
    <cellStyle name="Normal 251 2 2 3 3" xfId="21605" xr:uid="{00000000-0005-0000-0000-000065540000}"/>
    <cellStyle name="Normal 251 2 2 4" xfId="21606" xr:uid="{00000000-0005-0000-0000-000066540000}"/>
    <cellStyle name="Normal 251 2 2 4 2" xfId="21607" xr:uid="{00000000-0005-0000-0000-000067540000}"/>
    <cellStyle name="Normal 251 2 2 4 2 2" xfId="21608" xr:uid="{00000000-0005-0000-0000-000068540000}"/>
    <cellStyle name="Normal 251 2 2 4 3" xfId="21609" xr:uid="{00000000-0005-0000-0000-000069540000}"/>
    <cellStyle name="Normal 251 2 2 5" xfId="21610" xr:uid="{00000000-0005-0000-0000-00006A540000}"/>
    <cellStyle name="Normal 251 2 3" xfId="21611" xr:uid="{00000000-0005-0000-0000-00006B540000}"/>
    <cellStyle name="Normal 251 2 3 2" xfId="21612" xr:uid="{00000000-0005-0000-0000-00006C540000}"/>
    <cellStyle name="Normal 251 2 3 2 2" xfId="21613" xr:uid="{00000000-0005-0000-0000-00006D540000}"/>
    <cellStyle name="Normal 251 2 3 2 2 2" xfId="21614" xr:uid="{00000000-0005-0000-0000-00006E540000}"/>
    <cellStyle name="Normal 251 2 3 2 3" xfId="21615" xr:uid="{00000000-0005-0000-0000-00006F540000}"/>
    <cellStyle name="Normal 251 2 3 2 3 2" xfId="21616" xr:uid="{00000000-0005-0000-0000-000070540000}"/>
    <cellStyle name="Normal 251 2 3 2 3 2 2" xfId="21617" xr:uid="{00000000-0005-0000-0000-000071540000}"/>
    <cellStyle name="Normal 251 2 3 2 3 3" xfId="21618" xr:uid="{00000000-0005-0000-0000-000072540000}"/>
    <cellStyle name="Normal 251 2 3 2 4" xfId="21619" xr:uid="{00000000-0005-0000-0000-000073540000}"/>
    <cellStyle name="Normal 251 2 3 3" xfId="21620" xr:uid="{00000000-0005-0000-0000-000074540000}"/>
    <cellStyle name="Normal 251 2 3 3 2" xfId="21621" xr:uid="{00000000-0005-0000-0000-000075540000}"/>
    <cellStyle name="Normal 251 2 3 3 2 2" xfId="21622" xr:uid="{00000000-0005-0000-0000-000076540000}"/>
    <cellStyle name="Normal 251 2 3 3 3" xfId="21623" xr:uid="{00000000-0005-0000-0000-000077540000}"/>
    <cellStyle name="Normal 251 2 3 4" xfId="21624" xr:uid="{00000000-0005-0000-0000-000078540000}"/>
    <cellStyle name="Normal 251 2 3 4 2" xfId="21625" xr:uid="{00000000-0005-0000-0000-000079540000}"/>
    <cellStyle name="Normal 251 2 3 4 2 2" xfId="21626" xr:uid="{00000000-0005-0000-0000-00007A540000}"/>
    <cellStyle name="Normal 251 2 3 4 3" xfId="21627" xr:uid="{00000000-0005-0000-0000-00007B540000}"/>
    <cellStyle name="Normal 251 2 3 5" xfId="21628" xr:uid="{00000000-0005-0000-0000-00007C540000}"/>
    <cellStyle name="Normal 251 2 3 5 2" xfId="21629" xr:uid="{00000000-0005-0000-0000-00007D540000}"/>
    <cellStyle name="Normal 251 2 3 5 2 2" xfId="21630" xr:uid="{00000000-0005-0000-0000-00007E540000}"/>
    <cellStyle name="Normal 251 2 3 5 3" xfId="21631" xr:uid="{00000000-0005-0000-0000-00007F540000}"/>
    <cellStyle name="Normal 251 2 3 6" xfId="21632" xr:uid="{00000000-0005-0000-0000-000080540000}"/>
    <cellStyle name="Normal 251 2 4" xfId="21633" xr:uid="{00000000-0005-0000-0000-000081540000}"/>
    <cellStyle name="Normal 251 2 4 2" xfId="21634" xr:uid="{00000000-0005-0000-0000-000082540000}"/>
    <cellStyle name="Normal 251 2 4 2 2" xfId="21635" xr:uid="{00000000-0005-0000-0000-000083540000}"/>
    <cellStyle name="Normal 251 2 4 3" xfId="21636" xr:uid="{00000000-0005-0000-0000-000084540000}"/>
    <cellStyle name="Normal 251 2 5" xfId="21637" xr:uid="{00000000-0005-0000-0000-000085540000}"/>
    <cellStyle name="Normal 251 2 5 2" xfId="21638" xr:uid="{00000000-0005-0000-0000-000086540000}"/>
    <cellStyle name="Normal 251 2 5 2 2" xfId="21639" xr:uid="{00000000-0005-0000-0000-000087540000}"/>
    <cellStyle name="Normal 251 2 5 3" xfId="21640" xr:uid="{00000000-0005-0000-0000-000088540000}"/>
    <cellStyle name="Normal 251 2 6" xfId="21641" xr:uid="{00000000-0005-0000-0000-000089540000}"/>
    <cellStyle name="Normal 251 2 6 2" xfId="21642" xr:uid="{00000000-0005-0000-0000-00008A540000}"/>
    <cellStyle name="Normal 251 2 6 2 2" xfId="21643" xr:uid="{00000000-0005-0000-0000-00008B540000}"/>
    <cellStyle name="Normal 251 2 6 3" xfId="21644" xr:uid="{00000000-0005-0000-0000-00008C540000}"/>
    <cellStyle name="Normal 251 2 7" xfId="21645" xr:uid="{00000000-0005-0000-0000-00008D540000}"/>
    <cellStyle name="Normal 251 3" xfId="21646" xr:uid="{00000000-0005-0000-0000-00008E540000}"/>
    <cellStyle name="Normal 251 3 2" xfId="21647" xr:uid="{00000000-0005-0000-0000-00008F540000}"/>
    <cellStyle name="Normal 251 3 2 2" xfId="21648" xr:uid="{00000000-0005-0000-0000-000090540000}"/>
    <cellStyle name="Normal 251 3 3" xfId="21649" xr:uid="{00000000-0005-0000-0000-000091540000}"/>
    <cellStyle name="Normal 251 3 3 2" xfId="21650" xr:uid="{00000000-0005-0000-0000-000092540000}"/>
    <cellStyle name="Normal 251 3 3 2 2" xfId="21651" xr:uid="{00000000-0005-0000-0000-000093540000}"/>
    <cellStyle name="Normal 251 3 3 3" xfId="21652" xr:uid="{00000000-0005-0000-0000-000094540000}"/>
    <cellStyle name="Normal 251 3 4" xfId="21653" xr:uid="{00000000-0005-0000-0000-000095540000}"/>
    <cellStyle name="Normal 251 3 4 2" xfId="21654" xr:uid="{00000000-0005-0000-0000-000096540000}"/>
    <cellStyle name="Normal 251 3 4 2 2" xfId="21655" xr:uid="{00000000-0005-0000-0000-000097540000}"/>
    <cellStyle name="Normal 251 3 4 3" xfId="21656" xr:uid="{00000000-0005-0000-0000-000098540000}"/>
    <cellStyle name="Normal 251 3 5" xfId="21657" xr:uid="{00000000-0005-0000-0000-000099540000}"/>
    <cellStyle name="Normal 251 4" xfId="21658" xr:uid="{00000000-0005-0000-0000-00009A540000}"/>
    <cellStyle name="Normal 251 4 2" xfId="21659" xr:uid="{00000000-0005-0000-0000-00009B540000}"/>
    <cellStyle name="Normal 251 4 2 2" xfId="21660" xr:uid="{00000000-0005-0000-0000-00009C540000}"/>
    <cellStyle name="Normal 251 4 2 2 2" xfId="21661" xr:uid="{00000000-0005-0000-0000-00009D540000}"/>
    <cellStyle name="Normal 251 4 2 3" xfId="21662" xr:uid="{00000000-0005-0000-0000-00009E540000}"/>
    <cellStyle name="Normal 251 4 2 3 2" xfId="21663" xr:uid="{00000000-0005-0000-0000-00009F540000}"/>
    <cellStyle name="Normal 251 4 2 3 2 2" xfId="21664" xr:uid="{00000000-0005-0000-0000-0000A0540000}"/>
    <cellStyle name="Normal 251 4 2 3 3" xfId="21665" xr:uid="{00000000-0005-0000-0000-0000A1540000}"/>
    <cellStyle name="Normal 251 4 2 4" xfId="21666" xr:uid="{00000000-0005-0000-0000-0000A2540000}"/>
    <cellStyle name="Normal 251 4 3" xfId="21667" xr:uid="{00000000-0005-0000-0000-0000A3540000}"/>
    <cellStyle name="Normal 251 4 3 2" xfId="21668" xr:uid="{00000000-0005-0000-0000-0000A4540000}"/>
    <cellStyle name="Normal 251 4 3 2 2" xfId="21669" xr:uid="{00000000-0005-0000-0000-0000A5540000}"/>
    <cellStyle name="Normal 251 4 3 3" xfId="21670" xr:uid="{00000000-0005-0000-0000-0000A6540000}"/>
    <cellStyle name="Normal 251 4 4" xfId="21671" xr:uid="{00000000-0005-0000-0000-0000A7540000}"/>
    <cellStyle name="Normal 251 4 4 2" xfId="21672" xr:uid="{00000000-0005-0000-0000-0000A8540000}"/>
    <cellStyle name="Normal 251 4 4 2 2" xfId="21673" xr:uid="{00000000-0005-0000-0000-0000A9540000}"/>
    <cellStyle name="Normal 251 4 4 3" xfId="21674" xr:uid="{00000000-0005-0000-0000-0000AA540000}"/>
    <cellStyle name="Normal 251 4 5" xfId="21675" xr:uid="{00000000-0005-0000-0000-0000AB540000}"/>
    <cellStyle name="Normal 251 4 5 2" xfId="21676" xr:uid="{00000000-0005-0000-0000-0000AC540000}"/>
    <cellStyle name="Normal 251 4 5 2 2" xfId="21677" xr:uid="{00000000-0005-0000-0000-0000AD540000}"/>
    <cellStyle name="Normal 251 4 5 3" xfId="21678" xr:uid="{00000000-0005-0000-0000-0000AE540000}"/>
    <cellStyle name="Normal 251 4 6" xfId="21679" xr:uid="{00000000-0005-0000-0000-0000AF540000}"/>
    <cellStyle name="Normal 251 5" xfId="21680" xr:uid="{00000000-0005-0000-0000-0000B0540000}"/>
    <cellStyle name="Normal 251 5 2" xfId="21681" xr:uid="{00000000-0005-0000-0000-0000B1540000}"/>
    <cellStyle name="Normal 251 5 2 2" xfId="21682" xr:uid="{00000000-0005-0000-0000-0000B2540000}"/>
    <cellStyle name="Normal 251 5 3" xfId="21683" xr:uid="{00000000-0005-0000-0000-0000B3540000}"/>
    <cellStyle name="Normal 251 6" xfId="21684" xr:uid="{00000000-0005-0000-0000-0000B4540000}"/>
    <cellStyle name="Normal 251 6 2" xfId="21685" xr:uid="{00000000-0005-0000-0000-0000B5540000}"/>
    <cellStyle name="Normal 251 6 2 2" xfId="21686" xr:uid="{00000000-0005-0000-0000-0000B6540000}"/>
    <cellStyle name="Normal 251 6 3" xfId="21687" xr:uid="{00000000-0005-0000-0000-0000B7540000}"/>
    <cellStyle name="Normal 251 7" xfId="21688" xr:uid="{00000000-0005-0000-0000-0000B8540000}"/>
    <cellStyle name="Normal 251 7 2" xfId="21689" xr:uid="{00000000-0005-0000-0000-0000B9540000}"/>
    <cellStyle name="Normal 251 7 2 2" xfId="21690" xr:uid="{00000000-0005-0000-0000-0000BA540000}"/>
    <cellStyle name="Normal 251 7 3" xfId="21691" xr:uid="{00000000-0005-0000-0000-0000BB540000}"/>
    <cellStyle name="Normal 251 8" xfId="21692" xr:uid="{00000000-0005-0000-0000-0000BC540000}"/>
    <cellStyle name="Normal 252" xfId="21693" xr:uid="{00000000-0005-0000-0000-0000BD540000}"/>
    <cellStyle name="Normal 252 2" xfId="21694" xr:uid="{00000000-0005-0000-0000-0000BE540000}"/>
    <cellStyle name="Normal 252 2 2" xfId="21695" xr:uid="{00000000-0005-0000-0000-0000BF540000}"/>
    <cellStyle name="Normal 252 2 2 2" xfId="21696" xr:uid="{00000000-0005-0000-0000-0000C0540000}"/>
    <cellStyle name="Normal 252 2 2 2 2" xfId="21697" xr:uid="{00000000-0005-0000-0000-0000C1540000}"/>
    <cellStyle name="Normal 252 2 2 3" xfId="21698" xr:uid="{00000000-0005-0000-0000-0000C2540000}"/>
    <cellStyle name="Normal 252 2 2 3 2" xfId="21699" xr:uid="{00000000-0005-0000-0000-0000C3540000}"/>
    <cellStyle name="Normal 252 2 2 3 2 2" xfId="21700" xr:uid="{00000000-0005-0000-0000-0000C4540000}"/>
    <cellStyle name="Normal 252 2 2 3 3" xfId="21701" xr:uid="{00000000-0005-0000-0000-0000C5540000}"/>
    <cellStyle name="Normal 252 2 2 4" xfId="21702" xr:uid="{00000000-0005-0000-0000-0000C6540000}"/>
    <cellStyle name="Normal 252 2 2 4 2" xfId="21703" xr:uid="{00000000-0005-0000-0000-0000C7540000}"/>
    <cellStyle name="Normal 252 2 2 4 2 2" xfId="21704" xr:uid="{00000000-0005-0000-0000-0000C8540000}"/>
    <cellStyle name="Normal 252 2 2 4 3" xfId="21705" xr:uid="{00000000-0005-0000-0000-0000C9540000}"/>
    <cellStyle name="Normal 252 2 2 5" xfId="21706" xr:uid="{00000000-0005-0000-0000-0000CA540000}"/>
    <cellStyle name="Normal 252 2 3" xfId="21707" xr:uid="{00000000-0005-0000-0000-0000CB540000}"/>
    <cellStyle name="Normal 252 2 3 2" xfId="21708" xr:uid="{00000000-0005-0000-0000-0000CC540000}"/>
    <cellStyle name="Normal 252 2 3 2 2" xfId="21709" xr:uid="{00000000-0005-0000-0000-0000CD540000}"/>
    <cellStyle name="Normal 252 2 3 2 2 2" xfId="21710" xr:uid="{00000000-0005-0000-0000-0000CE540000}"/>
    <cellStyle name="Normal 252 2 3 2 3" xfId="21711" xr:uid="{00000000-0005-0000-0000-0000CF540000}"/>
    <cellStyle name="Normal 252 2 3 2 3 2" xfId="21712" xr:uid="{00000000-0005-0000-0000-0000D0540000}"/>
    <cellStyle name="Normal 252 2 3 2 3 2 2" xfId="21713" xr:uid="{00000000-0005-0000-0000-0000D1540000}"/>
    <cellStyle name="Normal 252 2 3 2 3 3" xfId="21714" xr:uid="{00000000-0005-0000-0000-0000D2540000}"/>
    <cellStyle name="Normal 252 2 3 2 4" xfId="21715" xr:uid="{00000000-0005-0000-0000-0000D3540000}"/>
    <cellStyle name="Normal 252 2 3 3" xfId="21716" xr:uid="{00000000-0005-0000-0000-0000D4540000}"/>
    <cellStyle name="Normal 252 2 3 3 2" xfId="21717" xr:uid="{00000000-0005-0000-0000-0000D5540000}"/>
    <cellStyle name="Normal 252 2 3 3 2 2" xfId="21718" xr:uid="{00000000-0005-0000-0000-0000D6540000}"/>
    <cellStyle name="Normal 252 2 3 3 3" xfId="21719" xr:uid="{00000000-0005-0000-0000-0000D7540000}"/>
    <cellStyle name="Normal 252 2 3 4" xfId="21720" xr:uid="{00000000-0005-0000-0000-0000D8540000}"/>
    <cellStyle name="Normal 252 2 3 4 2" xfId="21721" xr:uid="{00000000-0005-0000-0000-0000D9540000}"/>
    <cellStyle name="Normal 252 2 3 4 2 2" xfId="21722" xr:uid="{00000000-0005-0000-0000-0000DA540000}"/>
    <cellStyle name="Normal 252 2 3 4 3" xfId="21723" xr:uid="{00000000-0005-0000-0000-0000DB540000}"/>
    <cellStyle name="Normal 252 2 3 5" xfId="21724" xr:uid="{00000000-0005-0000-0000-0000DC540000}"/>
    <cellStyle name="Normal 252 2 3 5 2" xfId="21725" xr:uid="{00000000-0005-0000-0000-0000DD540000}"/>
    <cellStyle name="Normal 252 2 3 5 2 2" xfId="21726" xr:uid="{00000000-0005-0000-0000-0000DE540000}"/>
    <cellStyle name="Normal 252 2 3 5 3" xfId="21727" xr:uid="{00000000-0005-0000-0000-0000DF540000}"/>
    <cellStyle name="Normal 252 2 3 6" xfId="21728" xr:uid="{00000000-0005-0000-0000-0000E0540000}"/>
    <cellStyle name="Normal 252 2 4" xfId="21729" xr:uid="{00000000-0005-0000-0000-0000E1540000}"/>
    <cellStyle name="Normal 252 2 4 2" xfId="21730" xr:uid="{00000000-0005-0000-0000-0000E2540000}"/>
    <cellStyle name="Normal 252 2 4 2 2" xfId="21731" xr:uid="{00000000-0005-0000-0000-0000E3540000}"/>
    <cellStyle name="Normal 252 2 4 3" xfId="21732" xr:uid="{00000000-0005-0000-0000-0000E4540000}"/>
    <cellStyle name="Normal 252 2 5" xfId="21733" xr:uid="{00000000-0005-0000-0000-0000E5540000}"/>
    <cellStyle name="Normal 252 2 5 2" xfId="21734" xr:uid="{00000000-0005-0000-0000-0000E6540000}"/>
    <cellStyle name="Normal 252 2 5 2 2" xfId="21735" xr:uid="{00000000-0005-0000-0000-0000E7540000}"/>
    <cellStyle name="Normal 252 2 5 3" xfId="21736" xr:uid="{00000000-0005-0000-0000-0000E8540000}"/>
    <cellStyle name="Normal 252 2 6" xfId="21737" xr:uid="{00000000-0005-0000-0000-0000E9540000}"/>
    <cellStyle name="Normal 252 2 6 2" xfId="21738" xr:uid="{00000000-0005-0000-0000-0000EA540000}"/>
    <cellStyle name="Normal 252 2 6 2 2" xfId="21739" xr:uid="{00000000-0005-0000-0000-0000EB540000}"/>
    <cellStyle name="Normal 252 2 6 3" xfId="21740" xr:uid="{00000000-0005-0000-0000-0000EC540000}"/>
    <cellStyle name="Normal 252 2 7" xfId="21741" xr:uid="{00000000-0005-0000-0000-0000ED540000}"/>
    <cellStyle name="Normal 252 3" xfId="21742" xr:uid="{00000000-0005-0000-0000-0000EE540000}"/>
    <cellStyle name="Normal 252 3 2" xfId="21743" xr:uid="{00000000-0005-0000-0000-0000EF540000}"/>
    <cellStyle name="Normal 252 3 2 2" xfId="21744" xr:uid="{00000000-0005-0000-0000-0000F0540000}"/>
    <cellStyle name="Normal 252 3 3" xfId="21745" xr:uid="{00000000-0005-0000-0000-0000F1540000}"/>
    <cellStyle name="Normal 252 3 3 2" xfId="21746" xr:uid="{00000000-0005-0000-0000-0000F2540000}"/>
    <cellStyle name="Normal 252 3 3 2 2" xfId="21747" xr:uid="{00000000-0005-0000-0000-0000F3540000}"/>
    <cellStyle name="Normal 252 3 3 3" xfId="21748" xr:uid="{00000000-0005-0000-0000-0000F4540000}"/>
    <cellStyle name="Normal 252 3 4" xfId="21749" xr:uid="{00000000-0005-0000-0000-0000F5540000}"/>
    <cellStyle name="Normal 252 3 4 2" xfId="21750" xr:uid="{00000000-0005-0000-0000-0000F6540000}"/>
    <cellStyle name="Normal 252 3 4 2 2" xfId="21751" xr:uid="{00000000-0005-0000-0000-0000F7540000}"/>
    <cellStyle name="Normal 252 3 4 3" xfId="21752" xr:uid="{00000000-0005-0000-0000-0000F8540000}"/>
    <cellStyle name="Normal 252 3 5" xfId="21753" xr:uid="{00000000-0005-0000-0000-0000F9540000}"/>
    <cellStyle name="Normal 252 4" xfId="21754" xr:uid="{00000000-0005-0000-0000-0000FA540000}"/>
    <cellStyle name="Normal 252 4 2" xfId="21755" xr:uid="{00000000-0005-0000-0000-0000FB540000}"/>
    <cellStyle name="Normal 252 4 2 2" xfId="21756" xr:uid="{00000000-0005-0000-0000-0000FC540000}"/>
    <cellStyle name="Normal 252 4 2 2 2" xfId="21757" xr:uid="{00000000-0005-0000-0000-0000FD540000}"/>
    <cellStyle name="Normal 252 4 2 3" xfId="21758" xr:uid="{00000000-0005-0000-0000-0000FE540000}"/>
    <cellStyle name="Normal 252 4 2 3 2" xfId="21759" xr:uid="{00000000-0005-0000-0000-0000FF540000}"/>
    <cellStyle name="Normal 252 4 2 3 2 2" xfId="21760" xr:uid="{00000000-0005-0000-0000-000000550000}"/>
    <cellStyle name="Normal 252 4 2 3 3" xfId="21761" xr:uid="{00000000-0005-0000-0000-000001550000}"/>
    <cellStyle name="Normal 252 4 2 4" xfId="21762" xr:uid="{00000000-0005-0000-0000-000002550000}"/>
    <cellStyle name="Normal 252 4 3" xfId="21763" xr:uid="{00000000-0005-0000-0000-000003550000}"/>
    <cellStyle name="Normal 252 4 3 2" xfId="21764" xr:uid="{00000000-0005-0000-0000-000004550000}"/>
    <cellStyle name="Normal 252 4 3 2 2" xfId="21765" xr:uid="{00000000-0005-0000-0000-000005550000}"/>
    <cellStyle name="Normal 252 4 3 3" xfId="21766" xr:uid="{00000000-0005-0000-0000-000006550000}"/>
    <cellStyle name="Normal 252 4 4" xfId="21767" xr:uid="{00000000-0005-0000-0000-000007550000}"/>
    <cellStyle name="Normal 252 4 4 2" xfId="21768" xr:uid="{00000000-0005-0000-0000-000008550000}"/>
    <cellStyle name="Normal 252 4 4 2 2" xfId="21769" xr:uid="{00000000-0005-0000-0000-000009550000}"/>
    <cellStyle name="Normal 252 4 4 3" xfId="21770" xr:uid="{00000000-0005-0000-0000-00000A550000}"/>
    <cellStyle name="Normal 252 4 5" xfId="21771" xr:uid="{00000000-0005-0000-0000-00000B550000}"/>
    <cellStyle name="Normal 252 4 5 2" xfId="21772" xr:uid="{00000000-0005-0000-0000-00000C550000}"/>
    <cellStyle name="Normal 252 4 5 2 2" xfId="21773" xr:uid="{00000000-0005-0000-0000-00000D550000}"/>
    <cellStyle name="Normal 252 4 5 3" xfId="21774" xr:uid="{00000000-0005-0000-0000-00000E550000}"/>
    <cellStyle name="Normal 252 4 6" xfId="21775" xr:uid="{00000000-0005-0000-0000-00000F550000}"/>
    <cellStyle name="Normal 252 5" xfId="21776" xr:uid="{00000000-0005-0000-0000-000010550000}"/>
    <cellStyle name="Normal 252 5 2" xfId="21777" xr:uid="{00000000-0005-0000-0000-000011550000}"/>
    <cellStyle name="Normal 252 5 2 2" xfId="21778" xr:uid="{00000000-0005-0000-0000-000012550000}"/>
    <cellStyle name="Normal 252 5 3" xfId="21779" xr:uid="{00000000-0005-0000-0000-000013550000}"/>
    <cellStyle name="Normal 252 6" xfId="21780" xr:uid="{00000000-0005-0000-0000-000014550000}"/>
    <cellStyle name="Normal 252 6 2" xfId="21781" xr:uid="{00000000-0005-0000-0000-000015550000}"/>
    <cellStyle name="Normal 252 6 2 2" xfId="21782" xr:uid="{00000000-0005-0000-0000-000016550000}"/>
    <cellStyle name="Normal 252 6 3" xfId="21783" xr:uid="{00000000-0005-0000-0000-000017550000}"/>
    <cellStyle name="Normal 252 7" xfId="21784" xr:uid="{00000000-0005-0000-0000-000018550000}"/>
    <cellStyle name="Normal 252 7 2" xfId="21785" xr:uid="{00000000-0005-0000-0000-000019550000}"/>
    <cellStyle name="Normal 252 7 2 2" xfId="21786" xr:uid="{00000000-0005-0000-0000-00001A550000}"/>
    <cellStyle name="Normal 252 7 3" xfId="21787" xr:uid="{00000000-0005-0000-0000-00001B550000}"/>
    <cellStyle name="Normal 252 8" xfId="21788" xr:uid="{00000000-0005-0000-0000-00001C550000}"/>
    <cellStyle name="Normal 253" xfId="21789" xr:uid="{00000000-0005-0000-0000-00001D550000}"/>
    <cellStyle name="Normal 253 2" xfId="21790" xr:uid="{00000000-0005-0000-0000-00001E550000}"/>
    <cellStyle name="Normal 253 2 2" xfId="21791" xr:uid="{00000000-0005-0000-0000-00001F550000}"/>
    <cellStyle name="Normal 253 2 2 2" xfId="21792" xr:uid="{00000000-0005-0000-0000-000020550000}"/>
    <cellStyle name="Normal 253 2 2 2 2" xfId="21793" xr:uid="{00000000-0005-0000-0000-000021550000}"/>
    <cellStyle name="Normal 253 2 2 3" xfId="21794" xr:uid="{00000000-0005-0000-0000-000022550000}"/>
    <cellStyle name="Normal 253 2 2 3 2" xfId="21795" xr:uid="{00000000-0005-0000-0000-000023550000}"/>
    <cellStyle name="Normal 253 2 2 3 2 2" xfId="21796" xr:uid="{00000000-0005-0000-0000-000024550000}"/>
    <cellStyle name="Normal 253 2 2 3 3" xfId="21797" xr:uid="{00000000-0005-0000-0000-000025550000}"/>
    <cellStyle name="Normal 253 2 2 4" xfId="21798" xr:uid="{00000000-0005-0000-0000-000026550000}"/>
    <cellStyle name="Normal 253 2 2 4 2" xfId="21799" xr:uid="{00000000-0005-0000-0000-000027550000}"/>
    <cellStyle name="Normal 253 2 2 4 2 2" xfId="21800" xr:uid="{00000000-0005-0000-0000-000028550000}"/>
    <cellStyle name="Normal 253 2 2 4 3" xfId="21801" xr:uid="{00000000-0005-0000-0000-000029550000}"/>
    <cellStyle name="Normal 253 2 2 5" xfId="21802" xr:uid="{00000000-0005-0000-0000-00002A550000}"/>
    <cellStyle name="Normal 253 2 3" xfId="21803" xr:uid="{00000000-0005-0000-0000-00002B550000}"/>
    <cellStyle name="Normal 253 2 3 2" xfId="21804" xr:uid="{00000000-0005-0000-0000-00002C550000}"/>
    <cellStyle name="Normal 253 2 3 2 2" xfId="21805" xr:uid="{00000000-0005-0000-0000-00002D550000}"/>
    <cellStyle name="Normal 253 2 3 2 2 2" xfId="21806" xr:uid="{00000000-0005-0000-0000-00002E550000}"/>
    <cellStyle name="Normal 253 2 3 2 3" xfId="21807" xr:uid="{00000000-0005-0000-0000-00002F550000}"/>
    <cellStyle name="Normal 253 2 3 2 3 2" xfId="21808" xr:uid="{00000000-0005-0000-0000-000030550000}"/>
    <cellStyle name="Normal 253 2 3 2 3 2 2" xfId="21809" xr:uid="{00000000-0005-0000-0000-000031550000}"/>
    <cellStyle name="Normal 253 2 3 2 3 3" xfId="21810" xr:uid="{00000000-0005-0000-0000-000032550000}"/>
    <cellStyle name="Normal 253 2 3 2 4" xfId="21811" xr:uid="{00000000-0005-0000-0000-000033550000}"/>
    <cellStyle name="Normal 253 2 3 3" xfId="21812" xr:uid="{00000000-0005-0000-0000-000034550000}"/>
    <cellStyle name="Normal 253 2 3 3 2" xfId="21813" xr:uid="{00000000-0005-0000-0000-000035550000}"/>
    <cellStyle name="Normal 253 2 3 3 2 2" xfId="21814" xr:uid="{00000000-0005-0000-0000-000036550000}"/>
    <cellStyle name="Normal 253 2 3 3 3" xfId="21815" xr:uid="{00000000-0005-0000-0000-000037550000}"/>
    <cellStyle name="Normal 253 2 3 4" xfId="21816" xr:uid="{00000000-0005-0000-0000-000038550000}"/>
    <cellStyle name="Normal 253 2 3 4 2" xfId="21817" xr:uid="{00000000-0005-0000-0000-000039550000}"/>
    <cellStyle name="Normal 253 2 3 4 2 2" xfId="21818" xr:uid="{00000000-0005-0000-0000-00003A550000}"/>
    <cellStyle name="Normal 253 2 3 4 3" xfId="21819" xr:uid="{00000000-0005-0000-0000-00003B550000}"/>
    <cellStyle name="Normal 253 2 3 5" xfId="21820" xr:uid="{00000000-0005-0000-0000-00003C550000}"/>
    <cellStyle name="Normal 253 2 3 5 2" xfId="21821" xr:uid="{00000000-0005-0000-0000-00003D550000}"/>
    <cellStyle name="Normal 253 2 3 5 2 2" xfId="21822" xr:uid="{00000000-0005-0000-0000-00003E550000}"/>
    <cellStyle name="Normal 253 2 3 5 3" xfId="21823" xr:uid="{00000000-0005-0000-0000-00003F550000}"/>
    <cellStyle name="Normal 253 2 3 6" xfId="21824" xr:uid="{00000000-0005-0000-0000-000040550000}"/>
    <cellStyle name="Normal 253 2 4" xfId="21825" xr:uid="{00000000-0005-0000-0000-000041550000}"/>
    <cellStyle name="Normal 253 2 4 2" xfId="21826" xr:uid="{00000000-0005-0000-0000-000042550000}"/>
    <cellStyle name="Normal 253 2 4 2 2" xfId="21827" xr:uid="{00000000-0005-0000-0000-000043550000}"/>
    <cellStyle name="Normal 253 2 4 3" xfId="21828" xr:uid="{00000000-0005-0000-0000-000044550000}"/>
    <cellStyle name="Normal 253 2 5" xfId="21829" xr:uid="{00000000-0005-0000-0000-000045550000}"/>
    <cellStyle name="Normal 253 2 5 2" xfId="21830" xr:uid="{00000000-0005-0000-0000-000046550000}"/>
    <cellStyle name="Normal 253 2 5 2 2" xfId="21831" xr:uid="{00000000-0005-0000-0000-000047550000}"/>
    <cellStyle name="Normal 253 2 5 3" xfId="21832" xr:uid="{00000000-0005-0000-0000-000048550000}"/>
    <cellStyle name="Normal 253 2 6" xfId="21833" xr:uid="{00000000-0005-0000-0000-000049550000}"/>
    <cellStyle name="Normal 253 2 6 2" xfId="21834" xr:uid="{00000000-0005-0000-0000-00004A550000}"/>
    <cellStyle name="Normal 253 2 6 2 2" xfId="21835" xr:uid="{00000000-0005-0000-0000-00004B550000}"/>
    <cellStyle name="Normal 253 2 6 3" xfId="21836" xr:uid="{00000000-0005-0000-0000-00004C550000}"/>
    <cellStyle name="Normal 253 2 7" xfId="21837" xr:uid="{00000000-0005-0000-0000-00004D550000}"/>
    <cellStyle name="Normal 253 3" xfId="21838" xr:uid="{00000000-0005-0000-0000-00004E550000}"/>
    <cellStyle name="Normal 253 3 2" xfId="21839" xr:uid="{00000000-0005-0000-0000-00004F550000}"/>
    <cellStyle name="Normal 253 3 2 2" xfId="21840" xr:uid="{00000000-0005-0000-0000-000050550000}"/>
    <cellStyle name="Normal 253 3 3" xfId="21841" xr:uid="{00000000-0005-0000-0000-000051550000}"/>
    <cellStyle name="Normal 253 3 3 2" xfId="21842" xr:uid="{00000000-0005-0000-0000-000052550000}"/>
    <cellStyle name="Normal 253 3 3 2 2" xfId="21843" xr:uid="{00000000-0005-0000-0000-000053550000}"/>
    <cellStyle name="Normal 253 3 3 3" xfId="21844" xr:uid="{00000000-0005-0000-0000-000054550000}"/>
    <cellStyle name="Normal 253 3 4" xfId="21845" xr:uid="{00000000-0005-0000-0000-000055550000}"/>
    <cellStyle name="Normal 253 3 4 2" xfId="21846" xr:uid="{00000000-0005-0000-0000-000056550000}"/>
    <cellStyle name="Normal 253 3 4 2 2" xfId="21847" xr:uid="{00000000-0005-0000-0000-000057550000}"/>
    <cellStyle name="Normal 253 3 4 3" xfId="21848" xr:uid="{00000000-0005-0000-0000-000058550000}"/>
    <cellStyle name="Normal 253 3 5" xfId="21849" xr:uid="{00000000-0005-0000-0000-000059550000}"/>
    <cellStyle name="Normal 253 4" xfId="21850" xr:uid="{00000000-0005-0000-0000-00005A550000}"/>
    <cellStyle name="Normal 253 4 2" xfId="21851" xr:uid="{00000000-0005-0000-0000-00005B550000}"/>
    <cellStyle name="Normal 253 4 2 2" xfId="21852" xr:uid="{00000000-0005-0000-0000-00005C550000}"/>
    <cellStyle name="Normal 253 4 2 2 2" xfId="21853" xr:uid="{00000000-0005-0000-0000-00005D550000}"/>
    <cellStyle name="Normal 253 4 2 3" xfId="21854" xr:uid="{00000000-0005-0000-0000-00005E550000}"/>
    <cellStyle name="Normal 253 4 2 3 2" xfId="21855" xr:uid="{00000000-0005-0000-0000-00005F550000}"/>
    <cellStyle name="Normal 253 4 2 3 2 2" xfId="21856" xr:uid="{00000000-0005-0000-0000-000060550000}"/>
    <cellStyle name="Normal 253 4 2 3 3" xfId="21857" xr:uid="{00000000-0005-0000-0000-000061550000}"/>
    <cellStyle name="Normal 253 4 2 4" xfId="21858" xr:uid="{00000000-0005-0000-0000-000062550000}"/>
    <cellStyle name="Normal 253 4 3" xfId="21859" xr:uid="{00000000-0005-0000-0000-000063550000}"/>
    <cellStyle name="Normal 253 4 3 2" xfId="21860" xr:uid="{00000000-0005-0000-0000-000064550000}"/>
    <cellStyle name="Normal 253 4 3 2 2" xfId="21861" xr:uid="{00000000-0005-0000-0000-000065550000}"/>
    <cellStyle name="Normal 253 4 3 3" xfId="21862" xr:uid="{00000000-0005-0000-0000-000066550000}"/>
    <cellStyle name="Normal 253 4 4" xfId="21863" xr:uid="{00000000-0005-0000-0000-000067550000}"/>
    <cellStyle name="Normal 253 4 4 2" xfId="21864" xr:uid="{00000000-0005-0000-0000-000068550000}"/>
    <cellStyle name="Normal 253 4 4 2 2" xfId="21865" xr:uid="{00000000-0005-0000-0000-000069550000}"/>
    <cellStyle name="Normal 253 4 4 3" xfId="21866" xr:uid="{00000000-0005-0000-0000-00006A550000}"/>
    <cellStyle name="Normal 253 4 5" xfId="21867" xr:uid="{00000000-0005-0000-0000-00006B550000}"/>
    <cellStyle name="Normal 253 4 5 2" xfId="21868" xr:uid="{00000000-0005-0000-0000-00006C550000}"/>
    <cellStyle name="Normal 253 4 5 2 2" xfId="21869" xr:uid="{00000000-0005-0000-0000-00006D550000}"/>
    <cellStyle name="Normal 253 4 5 3" xfId="21870" xr:uid="{00000000-0005-0000-0000-00006E550000}"/>
    <cellStyle name="Normal 253 4 6" xfId="21871" xr:uid="{00000000-0005-0000-0000-00006F550000}"/>
    <cellStyle name="Normal 253 5" xfId="21872" xr:uid="{00000000-0005-0000-0000-000070550000}"/>
    <cellStyle name="Normal 253 5 2" xfId="21873" xr:uid="{00000000-0005-0000-0000-000071550000}"/>
    <cellStyle name="Normal 253 5 2 2" xfId="21874" xr:uid="{00000000-0005-0000-0000-000072550000}"/>
    <cellStyle name="Normal 253 5 3" xfId="21875" xr:uid="{00000000-0005-0000-0000-000073550000}"/>
    <cellStyle name="Normal 253 6" xfId="21876" xr:uid="{00000000-0005-0000-0000-000074550000}"/>
    <cellStyle name="Normal 253 6 2" xfId="21877" xr:uid="{00000000-0005-0000-0000-000075550000}"/>
    <cellStyle name="Normal 253 6 2 2" xfId="21878" xr:uid="{00000000-0005-0000-0000-000076550000}"/>
    <cellStyle name="Normal 253 6 3" xfId="21879" xr:uid="{00000000-0005-0000-0000-000077550000}"/>
    <cellStyle name="Normal 253 7" xfId="21880" xr:uid="{00000000-0005-0000-0000-000078550000}"/>
    <cellStyle name="Normal 253 7 2" xfId="21881" xr:uid="{00000000-0005-0000-0000-000079550000}"/>
    <cellStyle name="Normal 253 7 2 2" xfId="21882" xr:uid="{00000000-0005-0000-0000-00007A550000}"/>
    <cellStyle name="Normal 253 7 3" xfId="21883" xr:uid="{00000000-0005-0000-0000-00007B550000}"/>
    <cellStyle name="Normal 253 8" xfId="21884" xr:uid="{00000000-0005-0000-0000-00007C550000}"/>
    <cellStyle name="Normal 254" xfId="21885" xr:uid="{00000000-0005-0000-0000-00007D550000}"/>
    <cellStyle name="Normal 254 2" xfId="21886" xr:uid="{00000000-0005-0000-0000-00007E550000}"/>
    <cellStyle name="Normal 254 2 2" xfId="21887" xr:uid="{00000000-0005-0000-0000-00007F550000}"/>
    <cellStyle name="Normal 254 2 2 2" xfId="21888" xr:uid="{00000000-0005-0000-0000-000080550000}"/>
    <cellStyle name="Normal 254 2 2 2 2" xfId="21889" xr:uid="{00000000-0005-0000-0000-000081550000}"/>
    <cellStyle name="Normal 254 2 2 3" xfId="21890" xr:uid="{00000000-0005-0000-0000-000082550000}"/>
    <cellStyle name="Normal 254 2 2 3 2" xfId="21891" xr:uid="{00000000-0005-0000-0000-000083550000}"/>
    <cellStyle name="Normal 254 2 2 3 2 2" xfId="21892" xr:uid="{00000000-0005-0000-0000-000084550000}"/>
    <cellStyle name="Normal 254 2 2 3 3" xfId="21893" xr:uid="{00000000-0005-0000-0000-000085550000}"/>
    <cellStyle name="Normal 254 2 2 4" xfId="21894" xr:uid="{00000000-0005-0000-0000-000086550000}"/>
    <cellStyle name="Normal 254 2 2 4 2" xfId="21895" xr:uid="{00000000-0005-0000-0000-000087550000}"/>
    <cellStyle name="Normal 254 2 2 4 2 2" xfId="21896" xr:uid="{00000000-0005-0000-0000-000088550000}"/>
    <cellStyle name="Normal 254 2 2 4 3" xfId="21897" xr:uid="{00000000-0005-0000-0000-000089550000}"/>
    <cellStyle name="Normal 254 2 2 5" xfId="21898" xr:uid="{00000000-0005-0000-0000-00008A550000}"/>
    <cellStyle name="Normal 254 2 3" xfId="21899" xr:uid="{00000000-0005-0000-0000-00008B550000}"/>
    <cellStyle name="Normal 254 2 3 2" xfId="21900" xr:uid="{00000000-0005-0000-0000-00008C550000}"/>
    <cellStyle name="Normal 254 2 3 2 2" xfId="21901" xr:uid="{00000000-0005-0000-0000-00008D550000}"/>
    <cellStyle name="Normal 254 2 3 2 2 2" xfId="21902" xr:uid="{00000000-0005-0000-0000-00008E550000}"/>
    <cellStyle name="Normal 254 2 3 2 3" xfId="21903" xr:uid="{00000000-0005-0000-0000-00008F550000}"/>
    <cellStyle name="Normal 254 2 3 2 3 2" xfId="21904" xr:uid="{00000000-0005-0000-0000-000090550000}"/>
    <cellStyle name="Normal 254 2 3 2 3 2 2" xfId="21905" xr:uid="{00000000-0005-0000-0000-000091550000}"/>
    <cellStyle name="Normal 254 2 3 2 3 3" xfId="21906" xr:uid="{00000000-0005-0000-0000-000092550000}"/>
    <cellStyle name="Normal 254 2 3 2 4" xfId="21907" xr:uid="{00000000-0005-0000-0000-000093550000}"/>
    <cellStyle name="Normal 254 2 3 3" xfId="21908" xr:uid="{00000000-0005-0000-0000-000094550000}"/>
    <cellStyle name="Normal 254 2 3 3 2" xfId="21909" xr:uid="{00000000-0005-0000-0000-000095550000}"/>
    <cellStyle name="Normal 254 2 3 3 2 2" xfId="21910" xr:uid="{00000000-0005-0000-0000-000096550000}"/>
    <cellStyle name="Normal 254 2 3 3 3" xfId="21911" xr:uid="{00000000-0005-0000-0000-000097550000}"/>
    <cellStyle name="Normal 254 2 3 4" xfId="21912" xr:uid="{00000000-0005-0000-0000-000098550000}"/>
    <cellStyle name="Normal 254 2 3 4 2" xfId="21913" xr:uid="{00000000-0005-0000-0000-000099550000}"/>
    <cellStyle name="Normal 254 2 3 4 2 2" xfId="21914" xr:uid="{00000000-0005-0000-0000-00009A550000}"/>
    <cellStyle name="Normal 254 2 3 4 3" xfId="21915" xr:uid="{00000000-0005-0000-0000-00009B550000}"/>
    <cellStyle name="Normal 254 2 3 5" xfId="21916" xr:uid="{00000000-0005-0000-0000-00009C550000}"/>
    <cellStyle name="Normal 254 2 3 5 2" xfId="21917" xr:uid="{00000000-0005-0000-0000-00009D550000}"/>
    <cellStyle name="Normal 254 2 3 5 2 2" xfId="21918" xr:uid="{00000000-0005-0000-0000-00009E550000}"/>
    <cellStyle name="Normal 254 2 3 5 3" xfId="21919" xr:uid="{00000000-0005-0000-0000-00009F550000}"/>
    <cellStyle name="Normal 254 2 3 6" xfId="21920" xr:uid="{00000000-0005-0000-0000-0000A0550000}"/>
    <cellStyle name="Normal 254 2 4" xfId="21921" xr:uid="{00000000-0005-0000-0000-0000A1550000}"/>
    <cellStyle name="Normal 254 2 4 2" xfId="21922" xr:uid="{00000000-0005-0000-0000-0000A2550000}"/>
    <cellStyle name="Normal 254 2 4 2 2" xfId="21923" xr:uid="{00000000-0005-0000-0000-0000A3550000}"/>
    <cellStyle name="Normal 254 2 4 3" xfId="21924" xr:uid="{00000000-0005-0000-0000-0000A4550000}"/>
    <cellStyle name="Normal 254 2 5" xfId="21925" xr:uid="{00000000-0005-0000-0000-0000A5550000}"/>
    <cellStyle name="Normal 254 2 5 2" xfId="21926" xr:uid="{00000000-0005-0000-0000-0000A6550000}"/>
    <cellStyle name="Normal 254 2 5 2 2" xfId="21927" xr:uid="{00000000-0005-0000-0000-0000A7550000}"/>
    <cellStyle name="Normal 254 2 5 3" xfId="21928" xr:uid="{00000000-0005-0000-0000-0000A8550000}"/>
    <cellStyle name="Normal 254 2 6" xfId="21929" xr:uid="{00000000-0005-0000-0000-0000A9550000}"/>
    <cellStyle name="Normal 254 2 6 2" xfId="21930" xr:uid="{00000000-0005-0000-0000-0000AA550000}"/>
    <cellStyle name="Normal 254 2 6 2 2" xfId="21931" xr:uid="{00000000-0005-0000-0000-0000AB550000}"/>
    <cellStyle name="Normal 254 2 6 3" xfId="21932" xr:uid="{00000000-0005-0000-0000-0000AC550000}"/>
    <cellStyle name="Normal 254 2 7" xfId="21933" xr:uid="{00000000-0005-0000-0000-0000AD550000}"/>
    <cellStyle name="Normal 254 3" xfId="21934" xr:uid="{00000000-0005-0000-0000-0000AE550000}"/>
    <cellStyle name="Normal 254 3 2" xfId="21935" xr:uid="{00000000-0005-0000-0000-0000AF550000}"/>
    <cellStyle name="Normal 254 3 2 2" xfId="21936" xr:uid="{00000000-0005-0000-0000-0000B0550000}"/>
    <cellStyle name="Normal 254 3 3" xfId="21937" xr:uid="{00000000-0005-0000-0000-0000B1550000}"/>
    <cellStyle name="Normal 254 3 3 2" xfId="21938" xr:uid="{00000000-0005-0000-0000-0000B2550000}"/>
    <cellStyle name="Normal 254 3 3 2 2" xfId="21939" xr:uid="{00000000-0005-0000-0000-0000B3550000}"/>
    <cellStyle name="Normal 254 3 3 3" xfId="21940" xr:uid="{00000000-0005-0000-0000-0000B4550000}"/>
    <cellStyle name="Normal 254 3 4" xfId="21941" xr:uid="{00000000-0005-0000-0000-0000B5550000}"/>
    <cellStyle name="Normal 254 3 4 2" xfId="21942" xr:uid="{00000000-0005-0000-0000-0000B6550000}"/>
    <cellStyle name="Normal 254 3 4 2 2" xfId="21943" xr:uid="{00000000-0005-0000-0000-0000B7550000}"/>
    <cellStyle name="Normal 254 3 4 3" xfId="21944" xr:uid="{00000000-0005-0000-0000-0000B8550000}"/>
    <cellStyle name="Normal 254 3 5" xfId="21945" xr:uid="{00000000-0005-0000-0000-0000B9550000}"/>
    <cellStyle name="Normal 254 4" xfId="21946" xr:uid="{00000000-0005-0000-0000-0000BA550000}"/>
    <cellStyle name="Normal 254 4 2" xfId="21947" xr:uid="{00000000-0005-0000-0000-0000BB550000}"/>
    <cellStyle name="Normal 254 4 2 2" xfId="21948" xr:uid="{00000000-0005-0000-0000-0000BC550000}"/>
    <cellStyle name="Normal 254 4 2 2 2" xfId="21949" xr:uid="{00000000-0005-0000-0000-0000BD550000}"/>
    <cellStyle name="Normal 254 4 2 3" xfId="21950" xr:uid="{00000000-0005-0000-0000-0000BE550000}"/>
    <cellStyle name="Normal 254 4 2 3 2" xfId="21951" xr:uid="{00000000-0005-0000-0000-0000BF550000}"/>
    <cellStyle name="Normal 254 4 2 3 2 2" xfId="21952" xr:uid="{00000000-0005-0000-0000-0000C0550000}"/>
    <cellStyle name="Normal 254 4 2 3 3" xfId="21953" xr:uid="{00000000-0005-0000-0000-0000C1550000}"/>
    <cellStyle name="Normal 254 4 2 4" xfId="21954" xr:uid="{00000000-0005-0000-0000-0000C2550000}"/>
    <cellStyle name="Normal 254 4 3" xfId="21955" xr:uid="{00000000-0005-0000-0000-0000C3550000}"/>
    <cellStyle name="Normal 254 4 3 2" xfId="21956" xr:uid="{00000000-0005-0000-0000-0000C4550000}"/>
    <cellStyle name="Normal 254 4 3 2 2" xfId="21957" xr:uid="{00000000-0005-0000-0000-0000C5550000}"/>
    <cellStyle name="Normal 254 4 3 3" xfId="21958" xr:uid="{00000000-0005-0000-0000-0000C6550000}"/>
    <cellStyle name="Normal 254 4 4" xfId="21959" xr:uid="{00000000-0005-0000-0000-0000C7550000}"/>
    <cellStyle name="Normal 254 4 4 2" xfId="21960" xr:uid="{00000000-0005-0000-0000-0000C8550000}"/>
    <cellStyle name="Normal 254 4 4 2 2" xfId="21961" xr:uid="{00000000-0005-0000-0000-0000C9550000}"/>
    <cellStyle name="Normal 254 4 4 3" xfId="21962" xr:uid="{00000000-0005-0000-0000-0000CA550000}"/>
    <cellStyle name="Normal 254 4 5" xfId="21963" xr:uid="{00000000-0005-0000-0000-0000CB550000}"/>
    <cellStyle name="Normal 254 4 5 2" xfId="21964" xr:uid="{00000000-0005-0000-0000-0000CC550000}"/>
    <cellStyle name="Normal 254 4 5 2 2" xfId="21965" xr:uid="{00000000-0005-0000-0000-0000CD550000}"/>
    <cellStyle name="Normal 254 4 5 3" xfId="21966" xr:uid="{00000000-0005-0000-0000-0000CE550000}"/>
    <cellStyle name="Normal 254 4 6" xfId="21967" xr:uid="{00000000-0005-0000-0000-0000CF550000}"/>
    <cellStyle name="Normal 254 5" xfId="21968" xr:uid="{00000000-0005-0000-0000-0000D0550000}"/>
    <cellStyle name="Normal 254 5 2" xfId="21969" xr:uid="{00000000-0005-0000-0000-0000D1550000}"/>
    <cellStyle name="Normal 254 5 2 2" xfId="21970" xr:uid="{00000000-0005-0000-0000-0000D2550000}"/>
    <cellStyle name="Normal 254 5 3" xfId="21971" xr:uid="{00000000-0005-0000-0000-0000D3550000}"/>
    <cellStyle name="Normal 254 6" xfId="21972" xr:uid="{00000000-0005-0000-0000-0000D4550000}"/>
    <cellStyle name="Normal 254 6 2" xfId="21973" xr:uid="{00000000-0005-0000-0000-0000D5550000}"/>
    <cellStyle name="Normal 254 6 2 2" xfId="21974" xr:uid="{00000000-0005-0000-0000-0000D6550000}"/>
    <cellStyle name="Normal 254 6 3" xfId="21975" xr:uid="{00000000-0005-0000-0000-0000D7550000}"/>
    <cellStyle name="Normal 254 7" xfId="21976" xr:uid="{00000000-0005-0000-0000-0000D8550000}"/>
    <cellStyle name="Normal 254 7 2" xfId="21977" xr:uid="{00000000-0005-0000-0000-0000D9550000}"/>
    <cellStyle name="Normal 254 7 2 2" xfId="21978" xr:uid="{00000000-0005-0000-0000-0000DA550000}"/>
    <cellStyle name="Normal 254 7 3" xfId="21979" xr:uid="{00000000-0005-0000-0000-0000DB550000}"/>
    <cellStyle name="Normal 254 8" xfId="21980" xr:uid="{00000000-0005-0000-0000-0000DC550000}"/>
    <cellStyle name="Normal 255" xfId="21981" xr:uid="{00000000-0005-0000-0000-0000DD550000}"/>
    <cellStyle name="Normal 255 2" xfId="21982" xr:uid="{00000000-0005-0000-0000-0000DE550000}"/>
    <cellStyle name="Normal 255 2 2" xfId="21983" xr:uid="{00000000-0005-0000-0000-0000DF550000}"/>
    <cellStyle name="Normal 255 2 2 2" xfId="21984" xr:uid="{00000000-0005-0000-0000-0000E0550000}"/>
    <cellStyle name="Normal 255 2 2 2 2" xfId="21985" xr:uid="{00000000-0005-0000-0000-0000E1550000}"/>
    <cellStyle name="Normal 255 2 2 3" xfId="21986" xr:uid="{00000000-0005-0000-0000-0000E2550000}"/>
    <cellStyle name="Normal 255 2 2 3 2" xfId="21987" xr:uid="{00000000-0005-0000-0000-0000E3550000}"/>
    <cellStyle name="Normal 255 2 2 3 2 2" xfId="21988" xr:uid="{00000000-0005-0000-0000-0000E4550000}"/>
    <cellStyle name="Normal 255 2 2 3 3" xfId="21989" xr:uid="{00000000-0005-0000-0000-0000E5550000}"/>
    <cellStyle name="Normal 255 2 2 4" xfId="21990" xr:uid="{00000000-0005-0000-0000-0000E6550000}"/>
    <cellStyle name="Normal 255 2 2 4 2" xfId="21991" xr:uid="{00000000-0005-0000-0000-0000E7550000}"/>
    <cellStyle name="Normal 255 2 2 4 2 2" xfId="21992" xr:uid="{00000000-0005-0000-0000-0000E8550000}"/>
    <cellStyle name="Normal 255 2 2 4 3" xfId="21993" xr:uid="{00000000-0005-0000-0000-0000E9550000}"/>
    <cellStyle name="Normal 255 2 2 5" xfId="21994" xr:uid="{00000000-0005-0000-0000-0000EA550000}"/>
    <cellStyle name="Normal 255 2 3" xfId="21995" xr:uid="{00000000-0005-0000-0000-0000EB550000}"/>
    <cellStyle name="Normal 255 2 3 2" xfId="21996" xr:uid="{00000000-0005-0000-0000-0000EC550000}"/>
    <cellStyle name="Normal 255 2 3 2 2" xfId="21997" xr:uid="{00000000-0005-0000-0000-0000ED550000}"/>
    <cellStyle name="Normal 255 2 3 2 2 2" xfId="21998" xr:uid="{00000000-0005-0000-0000-0000EE550000}"/>
    <cellStyle name="Normal 255 2 3 2 3" xfId="21999" xr:uid="{00000000-0005-0000-0000-0000EF550000}"/>
    <cellStyle name="Normal 255 2 3 2 3 2" xfId="22000" xr:uid="{00000000-0005-0000-0000-0000F0550000}"/>
    <cellStyle name="Normal 255 2 3 2 3 2 2" xfId="22001" xr:uid="{00000000-0005-0000-0000-0000F1550000}"/>
    <cellStyle name="Normal 255 2 3 2 3 3" xfId="22002" xr:uid="{00000000-0005-0000-0000-0000F2550000}"/>
    <cellStyle name="Normal 255 2 3 2 4" xfId="22003" xr:uid="{00000000-0005-0000-0000-0000F3550000}"/>
    <cellStyle name="Normal 255 2 3 3" xfId="22004" xr:uid="{00000000-0005-0000-0000-0000F4550000}"/>
    <cellStyle name="Normal 255 2 3 3 2" xfId="22005" xr:uid="{00000000-0005-0000-0000-0000F5550000}"/>
    <cellStyle name="Normal 255 2 3 3 2 2" xfId="22006" xr:uid="{00000000-0005-0000-0000-0000F6550000}"/>
    <cellStyle name="Normal 255 2 3 3 3" xfId="22007" xr:uid="{00000000-0005-0000-0000-0000F7550000}"/>
    <cellStyle name="Normal 255 2 3 4" xfId="22008" xr:uid="{00000000-0005-0000-0000-0000F8550000}"/>
    <cellStyle name="Normal 255 2 3 4 2" xfId="22009" xr:uid="{00000000-0005-0000-0000-0000F9550000}"/>
    <cellStyle name="Normal 255 2 3 4 2 2" xfId="22010" xr:uid="{00000000-0005-0000-0000-0000FA550000}"/>
    <cellStyle name="Normal 255 2 3 4 3" xfId="22011" xr:uid="{00000000-0005-0000-0000-0000FB550000}"/>
    <cellStyle name="Normal 255 2 3 5" xfId="22012" xr:uid="{00000000-0005-0000-0000-0000FC550000}"/>
    <cellStyle name="Normal 255 2 3 5 2" xfId="22013" xr:uid="{00000000-0005-0000-0000-0000FD550000}"/>
    <cellStyle name="Normal 255 2 3 5 2 2" xfId="22014" xr:uid="{00000000-0005-0000-0000-0000FE550000}"/>
    <cellStyle name="Normal 255 2 3 5 3" xfId="22015" xr:uid="{00000000-0005-0000-0000-0000FF550000}"/>
    <cellStyle name="Normal 255 2 3 6" xfId="22016" xr:uid="{00000000-0005-0000-0000-000000560000}"/>
    <cellStyle name="Normal 255 2 4" xfId="22017" xr:uid="{00000000-0005-0000-0000-000001560000}"/>
    <cellStyle name="Normal 255 2 4 2" xfId="22018" xr:uid="{00000000-0005-0000-0000-000002560000}"/>
    <cellStyle name="Normal 255 2 4 2 2" xfId="22019" xr:uid="{00000000-0005-0000-0000-000003560000}"/>
    <cellStyle name="Normal 255 2 4 3" xfId="22020" xr:uid="{00000000-0005-0000-0000-000004560000}"/>
    <cellStyle name="Normal 255 2 5" xfId="22021" xr:uid="{00000000-0005-0000-0000-000005560000}"/>
    <cellStyle name="Normal 255 2 5 2" xfId="22022" xr:uid="{00000000-0005-0000-0000-000006560000}"/>
    <cellStyle name="Normal 255 2 5 2 2" xfId="22023" xr:uid="{00000000-0005-0000-0000-000007560000}"/>
    <cellStyle name="Normal 255 2 5 3" xfId="22024" xr:uid="{00000000-0005-0000-0000-000008560000}"/>
    <cellStyle name="Normal 255 2 6" xfId="22025" xr:uid="{00000000-0005-0000-0000-000009560000}"/>
    <cellStyle name="Normal 255 2 6 2" xfId="22026" xr:uid="{00000000-0005-0000-0000-00000A560000}"/>
    <cellStyle name="Normal 255 2 6 2 2" xfId="22027" xr:uid="{00000000-0005-0000-0000-00000B560000}"/>
    <cellStyle name="Normal 255 2 6 3" xfId="22028" xr:uid="{00000000-0005-0000-0000-00000C560000}"/>
    <cellStyle name="Normal 255 2 7" xfId="22029" xr:uid="{00000000-0005-0000-0000-00000D560000}"/>
    <cellStyle name="Normal 255 3" xfId="22030" xr:uid="{00000000-0005-0000-0000-00000E560000}"/>
    <cellStyle name="Normal 255 3 2" xfId="22031" xr:uid="{00000000-0005-0000-0000-00000F560000}"/>
    <cellStyle name="Normal 255 3 2 2" xfId="22032" xr:uid="{00000000-0005-0000-0000-000010560000}"/>
    <cellStyle name="Normal 255 3 3" xfId="22033" xr:uid="{00000000-0005-0000-0000-000011560000}"/>
    <cellStyle name="Normal 255 3 3 2" xfId="22034" xr:uid="{00000000-0005-0000-0000-000012560000}"/>
    <cellStyle name="Normal 255 3 3 2 2" xfId="22035" xr:uid="{00000000-0005-0000-0000-000013560000}"/>
    <cellStyle name="Normal 255 3 3 3" xfId="22036" xr:uid="{00000000-0005-0000-0000-000014560000}"/>
    <cellStyle name="Normal 255 3 4" xfId="22037" xr:uid="{00000000-0005-0000-0000-000015560000}"/>
    <cellStyle name="Normal 255 3 4 2" xfId="22038" xr:uid="{00000000-0005-0000-0000-000016560000}"/>
    <cellStyle name="Normal 255 3 4 2 2" xfId="22039" xr:uid="{00000000-0005-0000-0000-000017560000}"/>
    <cellStyle name="Normal 255 3 4 3" xfId="22040" xr:uid="{00000000-0005-0000-0000-000018560000}"/>
    <cellStyle name="Normal 255 3 5" xfId="22041" xr:uid="{00000000-0005-0000-0000-000019560000}"/>
    <cellStyle name="Normal 255 4" xfId="22042" xr:uid="{00000000-0005-0000-0000-00001A560000}"/>
    <cellStyle name="Normal 255 4 2" xfId="22043" xr:uid="{00000000-0005-0000-0000-00001B560000}"/>
    <cellStyle name="Normal 255 4 2 2" xfId="22044" xr:uid="{00000000-0005-0000-0000-00001C560000}"/>
    <cellStyle name="Normal 255 4 2 2 2" xfId="22045" xr:uid="{00000000-0005-0000-0000-00001D560000}"/>
    <cellStyle name="Normal 255 4 2 3" xfId="22046" xr:uid="{00000000-0005-0000-0000-00001E560000}"/>
    <cellStyle name="Normal 255 4 2 3 2" xfId="22047" xr:uid="{00000000-0005-0000-0000-00001F560000}"/>
    <cellStyle name="Normal 255 4 2 3 2 2" xfId="22048" xr:uid="{00000000-0005-0000-0000-000020560000}"/>
    <cellStyle name="Normal 255 4 2 3 3" xfId="22049" xr:uid="{00000000-0005-0000-0000-000021560000}"/>
    <cellStyle name="Normal 255 4 2 4" xfId="22050" xr:uid="{00000000-0005-0000-0000-000022560000}"/>
    <cellStyle name="Normal 255 4 3" xfId="22051" xr:uid="{00000000-0005-0000-0000-000023560000}"/>
    <cellStyle name="Normal 255 4 3 2" xfId="22052" xr:uid="{00000000-0005-0000-0000-000024560000}"/>
    <cellStyle name="Normal 255 4 3 2 2" xfId="22053" xr:uid="{00000000-0005-0000-0000-000025560000}"/>
    <cellStyle name="Normal 255 4 3 3" xfId="22054" xr:uid="{00000000-0005-0000-0000-000026560000}"/>
    <cellStyle name="Normal 255 4 4" xfId="22055" xr:uid="{00000000-0005-0000-0000-000027560000}"/>
    <cellStyle name="Normal 255 4 4 2" xfId="22056" xr:uid="{00000000-0005-0000-0000-000028560000}"/>
    <cellStyle name="Normal 255 4 4 2 2" xfId="22057" xr:uid="{00000000-0005-0000-0000-000029560000}"/>
    <cellStyle name="Normal 255 4 4 3" xfId="22058" xr:uid="{00000000-0005-0000-0000-00002A560000}"/>
    <cellStyle name="Normal 255 4 5" xfId="22059" xr:uid="{00000000-0005-0000-0000-00002B560000}"/>
    <cellStyle name="Normal 255 4 5 2" xfId="22060" xr:uid="{00000000-0005-0000-0000-00002C560000}"/>
    <cellStyle name="Normal 255 4 5 2 2" xfId="22061" xr:uid="{00000000-0005-0000-0000-00002D560000}"/>
    <cellStyle name="Normal 255 4 5 3" xfId="22062" xr:uid="{00000000-0005-0000-0000-00002E560000}"/>
    <cellStyle name="Normal 255 4 6" xfId="22063" xr:uid="{00000000-0005-0000-0000-00002F560000}"/>
    <cellStyle name="Normal 255 5" xfId="22064" xr:uid="{00000000-0005-0000-0000-000030560000}"/>
    <cellStyle name="Normal 255 5 2" xfId="22065" xr:uid="{00000000-0005-0000-0000-000031560000}"/>
    <cellStyle name="Normal 255 5 2 2" xfId="22066" xr:uid="{00000000-0005-0000-0000-000032560000}"/>
    <cellStyle name="Normal 255 5 3" xfId="22067" xr:uid="{00000000-0005-0000-0000-000033560000}"/>
    <cellStyle name="Normal 255 6" xfId="22068" xr:uid="{00000000-0005-0000-0000-000034560000}"/>
    <cellStyle name="Normal 255 6 2" xfId="22069" xr:uid="{00000000-0005-0000-0000-000035560000}"/>
    <cellStyle name="Normal 255 6 2 2" xfId="22070" xr:uid="{00000000-0005-0000-0000-000036560000}"/>
    <cellStyle name="Normal 255 6 3" xfId="22071" xr:uid="{00000000-0005-0000-0000-000037560000}"/>
    <cellStyle name="Normal 255 7" xfId="22072" xr:uid="{00000000-0005-0000-0000-000038560000}"/>
    <cellStyle name="Normal 255 7 2" xfId="22073" xr:uid="{00000000-0005-0000-0000-000039560000}"/>
    <cellStyle name="Normal 255 7 2 2" xfId="22074" xr:uid="{00000000-0005-0000-0000-00003A560000}"/>
    <cellStyle name="Normal 255 7 3" xfId="22075" xr:uid="{00000000-0005-0000-0000-00003B560000}"/>
    <cellStyle name="Normal 255 8" xfId="22076" xr:uid="{00000000-0005-0000-0000-00003C560000}"/>
    <cellStyle name="Normal 256" xfId="22077" xr:uid="{00000000-0005-0000-0000-00003D560000}"/>
    <cellStyle name="Normal 256 2" xfId="22078" xr:uid="{00000000-0005-0000-0000-00003E560000}"/>
    <cellStyle name="Normal 256 2 2" xfId="22079" xr:uid="{00000000-0005-0000-0000-00003F560000}"/>
    <cellStyle name="Normal 256 2 2 2" xfId="22080" xr:uid="{00000000-0005-0000-0000-000040560000}"/>
    <cellStyle name="Normal 256 2 2 2 2" xfId="22081" xr:uid="{00000000-0005-0000-0000-000041560000}"/>
    <cellStyle name="Normal 256 2 2 3" xfId="22082" xr:uid="{00000000-0005-0000-0000-000042560000}"/>
    <cellStyle name="Normal 256 2 2 3 2" xfId="22083" xr:uid="{00000000-0005-0000-0000-000043560000}"/>
    <cellStyle name="Normal 256 2 2 3 2 2" xfId="22084" xr:uid="{00000000-0005-0000-0000-000044560000}"/>
    <cellStyle name="Normal 256 2 2 3 3" xfId="22085" xr:uid="{00000000-0005-0000-0000-000045560000}"/>
    <cellStyle name="Normal 256 2 2 4" xfId="22086" xr:uid="{00000000-0005-0000-0000-000046560000}"/>
    <cellStyle name="Normal 256 2 2 4 2" xfId="22087" xr:uid="{00000000-0005-0000-0000-000047560000}"/>
    <cellStyle name="Normal 256 2 2 4 2 2" xfId="22088" xr:uid="{00000000-0005-0000-0000-000048560000}"/>
    <cellStyle name="Normal 256 2 2 4 3" xfId="22089" xr:uid="{00000000-0005-0000-0000-000049560000}"/>
    <cellStyle name="Normal 256 2 2 5" xfId="22090" xr:uid="{00000000-0005-0000-0000-00004A560000}"/>
    <cellStyle name="Normal 256 2 3" xfId="22091" xr:uid="{00000000-0005-0000-0000-00004B560000}"/>
    <cellStyle name="Normal 256 2 3 2" xfId="22092" xr:uid="{00000000-0005-0000-0000-00004C560000}"/>
    <cellStyle name="Normal 256 2 3 2 2" xfId="22093" xr:uid="{00000000-0005-0000-0000-00004D560000}"/>
    <cellStyle name="Normal 256 2 3 2 2 2" xfId="22094" xr:uid="{00000000-0005-0000-0000-00004E560000}"/>
    <cellStyle name="Normal 256 2 3 2 3" xfId="22095" xr:uid="{00000000-0005-0000-0000-00004F560000}"/>
    <cellStyle name="Normal 256 2 3 2 3 2" xfId="22096" xr:uid="{00000000-0005-0000-0000-000050560000}"/>
    <cellStyle name="Normal 256 2 3 2 3 2 2" xfId="22097" xr:uid="{00000000-0005-0000-0000-000051560000}"/>
    <cellStyle name="Normal 256 2 3 2 3 3" xfId="22098" xr:uid="{00000000-0005-0000-0000-000052560000}"/>
    <cellStyle name="Normal 256 2 3 2 4" xfId="22099" xr:uid="{00000000-0005-0000-0000-000053560000}"/>
    <cellStyle name="Normal 256 2 3 3" xfId="22100" xr:uid="{00000000-0005-0000-0000-000054560000}"/>
    <cellStyle name="Normal 256 2 3 3 2" xfId="22101" xr:uid="{00000000-0005-0000-0000-000055560000}"/>
    <cellStyle name="Normal 256 2 3 3 2 2" xfId="22102" xr:uid="{00000000-0005-0000-0000-000056560000}"/>
    <cellStyle name="Normal 256 2 3 3 3" xfId="22103" xr:uid="{00000000-0005-0000-0000-000057560000}"/>
    <cellStyle name="Normal 256 2 3 4" xfId="22104" xr:uid="{00000000-0005-0000-0000-000058560000}"/>
    <cellStyle name="Normal 256 2 3 4 2" xfId="22105" xr:uid="{00000000-0005-0000-0000-000059560000}"/>
    <cellStyle name="Normal 256 2 3 4 2 2" xfId="22106" xr:uid="{00000000-0005-0000-0000-00005A560000}"/>
    <cellStyle name="Normal 256 2 3 4 3" xfId="22107" xr:uid="{00000000-0005-0000-0000-00005B560000}"/>
    <cellStyle name="Normal 256 2 3 5" xfId="22108" xr:uid="{00000000-0005-0000-0000-00005C560000}"/>
    <cellStyle name="Normal 256 2 3 5 2" xfId="22109" xr:uid="{00000000-0005-0000-0000-00005D560000}"/>
    <cellStyle name="Normal 256 2 3 5 2 2" xfId="22110" xr:uid="{00000000-0005-0000-0000-00005E560000}"/>
    <cellStyle name="Normal 256 2 3 5 3" xfId="22111" xr:uid="{00000000-0005-0000-0000-00005F560000}"/>
    <cellStyle name="Normal 256 2 3 6" xfId="22112" xr:uid="{00000000-0005-0000-0000-000060560000}"/>
    <cellStyle name="Normal 256 2 4" xfId="22113" xr:uid="{00000000-0005-0000-0000-000061560000}"/>
    <cellStyle name="Normal 256 2 4 2" xfId="22114" xr:uid="{00000000-0005-0000-0000-000062560000}"/>
    <cellStyle name="Normal 256 2 4 2 2" xfId="22115" xr:uid="{00000000-0005-0000-0000-000063560000}"/>
    <cellStyle name="Normal 256 2 4 3" xfId="22116" xr:uid="{00000000-0005-0000-0000-000064560000}"/>
    <cellStyle name="Normal 256 2 5" xfId="22117" xr:uid="{00000000-0005-0000-0000-000065560000}"/>
    <cellStyle name="Normal 256 2 5 2" xfId="22118" xr:uid="{00000000-0005-0000-0000-000066560000}"/>
    <cellStyle name="Normal 256 2 5 2 2" xfId="22119" xr:uid="{00000000-0005-0000-0000-000067560000}"/>
    <cellStyle name="Normal 256 2 5 3" xfId="22120" xr:uid="{00000000-0005-0000-0000-000068560000}"/>
    <cellStyle name="Normal 256 2 6" xfId="22121" xr:uid="{00000000-0005-0000-0000-000069560000}"/>
    <cellStyle name="Normal 256 2 6 2" xfId="22122" xr:uid="{00000000-0005-0000-0000-00006A560000}"/>
    <cellStyle name="Normal 256 2 6 2 2" xfId="22123" xr:uid="{00000000-0005-0000-0000-00006B560000}"/>
    <cellStyle name="Normal 256 2 6 3" xfId="22124" xr:uid="{00000000-0005-0000-0000-00006C560000}"/>
    <cellStyle name="Normal 256 2 7" xfId="22125" xr:uid="{00000000-0005-0000-0000-00006D560000}"/>
    <cellStyle name="Normal 256 3" xfId="22126" xr:uid="{00000000-0005-0000-0000-00006E560000}"/>
    <cellStyle name="Normal 256 3 2" xfId="22127" xr:uid="{00000000-0005-0000-0000-00006F560000}"/>
    <cellStyle name="Normal 256 3 2 2" xfId="22128" xr:uid="{00000000-0005-0000-0000-000070560000}"/>
    <cellStyle name="Normal 256 3 3" xfId="22129" xr:uid="{00000000-0005-0000-0000-000071560000}"/>
    <cellStyle name="Normal 256 3 3 2" xfId="22130" xr:uid="{00000000-0005-0000-0000-000072560000}"/>
    <cellStyle name="Normal 256 3 3 2 2" xfId="22131" xr:uid="{00000000-0005-0000-0000-000073560000}"/>
    <cellStyle name="Normal 256 3 3 3" xfId="22132" xr:uid="{00000000-0005-0000-0000-000074560000}"/>
    <cellStyle name="Normal 256 3 4" xfId="22133" xr:uid="{00000000-0005-0000-0000-000075560000}"/>
    <cellStyle name="Normal 256 3 4 2" xfId="22134" xr:uid="{00000000-0005-0000-0000-000076560000}"/>
    <cellStyle name="Normal 256 3 4 2 2" xfId="22135" xr:uid="{00000000-0005-0000-0000-000077560000}"/>
    <cellStyle name="Normal 256 3 4 3" xfId="22136" xr:uid="{00000000-0005-0000-0000-000078560000}"/>
    <cellStyle name="Normal 256 3 5" xfId="22137" xr:uid="{00000000-0005-0000-0000-000079560000}"/>
    <cellStyle name="Normal 256 4" xfId="22138" xr:uid="{00000000-0005-0000-0000-00007A560000}"/>
    <cellStyle name="Normal 256 4 2" xfId="22139" xr:uid="{00000000-0005-0000-0000-00007B560000}"/>
    <cellStyle name="Normal 256 4 2 2" xfId="22140" xr:uid="{00000000-0005-0000-0000-00007C560000}"/>
    <cellStyle name="Normal 256 4 2 2 2" xfId="22141" xr:uid="{00000000-0005-0000-0000-00007D560000}"/>
    <cellStyle name="Normal 256 4 2 3" xfId="22142" xr:uid="{00000000-0005-0000-0000-00007E560000}"/>
    <cellStyle name="Normal 256 4 2 3 2" xfId="22143" xr:uid="{00000000-0005-0000-0000-00007F560000}"/>
    <cellStyle name="Normal 256 4 2 3 2 2" xfId="22144" xr:uid="{00000000-0005-0000-0000-000080560000}"/>
    <cellStyle name="Normal 256 4 2 3 3" xfId="22145" xr:uid="{00000000-0005-0000-0000-000081560000}"/>
    <cellStyle name="Normal 256 4 2 4" xfId="22146" xr:uid="{00000000-0005-0000-0000-000082560000}"/>
    <cellStyle name="Normal 256 4 3" xfId="22147" xr:uid="{00000000-0005-0000-0000-000083560000}"/>
    <cellStyle name="Normal 256 4 3 2" xfId="22148" xr:uid="{00000000-0005-0000-0000-000084560000}"/>
    <cellStyle name="Normal 256 4 3 2 2" xfId="22149" xr:uid="{00000000-0005-0000-0000-000085560000}"/>
    <cellStyle name="Normal 256 4 3 3" xfId="22150" xr:uid="{00000000-0005-0000-0000-000086560000}"/>
    <cellStyle name="Normal 256 4 4" xfId="22151" xr:uid="{00000000-0005-0000-0000-000087560000}"/>
    <cellStyle name="Normal 256 4 4 2" xfId="22152" xr:uid="{00000000-0005-0000-0000-000088560000}"/>
    <cellStyle name="Normal 256 4 4 2 2" xfId="22153" xr:uid="{00000000-0005-0000-0000-000089560000}"/>
    <cellStyle name="Normal 256 4 4 3" xfId="22154" xr:uid="{00000000-0005-0000-0000-00008A560000}"/>
    <cellStyle name="Normal 256 4 5" xfId="22155" xr:uid="{00000000-0005-0000-0000-00008B560000}"/>
    <cellStyle name="Normal 256 4 5 2" xfId="22156" xr:uid="{00000000-0005-0000-0000-00008C560000}"/>
    <cellStyle name="Normal 256 4 5 2 2" xfId="22157" xr:uid="{00000000-0005-0000-0000-00008D560000}"/>
    <cellStyle name="Normal 256 4 5 3" xfId="22158" xr:uid="{00000000-0005-0000-0000-00008E560000}"/>
    <cellStyle name="Normal 256 4 6" xfId="22159" xr:uid="{00000000-0005-0000-0000-00008F560000}"/>
    <cellStyle name="Normal 256 5" xfId="22160" xr:uid="{00000000-0005-0000-0000-000090560000}"/>
    <cellStyle name="Normal 256 5 2" xfId="22161" xr:uid="{00000000-0005-0000-0000-000091560000}"/>
    <cellStyle name="Normal 256 5 2 2" xfId="22162" xr:uid="{00000000-0005-0000-0000-000092560000}"/>
    <cellStyle name="Normal 256 5 3" xfId="22163" xr:uid="{00000000-0005-0000-0000-000093560000}"/>
    <cellStyle name="Normal 256 6" xfId="22164" xr:uid="{00000000-0005-0000-0000-000094560000}"/>
    <cellStyle name="Normal 256 6 2" xfId="22165" xr:uid="{00000000-0005-0000-0000-000095560000}"/>
    <cellStyle name="Normal 256 6 2 2" xfId="22166" xr:uid="{00000000-0005-0000-0000-000096560000}"/>
    <cellStyle name="Normal 256 6 3" xfId="22167" xr:uid="{00000000-0005-0000-0000-000097560000}"/>
    <cellStyle name="Normal 256 7" xfId="22168" xr:uid="{00000000-0005-0000-0000-000098560000}"/>
    <cellStyle name="Normal 256 7 2" xfId="22169" xr:uid="{00000000-0005-0000-0000-000099560000}"/>
    <cellStyle name="Normal 256 7 2 2" xfId="22170" xr:uid="{00000000-0005-0000-0000-00009A560000}"/>
    <cellStyle name="Normal 256 7 3" xfId="22171" xr:uid="{00000000-0005-0000-0000-00009B560000}"/>
    <cellStyle name="Normal 256 8" xfId="22172" xr:uid="{00000000-0005-0000-0000-00009C560000}"/>
    <cellStyle name="Normal 257" xfId="22173" xr:uid="{00000000-0005-0000-0000-00009D560000}"/>
    <cellStyle name="Normal 257 2" xfId="22174" xr:uid="{00000000-0005-0000-0000-00009E560000}"/>
    <cellStyle name="Normal 257 2 2" xfId="22175" xr:uid="{00000000-0005-0000-0000-00009F560000}"/>
    <cellStyle name="Normal 257 2 2 2" xfId="22176" xr:uid="{00000000-0005-0000-0000-0000A0560000}"/>
    <cellStyle name="Normal 257 2 3" xfId="22177" xr:uid="{00000000-0005-0000-0000-0000A1560000}"/>
    <cellStyle name="Normal 257 2 3 2" xfId="22178" xr:uid="{00000000-0005-0000-0000-0000A2560000}"/>
    <cellStyle name="Normal 257 2 3 2 2" xfId="22179" xr:uid="{00000000-0005-0000-0000-0000A3560000}"/>
    <cellStyle name="Normal 257 2 3 3" xfId="22180" xr:uid="{00000000-0005-0000-0000-0000A4560000}"/>
    <cellStyle name="Normal 257 2 4" xfId="22181" xr:uid="{00000000-0005-0000-0000-0000A5560000}"/>
    <cellStyle name="Normal 257 2 4 2" xfId="22182" xr:uid="{00000000-0005-0000-0000-0000A6560000}"/>
    <cellStyle name="Normal 257 2 4 2 2" xfId="22183" xr:uid="{00000000-0005-0000-0000-0000A7560000}"/>
    <cellStyle name="Normal 257 2 4 3" xfId="22184" xr:uid="{00000000-0005-0000-0000-0000A8560000}"/>
    <cellStyle name="Normal 257 2 5" xfId="22185" xr:uid="{00000000-0005-0000-0000-0000A9560000}"/>
    <cellStyle name="Normal 257 3" xfId="22186" xr:uid="{00000000-0005-0000-0000-0000AA560000}"/>
    <cellStyle name="Normal 257 3 2" xfId="22187" xr:uid="{00000000-0005-0000-0000-0000AB560000}"/>
    <cellStyle name="Normal 257 3 2 2" xfId="22188" xr:uid="{00000000-0005-0000-0000-0000AC560000}"/>
    <cellStyle name="Normal 257 3 2 2 2" xfId="22189" xr:uid="{00000000-0005-0000-0000-0000AD560000}"/>
    <cellStyle name="Normal 257 3 2 3" xfId="22190" xr:uid="{00000000-0005-0000-0000-0000AE560000}"/>
    <cellStyle name="Normal 257 3 2 3 2" xfId="22191" xr:uid="{00000000-0005-0000-0000-0000AF560000}"/>
    <cellStyle name="Normal 257 3 2 3 2 2" xfId="22192" xr:uid="{00000000-0005-0000-0000-0000B0560000}"/>
    <cellStyle name="Normal 257 3 2 3 3" xfId="22193" xr:uid="{00000000-0005-0000-0000-0000B1560000}"/>
    <cellStyle name="Normal 257 3 2 4" xfId="22194" xr:uid="{00000000-0005-0000-0000-0000B2560000}"/>
    <cellStyle name="Normal 257 3 3" xfId="22195" xr:uid="{00000000-0005-0000-0000-0000B3560000}"/>
    <cellStyle name="Normal 257 3 3 2" xfId="22196" xr:uid="{00000000-0005-0000-0000-0000B4560000}"/>
    <cellStyle name="Normal 257 3 3 2 2" xfId="22197" xr:uid="{00000000-0005-0000-0000-0000B5560000}"/>
    <cellStyle name="Normal 257 3 3 3" xfId="22198" xr:uid="{00000000-0005-0000-0000-0000B6560000}"/>
    <cellStyle name="Normal 257 3 4" xfId="22199" xr:uid="{00000000-0005-0000-0000-0000B7560000}"/>
    <cellStyle name="Normal 257 3 4 2" xfId="22200" xr:uid="{00000000-0005-0000-0000-0000B8560000}"/>
    <cellStyle name="Normal 257 3 4 2 2" xfId="22201" xr:uid="{00000000-0005-0000-0000-0000B9560000}"/>
    <cellStyle name="Normal 257 3 4 3" xfId="22202" xr:uid="{00000000-0005-0000-0000-0000BA560000}"/>
    <cellStyle name="Normal 257 3 5" xfId="22203" xr:uid="{00000000-0005-0000-0000-0000BB560000}"/>
    <cellStyle name="Normal 257 3 5 2" xfId="22204" xr:uid="{00000000-0005-0000-0000-0000BC560000}"/>
    <cellStyle name="Normal 257 3 5 2 2" xfId="22205" xr:uid="{00000000-0005-0000-0000-0000BD560000}"/>
    <cellStyle name="Normal 257 3 5 3" xfId="22206" xr:uid="{00000000-0005-0000-0000-0000BE560000}"/>
    <cellStyle name="Normal 257 3 6" xfId="22207" xr:uid="{00000000-0005-0000-0000-0000BF560000}"/>
    <cellStyle name="Normal 257 4" xfId="22208" xr:uid="{00000000-0005-0000-0000-0000C0560000}"/>
    <cellStyle name="Normal 257 4 2" xfId="22209" xr:uid="{00000000-0005-0000-0000-0000C1560000}"/>
    <cellStyle name="Normal 257 4 2 2" xfId="22210" xr:uid="{00000000-0005-0000-0000-0000C2560000}"/>
    <cellStyle name="Normal 257 4 3" xfId="22211" xr:uid="{00000000-0005-0000-0000-0000C3560000}"/>
    <cellStyle name="Normal 257 5" xfId="22212" xr:uid="{00000000-0005-0000-0000-0000C4560000}"/>
    <cellStyle name="Normal 257 5 2" xfId="22213" xr:uid="{00000000-0005-0000-0000-0000C5560000}"/>
    <cellStyle name="Normal 257 5 2 2" xfId="22214" xr:uid="{00000000-0005-0000-0000-0000C6560000}"/>
    <cellStyle name="Normal 257 5 3" xfId="22215" xr:uid="{00000000-0005-0000-0000-0000C7560000}"/>
    <cellStyle name="Normal 257 6" xfId="22216" xr:uid="{00000000-0005-0000-0000-0000C8560000}"/>
    <cellStyle name="Normal 257 6 2" xfId="22217" xr:uid="{00000000-0005-0000-0000-0000C9560000}"/>
    <cellStyle name="Normal 257 6 2 2" xfId="22218" xr:uid="{00000000-0005-0000-0000-0000CA560000}"/>
    <cellStyle name="Normal 257 6 3" xfId="22219" xr:uid="{00000000-0005-0000-0000-0000CB560000}"/>
    <cellStyle name="Normal 257 7" xfId="22220" xr:uid="{00000000-0005-0000-0000-0000CC560000}"/>
    <cellStyle name="Normal 258" xfId="22221" xr:uid="{00000000-0005-0000-0000-0000CD560000}"/>
    <cellStyle name="Normal 258 2" xfId="22222" xr:uid="{00000000-0005-0000-0000-0000CE560000}"/>
    <cellStyle name="Normal 258 2 2" xfId="22223" xr:uid="{00000000-0005-0000-0000-0000CF560000}"/>
    <cellStyle name="Normal 258 2 2 2" xfId="22224" xr:uid="{00000000-0005-0000-0000-0000D0560000}"/>
    <cellStyle name="Normal 258 2 3" xfId="22225" xr:uid="{00000000-0005-0000-0000-0000D1560000}"/>
    <cellStyle name="Normal 258 2 3 2" xfId="22226" xr:uid="{00000000-0005-0000-0000-0000D2560000}"/>
    <cellStyle name="Normal 258 2 3 2 2" xfId="22227" xr:uid="{00000000-0005-0000-0000-0000D3560000}"/>
    <cellStyle name="Normal 258 2 3 3" xfId="22228" xr:uid="{00000000-0005-0000-0000-0000D4560000}"/>
    <cellStyle name="Normal 258 2 4" xfId="22229" xr:uid="{00000000-0005-0000-0000-0000D5560000}"/>
    <cellStyle name="Normal 258 2 4 2" xfId="22230" xr:uid="{00000000-0005-0000-0000-0000D6560000}"/>
    <cellStyle name="Normal 258 2 4 2 2" xfId="22231" xr:uid="{00000000-0005-0000-0000-0000D7560000}"/>
    <cellStyle name="Normal 258 2 4 3" xfId="22232" xr:uid="{00000000-0005-0000-0000-0000D8560000}"/>
    <cellStyle name="Normal 258 2 5" xfId="22233" xr:uid="{00000000-0005-0000-0000-0000D9560000}"/>
    <cellStyle name="Normal 258 3" xfId="22234" xr:uid="{00000000-0005-0000-0000-0000DA560000}"/>
    <cellStyle name="Normal 258 3 2" xfId="22235" xr:uid="{00000000-0005-0000-0000-0000DB560000}"/>
    <cellStyle name="Normal 258 3 2 2" xfId="22236" xr:uid="{00000000-0005-0000-0000-0000DC560000}"/>
    <cellStyle name="Normal 258 3 2 2 2" xfId="22237" xr:uid="{00000000-0005-0000-0000-0000DD560000}"/>
    <cellStyle name="Normal 258 3 2 3" xfId="22238" xr:uid="{00000000-0005-0000-0000-0000DE560000}"/>
    <cellStyle name="Normal 258 3 2 3 2" xfId="22239" xr:uid="{00000000-0005-0000-0000-0000DF560000}"/>
    <cellStyle name="Normal 258 3 2 3 2 2" xfId="22240" xr:uid="{00000000-0005-0000-0000-0000E0560000}"/>
    <cellStyle name="Normal 258 3 2 3 3" xfId="22241" xr:uid="{00000000-0005-0000-0000-0000E1560000}"/>
    <cellStyle name="Normal 258 3 2 4" xfId="22242" xr:uid="{00000000-0005-0000-0000-0000E2560000}"/>
    <cellStyle name="Normal 258 3 3" xfId="22243" xr:uid="{00000000-0005-0000-0000-0000E3560000}"/>
    <cellStyle name="Normal 258 3 3 2" xfId="22244" xr:uid="{00000000-0005-0000-0000-0000E4560000}"/>
    <cellStyle name="Normal 258 3 3 2 2" xfId="22245" xr:uid="{00000000-0005-0000-0000-0000E5560000}"/>
    <cellStyle name="Normal 258 3 3 3" xfId="22246" xr:uid="{00000000-0005-0000-0000-0000E6560000}"/>
    <cellStyle name="Normal 258 3 4" xfId="22247" xr:uid="{00000000-0005-0000-0000-0000E7560000}"/>
    <cellStyle name="Normal 258 3 4 2" xfId="22248" xr:uid="{00000000-0005-0000-0000-0000E8560000}"/>
    <cellStyle name="Normal 258 3 4 2 2" xfId="22249" xr:uid="{00000000-0005-0000-0000-0000E9560000}"/>
    <cellStyle name="Normal 258 3 4 3" xfId="22250" xr:uid="{00000000-0005-0000-0000-0000EA560000}"/>
    <cellStyle name="Normal 258 3 5" xfId="22251" xr:uid="{00000000-0005-0000-0000-0000EB560000}"/>
    <cellStyle name="Normal 258 3 5 2" xfId="22252" xr:uid="{00000000-0005-0000-0000-0000EC560000}"/>
    <cellStyle name="Normal 258 3 5 2 2" xfId="22253" xr:uid="{00000000-0005-0000-0000-0000ED560000}"/>
    <cellStyle name="Normal 258 3 5 3" xfId="22254" xr:uid="{00000000-0005-0000-0000-0000EE560000}"/>
    <cellStyle name="Normal 258 3 6" xfId="22255" xr:uid="{00000000-0005-0000-0000-0000EF560000}"/>
    <cellStyle name="Normal 258 4" xfId="22256" xr:uid="{00000000-0005-0000-0000-0000F0560000}"/>
    <cellStyle name="Normal 258 4 2" xfId="22257" xr:uid="{00000000-0005-0000-0000-0000F1560000}"/>
    <cellStyle name="Normal 258 4 2 2" xfId="22258" xr:uid="{00000000-0005-0000-0000-0000F2560000}"/>
    <cellStyle name="Normal 258 4 3" xfId="22259" xr:uid="{00000000-0005-0000-0000-0000F3560000}"/>
    <cellStyle name="Normal 258 5" xfId="22260" xr:uid="{00000000-0005-0000-0000-0000F4560000}"/>
    <cellStyle name="Normal 258 5 2" xfId="22261" xr:uid="{00000000-0005-0000-0000-0000F5560000}"/>
    <cellStyle name="Normal 258 5 2 2" xfId="22262" xr:uid="{00000000-0005-0000-0000-0000F6560000}"/>
    <cellStyle name="Normal 258 5 3" xfId="22263" xr:uid="{00000000-0005-0000-0000-0000F7560000}"/>
    <cellStyle name="Normal 258 6" xfId="22264" xr:uid="{00000000-0005-0000-0000-0000F8560000}"/>
    <cellStyle name="Normal 258 6 2" xfId="22265" xr:uid="{00000000-0005-0000-0000-0000F9560000}"/>
    <cellStyle name="Normal 258 6 2 2" xfId="22266" xr:uid="{00000000-0005-0000-0000-0000FA560000}"/>
    <cellStyle name="Normal 258 6 3" xfId="22267" xr:uid="{00000000-0005-0000-0000-0000FB560000}"/>
    <cellStyle name="Normal 258 7" xfId="22268" xr:uid="{00000000-0005-0000-0000-0000FC560000}"/>
    <cellStyle name="Normal 259" xfId="22269" xr:uid="{00000000-0005-0000-0000-0000FD560000}"/>
    <cellStyle name="Normal 259 2" xfId="22270" xr:uid="{00000000-0005-0000-0000-0000FE560000}"/>
    <cellStyle name="Normal 259 2 2" xfId="22271" xr:uid="{00000000-0005-0000-0000-0000FF560000}"/>
    <cellStyle name="Normal 259 2 2 2" xfId="22272" xr:uid="{00000000-0005-0000-0000-000000570000}"/>
    <cellStyle name="Normal 259 2 3" xfId="22273" xr:uid="{00000000-0005-0000-0000-000001570000}"/>
    <cellStyle name="Normal 259 2 3 2" xfId="22274" xr:uid="{00000000-0005-0000-0000-000002570000}"/>
    <cellStyle name="Normal 259 2 3 2 2" xfId="22275" xr:uid="{00000000-0005-0000-0000-000003570000}"/>
    <cellStyle name="Normal 259 2 3 3" xfId="22276" xr:uid="{00000000-0005-0000-0000-000004570000}"/>
    <cellStyle name="Normal 259 2 4" xfId="22277" xr:uid="{00000000-0005-0000-0000-000005570000}"/>
    <cellStyle name="Normal 259 2 4 2" xfId="22278" xr:uid="{00000000-0005-0000-0000-000006570000}"/>
    <cellStyle name="Normal 259 2 4 2 2" xfId="22279" xr:uid="{00000000-0005-0000-0000-000007570000}"/>
    <cellStyle name="Normal 259 2 4 3" xfId="22280" xr:uid="{00000000-0005-0000-0000-000008570000}"/>
    <cellStyle name="Normal 259 2 5" xfId="22281" xr:uid="{00000000-0005-0000-0000-000009570000}"/>
    <cellStyle name="Normal 259 3" xfId="22282" xr:uid="{00000000-0005-0000-0000-00000A570000}"/>
    <cellStyle name="Normal 259 3 2" xfId="22283" xr:uid="{00000000-0005-0000-0000-00000B570000}"/>
    <cellStyle name="Normal 259 3 2 2" xfId="22284" xr:uid="{00000000-0005-0000-0000-00000C570000}"/>
    <cellStyle name="Normal 259 3 2 2 2" xfId="22285" xr:uid="{00000000-0005-0000-0000-00000D570000}"/>
    <cellStyle name="Normal 259 3 2 3" xfId="22286" xr:uid="{00000000-0005-0000-0000-00000E570000}"/>
    <cellStyle name="Normal 259 3 2 3 2" xfId="22287" xr:uid="{00000000-0005-0000-0000-00000F570000}"/>
    <cellStyle name="Normal 259 3 2 3 2 2" xfId="22288" xr:uid="{00000000-0005-0000-0000-000010570000}"/>
    <cellStyle name="Normal 259 3 2 3 3" xfId="22289" xr:uid="{00000000-0005-0000-0000-000011570000}"/>
    <cellStyle name="Normal 259 3 2 4" xfId="22290" xr:uid="{00000000-0005-0000-0000-000012570000}"/>
    <cellStyle name="Normal 259 3 3" xfId="22291" xr:uid="{00000000-0005-0000-0000-000013570000}"/>
    <cellStyle name="Normal 259 3 3 2" xfId="22292" xr:uid="{00000000-0005-0000-0000-000014570000}"/>
    <cellStyle name="Normal 259 3 3 2 2" xfId="22293" xr:uid="{00000000-0005-0000-0000-000015570000}"/>
    <cellStyle name="Normal 259 3 3 3" xfId="22294" xr:uid="{00000000-0005-0000-0000-000016570000}"/>
    <cellStyle name="Normal 259 3 4" xfId="22295" xr:uid="{00000000-0005-0000-0000-000017570000}"/>
    <cellStyle name="Normal 259 3 4 2" xfId="22296" xr:uid="{00000000-0005-0000-0000-000018570000}"/>
    <cellStyle name="Normal 259 3 4 2 2" xfId="22297" xr:uid="{00000000-0005-0000-0000-000019570000}"/>
    <cellStyle name="Normal 259 3 4 3" xfId="22298" xr:uid="{00000000-0005-0000-0000-00001A570000}"/>
    <cellStyle name="Normal 259 3 5" xfId="22299" xr:uid="{00000000-0005-0000-0000-00001B570000}"/>
    <cellStyle name="Normal 259 3 5 2" xfId="22300" xr:uid="{00000000-0005-0000-0000-00001C570000}"/>
    <cellStyle name="Normal 259 3 5 2 2" xfId="22301" xr:uid="{00000000-0005-0000-0000-00001D570000}"/>
    <cellStyle name="Normal 259 3 5 3" xfId="22302" xr:uid="{00000000-0005-0000-0000-00001E570000}"/>
    <cellStyle name="Normal 259 3 6" xfId="22303" xr:uid="{00000000-0005-0000-0000-00001F570000}"/>
    <cellStyle name="Normal 259 4" xfId="22304" xr:uid="{00000000-0005-0000-0000-000020570000}"/>
    <cellStyle name="Normal 259 4 2" xfId="22305" xr:uid="{00000000-0005-0000-0000-000021570000}"/>
    <cellStyle name="Normal 259 4 2 2" xfId="22306" xr:uid="{00000000-0005-0000-0000-000022570000}"/>
    <cellStyle name="Normal 259 4 3" xfId="22307" xr:uid="{00000000-0005-0000-0000-000023570000}"/>
    <cellStyle name="Normal 259 5" xfId="22308" xr:uid="{00000000-0005-0000-0000-000024570000}"/>
    <cellStyle name="Normal 259 5 2" xfId="22309" xr:uid="{00000000-0005-0000-0000-000025570000}"/>
    <cellStyle name="Normal 259 5 2 2" xfId="22310" xr:uid="{00000000-0005-0000-0000-000026570000}"/>
    <cellStyle name="Normal 259 5 3" xfId="22311" xr:uid="{00000000-0005-0000-0000-000027570000}"/>
    <cellStyle name="Normal 259 6" xfId="22312" xr:uid="{00000000-0005-0000-0000-000028570000}"/>
    <cellStyle name="Normal 259 6 2" xfId="22313" xr:uid="{00000000-0005-0000-0000-000029570000}"/>
    <cellStyle name="Normal 259 6 2 2" xfId="22314" xr:uid="{00000000-0005-0000-0000-00002A570000}"/>
    <cellStyle name="Normal 259 6 3" xfId="22315" xr:uid="{00000000-0005-0000-0000-00002B570000}"/>
    <cellStyle name="Normal 259 7" xfId="22316" xr:uid="{00000000-0005-0000-0000-00002C570000}"/>
    <cellStyle name="Normal 26" xfId="22317" xr:uid="{00000000-0005-0000-0000-00002D570000}"/>
    <cellStyle name="Normal 26 2" xfId="22318" xr:uid="{00000000-0005-0000-0000-00002E570000}"/>
    <cellStyle name="Normal 26 2 2" xfId="22319" xr:uid="{00000000-0005-0000-0000-00002F570000}"/>
    <cellStyle name="Normal 26 2 2 2" xfId="22320" xr:uid="{00000000-0005-0000-0000-000030570000}"/>
    <cellStyle name="Normal 26 2 2 2 2" xfId="22321" xr:uid="{00000000-0005-0000-0000-000031570000}"/>
    <cellStyle name="Normal 26 2 2 3" xfId="22322" xr:uid="{00000000-0005-0000-0000-000032570000}"/>
    <cellStyle name="Normal 26 2 2 3 2" xfId="22323" xr:uid="{00000000-0005-0000-0000-000033570000}"/>
    <cellStyle name="Normal 26 2 2 3 2 2" xfId="22324" xr:uid="{00000000-0005-0000-0000-000034570000}"/>
    <cellStyle name="Normal 26 2 2 3 3" xfId="22325" xr:uid="{00000000-0005-0000-0000-000035570000}"/>
    <cellStyle name="Normal 26 2 2 4" xfId="22326" xr:uid="{00000000-0005-0000-0000-000036570000}"/>
    <cellStyle name="Normal 26 2 2 4 2" xfId="22327" xr:uid="{00000000-0005-0000-0000-000037570000}"/>
    <cellStyle name="Normal 26 2 2 4 2 2" xfId="22328" xr:uid="{00000000-0005-0000-0000-000038570000}"/>
    <cellStyle name="Normal 26 2 2 4 3" xfId="22329" xr:uid="{00000000-0005-0000-0000-000039570000}"/>
    <cellStyle name="Normal 26 2 2 5" xfId="22330" xr:uid="{00000000-0005-0000-0000-00003A570000}"/>
    <cellStyle name="Normal 26 2 3" xfId="22331" xr:uid="{00000000-0005-0000-0000-00003B570000}"/>
    <cellStyle name="Normal 26 2 3 2" xfId="22332" xr:uid="{00000000-0005-0000-0000-00003C570000}"/>
    <cellStyle name="Normal 26 2 3 2 2" xfId="22333" xr:uid="{00000000-0005-0000-0000-00003D570000}"/>
    <cellStyle name="Normal 26 2 3 3" xfId="22334" xr:uid="{00000000-0005-0000-0000-00003E570000}"/>
    <cellStyle name="Normal 26 2 4" xfId="22335" xr:uid="{00000000-0005-0000-0000-00003F570000}"/>
    <cellStyle name="Normal 26 2 4 2" xfId="22336" xr:uid="{00000000-0005-0000-0000-000040570000}"/>
    <cellStyle name="Normal 26 2 4 2 2" xfId="22337" xr:uid="{00000000-0005-0000-0000-000041570000}"/>
    <cellStyle name="Normal 26 2 4 3" xfId="22338" xr:uid="{00000000-0005-0000-0000-000042570000}"/>
    <cellStyle name="Normal 26 2 5" xfId="22339" xr:uid="{00000000-0005-0000-0000-000043570000}"/>
    <cellStyle name="Normal 26 2 5 2" xfId="22340" xr:uid="{00000000-0005-0000-0000-000044570000}"/>
    <cellStyle name="Normal 26 2 5 2 2" xfId="22341" xr:uid="{00000000-0005-0000-0000-000045570000}"/>
    <cellStyle name="Normal 26 2 5 3" xfId="22342" xr:uid="{00000000-0005-0000-0000-000046570000}"/>
    <cellStyle name="Normal 26 2 6" xfId="22343" xr:uid="{00000000-0005-0000-0000-000047570000}"/>
    <cellStyle name="Normal 26 3" xfId="22344" xr:uid="{00000000-0005-0000-0000-000048570000}"/>
    <cellStyle name="Normal 26 3 2" xfId="22345" xr:uid="{00000000-0005-0000-0000-000049570000}"/>
    <cellStyle name="Normal 26 3 2 2" xfId="22346" xr:uid="{00000000-0005-0000-0000-00004A570000}"/>
    <cellStyle name="Normal 26 3 3" xfId="22347" xr:uid="{00000000-0005-0000-0000-00004B570000}"/>
    <cellStyle name="Normal 26 3 3 2" xfId="22348" xr:uid="{00000000-0005-0000-0000-00004C570000}"/>
    <cellStyle name="Normal 26 3 3 2 2" xfId="22349" xr:uid="{00000000-0005-0000-0000-00004D570000}"/>
    <cellStyle name="Normal 26 3 3 3" xfId="22350" xr:uid="{00000000-0005-0000-0000-00004E570000}"/>
    <cellStyle name="Normal 26 3 4" xfId="22351" xr:uid="{00000000-0005-0000-0000-00004F570000}"/>
    <cellStyle name="Normal 26 3 4 2" xfId="22352" xr:uid="{00000000-0005-0000-0000-000050570000}"/>
    <cellStyle name="Normal 26 3 4 2 2" xfId="22353" xr:uid="{00000000-0005-0000-0000-000051570000}"/>
    <cellStyle name="Normal 26 3 4 3" xfId="22354" xr:uid="{00000000-0005-0000-0000-000052570000}"/>
    <cellStyle name="Normal 26 3 5" xfId="22355" xr:uid="{00000000-0005-0000-0000-000053570000}"/>
    <cellStyle name="Normal 26 4" xfId="22356" xr:uid="{00000000-0005-0000-0000-000054570000}"/>
    <cellStyle name="Normal 26 4 2" xfId="22357" xr:uid="{00000000-0005-0000-0000-000055570000}"/>
    <cellStyle name="Normal 26 4 2 2" xfId="22358" xr:uid="{00000000-0005-0000-0000-000056570000}"/>
    <cellStyle name="Normal 26 4 3" xfId="22359" xr:uid="{00000000-0005-0000-0000-000057570000}"/>
    <cellStyle name="Normal 26 4 3 2" xfId="22360" xr:uid="{00000000-0005-0000-0000-000058570000}"/>
    <cellStyle name="Normal 26 4 3 2 2" xfId="22361" xr:uid="{00000000-0005-0000-0000-000059570000}"/>
    <cellStyle name="Normal 26 4 3 3" xfId="22362" xr:uid="{00000000-0005-0000-0000-00005A570000}"/>
    <cellStyle name="Normal 26 4 4" xfId="22363" xr:uid="{00000000-0005-0000-0000-00005B570000}"/>
    <cellStyle name="Normal 26 4 4 2" xfId="22364" xr:uid="{00000000-0005-0000-0000-00005C570000}"/>
    <cellStyle name="Normal 26 4 4 2 2" xfId="22365" xr:uid="{00000000-0005-0000-0000-00005D570000}"/>
    <cellStyle name="Normal 26 4 4 3" xfId="22366" xr:uid="{00000000-0005-0000-0000-00005E570000}"/>
    <cellStyle name="Normal 26 4 5" xfId="22367" xr:uid="{00000000-0005-0000-0000-00005F570000}"/>
    <cellStyle name="Normal 26 5" xfId="22368" xr:uid="{00000000-0005-0000-0000-000060570000}"/>
    <cellStyle name="Normal 26 5 2" xfId="22369" xr:uid="{00000000-0005-0000-0000-000061570000}"/>
    <cellStyle name="Normal 26 5 2 2" xfId="22370" xr:uid="{00000000-0005-0000-0000-000062570000}"/>
    <cellStyle name="Normal 26 5 3" xfId="22371" xr:uid="{00000000-0005-0000-0000-000063570000}"/>
    <cellStyle name="Normal 26 6" xfId="22372" xr:uid="{00000000-0005-0000-0000-000064570000}"/>
    <cellStyle name="Normal 26 6 2" xfId="22373" xr:uid="{00000000-0005-0000-0000-000065570000}"/>
    <cellStyle name="Normal 26 6 2 2" xfId="22374" xr:uid="{00000000-0005-0000-0000-000066570000}"/>
    <cellStyle name="Normal 26 6 3" xfId="22375" xr:uid="{00000000-0005-0000-0000-000067570000}"/>
    <cellStyle name="Normal 26 7" xfId="22376" xr:uid="{00000000-0005-0000-0000-000068570000}"/>
    <cellStyle name="Normal 26 7 2" xfId="22377" xr:uid="{00000000-0005-0000-0000-000069570000}"/>
    <cellStyle name="Normal 26 7 2 2" xfId="22378" xr:uid="{00000000-0005-0000-0000-00006A570000}"/>
    <cellStyle name="Normal 26 7 3" xfId="22379" xr:uid="{00000000-0005-0000-0000-00006B570000}"/>
    <cellStyle name="Normal 26 8" xfId="22380" xr:uid="{00000000-0005-0000-0000-00006C570000}"/>
    <cellStyle name="Normal 260" xfId="22381" xr:uid="{00000000-0005-0000-0000-00006D570000}"/>
    <cellStyle name="Normal 260 2" xfId="22382" xr:uid="{00000000-0005-0000-0000-00006E570000}"/>
    <cellStyle name="Normal 260 2 2" xfId="22383" xr:uid="{00000000-0005-0000-0000-00006F570000}"/>
    <cellStyle name="Normal 260 2 2 2" xfId="22384" xr:uid="{00000000-0005-0000-0000-000070570000}"/>
    <cellStyle name="Normal 260 2 2 2 2" xfId="22385" xr:uid="{00000000-0005-0000-0000-000071570000}"/>
    <cellStyle name="Normal 260 2 2 3" xfId="22386" xr:uid="{00000000-0005-0000-0000-000072570000}"/>
    <cellStyle name="Normal 260 2 2 3 2" xfId="22387" xr:uid="{00000000-0005-0000-0000-000073570000}"/>
    <cellStyle name="Normal 260 2 2 3 2 2" xfId="22388" xr:uid="{00000000-0005-0000-0000-000074570000}"/>
    <cellStyle name="Normal 260 2 2 3 3" xfId="22389" xr:uid="{00000000-0005-0000-0000-000075570000}"/>
    <cellStyle name="Normal 260 2 2 4" xfId="22390" xr:uid="{00000000-0005-0000-0000-000076570000}"/>
    <cellStyle name="Normal 260 2 2 4 2" xfId="22391" xr:uid="{00000000-0005-0000-0000-000077570000}"/>
    <cellStyle name="Normal 260 2 2 4 2 2" xfId="22392" xr:uid="{00000000-0005-0000-0000-000078570000}"/>
    <cellStyle name="Normal 260 2 2 4 3" xfId="22393" xr:uid="{00000000-0005-0000-0000-000079570000}"/>
    <cellStyle name="Normal 260 2 2 5" xfId="22394" xr:uid="{00000000-0005-0000-0000-00007A570000}"/>
    <cellStyle name="Normal 260 2 3" xfId="22395" xr:uid="{00000000-0005-0000-0000-00007B570000}"/>
    <cellStyle name="Normal 260 2 3 2" xfId="22396" xr:uid="{00000000-0005-0000-0000-00007C570000}"/>
    <cellStyle name="Normal 260 2 3 2 2" xfId="22397" xr:uid="{00000000-0005-0000-0000-00007D570000}"/>
    <cellStyle name="Normal 260 2 3 2 2 2" xfId="22398" xr:uid="{00000000-0005-0000-0000-00007E570000}"/>
    <cellStyle name="Normal 260 2 3 2 3" xfId="22399" xr:uid="{00000000-0005-0000-0000-00007F570000}"/>
    <cellStyle name="Normal 260 2 3 2 3 2" xfId="22400" xr:uid="{00000000-0005-0000-0000-000080570000}"/>
    <cellStyle name="Normal 260 2 3 2 3 2 2" xfId="22401" xr:uid="{00000000-0005-0000-0000-000081570000}"/>
    <cellStyle name="Normal 260 2 3 2 3 3" xfId="22402" xr:uid="{00000000-0005-0000-0000-000082570000}"/>
    <cellStyle name="Normal 260 2 3 2 4" xfId="22403" xr:uid="{00000000-0005-0000-0000-000083570000}"/>
    <cellStyle name="Normal 260 2 3 3" xfId="22404" xr:uid="{00000000-0005-0000-0000-000084570000}"/>
    <cellStyle name="Normal 260 2 3 3 2" xfId="22405" xr:uid="{00000000-0005-0000-0000-000085570000}"/>
    <cellStyle name="Normal 260 2 3 3 2 2" xfId="22406" xr:uid="{00000000-0005-0000-0000-000086570000}"/>
    <cellStyle name="Normal 260 2 3 3 3" xfId="22407" xr:uid="{00000000-0005-0000-0000-000087570000}"/>
    <cellStyle name="Normal 260 2 3 4" xfId="22408" xr:uid="{00000000-0005-0000-0000-000088570000}"/>
    <cellStyle name="Normal 260 2 3 4 2" xfId="22409" xr:uid="{00000000-0005-0000-0000-000089570000}"/>
    <cellStyle name="Normal 260 2 3 4 2 2" xfId="22410" xr:uid="{00000000-0005-0000-0000-00008A570000}"/>
    <cellStyle name="Normal 260 2 3 4 3" xfId="22411" xr:uid="{00000000-0005-0000-0000-00008B570000}"/>
    <cellStyle name="Normal 260 2 3 5" xfId="22412" xr:uid="{00000000-0005-0000-0000-00008C570000}"/>
    <cellStyle name="Normal 260 2 3 5 2" xfId="22413" xr:uid="{00000000-0005-0000-0000-00008D570000}"/>
    <cellStyle name="Normal 260 2 3 5 2 2" xfId="22414" xr:uid="{00000000-0005-0000-0000-00008E570000}"/>
    <cellStyle name="Normal 260 2 3 5 3" xfId="22415" xr:uid="{00000000-0005-0000-0000-00008F570000}"/>
    <cellStyle name="Normal 260 2 3 6" xfId="22416" xr:uid="{00000000-0005-0000-0000-000090570000}"/>
    <cellStyle name="Normal 260 2 4" xfId="22417" xr:uid="{00000000-0005-0000-0000-000091570000}"/>
    <cellStyle name="Normal 260 2 4 2" xfId="22418" xr:uid="{00000000-0005-0000-0000-000092570000}"/>
    <cellStyle name="Normal 260 2 4 2 2" xfId="22419" xr:uid="{00000000-0005-0000-0000-000093570000}"/>
    <cellStyle name="Normal 260 2 4 3" xfId="22420" xr:uid="{00000000-0005-0000-0000-000094570000}"/>
    <cellStyle name="Normal 260 2 5" xfId="22421" xr:uid="{00000000-0005-0000-0000-000095570000}"/>
    <cellStyle name="Normal 260 2 5 2" xfId="22422" xr:uid="{00000000-0005-0000-0000-000096570000}"/>
    <cellStyle name="Normal 260 2 5 2 2" xfId="22423" xr:uid="{00000000-0005-0000-0000-000097570000}"/>
    <cellStyle name="Normal 260 2 5 3" xfId="22424" xr:uid="{00000000-0005-0000-0000-000098570000}"/>
    <cellStyle name="Normal 260 2 6" xfId="22425" xr:uid="{00000000-0005-0000-0000-000099570000}"/>
    <cellStyle name="Normal 260 2 6 2" xfId="22426" xr:uid="{00000000-0005-0000-0000-00009A570000}"/>
    <cellStyle name="Normal 260 2 6 2 2" xfId="22427" xr:uid="{00000000-0005-0000-0000-00009B570000}"/>
    <cellStyle name="Normal 260 2 6 3" xfId="22428" xr:uid="{00000000-0005-0000-0000-00009C570000}"/>
    <cellStyle name="Normal 260 2 7" xfId="22429" xr:uid="{00000000-0005-0000-0000-00009D570000}"/>
    <cellStyle name="Normal 260 3" xfId="22430" xr:uid="{00000000-0005-0000-0000-00009E570000}"/>
    <cellStyle name="Normal 260 3 2" xfId="22431" xr:uid="{00000000-0005-0000-0000-00009F570000}"/>
    <cellStyle name="Normal 260 3 2 2" xfId="22432" xr:uid="{00000000-0005-0000-0000-0000A0570000}"/>
    <cellStyle name="Normal 260 3 3" xfId="22433" xr:uid="{00000000-0005-0000-0000-0000A1570000}"/>
    <cellStyle name="Normal 260 3 3 2" xfId="22434" xr:uid="{00000000-0005-0000-0000-0000A2570000}"/>
    <cellStyle name="Normal 260 3 3 2 2" xfId="22435" xr:uid="{00000000-0005-0000-0000-0000A3570000}"/>
    <cellStyle name="Normal 260 3 3 3" xfId="22436" xr:uid="{00000000-0005-0000-0000-0000A4570000}"/>
    <cellStyle name="Normal 260 3 4" xfId="22437" xr:uid="{00000000-0005-0000-0000-0000A5570000}"/>
    <cellStyle name="Normal 260 3 4 2" xfId="22438" xr:uid="{00000000-0005-0000-0000-0000A6570000}"/>
    <cellStyle name="Normal 260 3 4 2 2" xfId="22439" xr:uid="{00000000-0005-0000-0000-0000A7570000}"/>
    <cellStyle name="Normal 260 3 4 3" xfId="22440" xr:uid="{00000000-0005-0000-0000-0000A8570000}"/>
    <cellStyle name="Normal 260 3 5" xfId="22441" xr:uid="{00000000-0005-0000-0000-0000A9570000}"/>
    <cellStyle name="Normal 260 4" xfId="22442" xr:uid="{00000000-0005-0000-0000-0000AA570000}"/>
    <cellStyle name="Normal 260 4 2" xfId="22443" xr:uid="{00000000-0005-0000-0000-0000AB570000}"/>
    <cellStyle name="Normal 260 4 2 2" xfId="22444" xr:uid="{00000000-0005-0000-0000-0000AC570000}"/>
    <cellStyle name="Normal 260 4 2 2 2" xfId="22445" xr:uid="{00000000-0005-0000-0000-0000AD570000}"/>
    <cellStyle name="Normal 260 4 2 3" xfId="22446" xr:uid="{00000000-0005-0000-0000-0000AE570000}"/>
    <cellStyle name="Normal 260 4 2 3 2" xfId="22447" xr:uid="{00000000-0005-0000-0000-0000AF570000}"/>
    <cellStyle name="Normal 260 4 2 3 2 2" xfId="22448" xr:uid="{00000000-0005-0000-0000-0000B0570000}"/>
    <cellStyle name="Normal 260 4 2 3 3" xfId="22449" xr:uid="{00000000-0005-0000-0000-0000B1570000}"/>
    <cellStyle name="Normal 260 4 2 4" xfId="22450" xr:uid="{00000000-0005-0000-0000-0000B2570000}"/>
    <cellStyle name="Normal 260 4 3" xfId="22451" xr:uid="{00000000-0005-0000-0000-0000B3570000}"/>
    <cellStyle name="Normal 260 4 3 2" xfId="22452" xr:uid="{00000000-0005-0000-0000-0000B4570000}"/>
    <cellStyle name="Normal 260 4 3 2 2" xfId="22453" xr:uid="{00000000-0005-0000-0000-0000B5570000}"/>
    <cellStyle name="Normal 260 4 3 3" xfId="22454" xr:uid="{00000000-0005-0000-0000-0000B6570000}"/>
    <cellStyle name="Normal 260 4 4" xfId="22455" xr:uid="{00000000-0005-0000-0000-0000B7570000}"/>
    <cellStyle name="Normal 260 4 4 2" xfId="22456" xr:uid="{00000000-0005-0000-0000-0000B8570000}"/>
    <cellStyle name="Normal 260 4 4 2 2" xfId="22457" xr:uid="{00000000-0005-0000-0000-0000B9570000}"/>
    <cellStyle name="Normal 260 4 4 3" xfId="22458" xr:uid="{00000000-0005-0000-0000-0000BA570000}"/>
    <cellStyle name="Normal 260 4 5" xfId="22459" xr:uid="{00000000-0005-0000-0000-0000BB570000}"/>
    <cellStyle name="Normal 260 4 5 2" xfId="22460" xr:uid="{00000000-0005-0000-0000-0000BC570000}"/>
    <cellStyle name="Normal 260 4 5 2 2" xfId="22461" xr:uid="{00000000-0005-0000-0000-0000BD570000}"/>
    <cellStyle name="Normal 260 4 5 3" xfId="22462" xr:uid="{00000000-0005-0000-0000-0000BE570000}"/>
    <cellStyle name="Normal 260 4 6" xfId="22463" xr:uid="{00000000-0005-0000-0000-0000BF570000}"/>
    <cellStyle name="Normal 260 5" xfId="22464" xr:uid="{00000000-0005-0000-0000-0000C0570000}"/>
    <cellStyle name="Normal 260 5 2" xfId="22465" xr:uid="{00000000-0005-0000-0000-0000C1570000}"/>
    <cellStyle name="Normal 260 5 2 2" xfId="22466" xr:uid="{00000000-0005-0000-0000-0000C2570000}"/>
    <cellStyle name="Normal 260 5 3" xfId="22467" xr:uid="{00000000-0005-0000-0000-0000C3570000}"/>
    <cellStyle name="Normal 260 6" xfId="22468" xr:uid="{00000000-0005-0000-0000-0000C4570000}"/>
    <cellStyle name="Normal 260 6 2" xfId="22469" xr:uid="{00000000-0005-0000-0000-0000C5570000}"/>
    <cellStyle name="Normal 260 6 2 2" xfId="22470" xr:uid="{00000000-0005-0000-0000-0000C6570000}"/>
    <cellStyle name="Normal 260 6 3" xfId="22471" xr:uid="{00000000-0005-0000-0000-0000C7570000}"/>
    <cellStyle name="Normal 260 7" xfId="22472" xr:uid="{00000000-0005-0000-0000-0000C8570000}"/>
    <cellStyle name="Normal 260 7 2" xfId="22473" xr:uid="{00000000-0005-0000-0000-0000C9570000}"/>
    <cellStyle name="Normal 260 7 2 2" xfId="22474" xr:uid="{00000000-0005-0000-0000-0000CA570000}"/>
    <cellStyle name="Normal 260 7 3" xfId="22475" xr:uid="{00000000-0005-0000-0000-0000CB570000}"/>
    <cellStyle name="Normal 260 8" xfId="22476" xr:uid="{00000000-0005-0000-0000-0000CC570000}"/>
    <cellStyle name="Normal 261" xfId="22477" xr:uid="{00000000-0005-0000-0000-0000CD570000}"/>
    <cellStyle name="Normal 261 2" xfId="22478" xr:uid="{00000000-0005-0000-0000-0000CE570000}"/>
    <cellStyle name="Normal 261 2 2" xfId="22479" xr:uid="{00000000-0005-0000-0000-0000CF570000}"/>
    <cellStyle name="Normal 261 2 2 2" xfId="22480" xr:uid="{00000000-0005-0000-0000-0000D0570000}"/>
    <cellStyle name="Normal 261 2 2 2 2" xfId="22481" xr:uid="{00000000-0005-0000-0000-0000D1570000}"/>
    <cellStyle name="Normal 261 2 2 3" xfId="22482" xr:uid="{00000000-0005-0000-0000-0000D2570000}"/>
    <cellStyle name="Normal 261 2 2 3 2" xfId="22483" xr:uid="{00000000-0005-0000-0000-0000D3570000}"/>
    <cellStyle name="Normal 261 2 2 3 2 2" xfId="22484" xr:uid="{00000000-0005-0000-0000-0000D4570000}"/>
    <cellStyle name="Normal 261 2 2 3 3" xfId="22485" xr:uid="{00000000-0005-0000-0000-0000D5570000}"/>
    <cellStyle name="Normal 261 2 2 4" xfId="22486" xr:uid="{00000000-0005-0000-0000-0000D6570000}"/>
    <cellStyle name="Normal 261 2 2 4 2" xfId="22487" xr:uid="{00000000-0005-0000-0000-0000D7570000}"/>
    <cellStyle name="Normal 261 2 2 4 2 2" xfId="22488" xr:uid="{00000000-0005-0000-0000-0000D8570000}"/>
    <cellStyle name="Normal 261 2 2 4 3" xfId="22489" xr:uid="{00000000-0005-0000-0000-0000D9570000}"/>
    <cellStyle name="Normal 261 2 2 5" xfId="22490" xr:uid="{00000000-0005-0000-0000-0000DA570000}"/>
    <cellStyle name="Normal 261 2 3" xfId="22491" xr:uid="{00000000-0005-0000-0000-0000DB570000}"/>
    <cellStyle name="Normal 261 2 3 2" xfId="22492" xr:uid="{00000000-0005-0000-0000-0000DC570000}"/>
    <cellStyle name="Normal 261 2 3 2 2" xfId="22493" xr:uid="{00000000-0005-0000-0000-0000DD570000}"/>
    <cellStyle name="Normal 261 2 3 2 2 2" xfId="22494" xr:uid="{00000000-0005-0000-0000-0000DE570000}"/>
    <cellStyle name="Normal 261 2 3 2 3" xfId="22495" xr:uid="{00000000-0005-0000-0000-0000DF570000}"/>
    <cellStyle name="Normal 261 2 3 2 3 2" xfId="22496" xr:uid="{00000000-0005-0000-0000-0000E0570000}"/>
    <cellStyle name="Normal 261 2 3 2 3 2 2" xfId="22497" xr:uid="{00000000-0005-0000-0000-0000E1570000}"/>
    <cellStyle name="Normal 261 2 3 2 3 3" xfId="22498" xr:uid="{00000000-0005-0000-0000-0000E2570000}"/>
    <cellStyle name="Normal 261 2 3 2 4" xfId="22499" xr:uid="{00000000-0005-0000-0000-0000E3570000}"/>
    <cellStyle name="Normal 261 2 3 3" xfId="22500" xr:uid="{00000000-0005-0000-0000-0000E4570000}"/>
    <cellStyle name="Normal 261 2 3 3 2" xfId="22501" xr:uid="{00000000-0005-0000-0000-0000E5570000}"/>
    <cellStyle name="Normal 261 2 3 3 2 2" xfId="22502" xr:uid="{00000000-0005-0000-0000-0000E6570000}"/>
    <cellStyle name="Normal 261 2 3 3 3" xfId="22503" xr:uid="{00000000-0005-0000-0000-0000E7570000}"/>
    <cellStyle name="Normal 261 2 3 4" xfId="22504" xr:uid="{00000000-0005-0000-0000-0000E8570000}"/>
    <cellStyle name="Normal 261 2 3 4 2" xfId="22505" xr:uid="{00000000-0005-0000-0000-0000E9570000}"/>
    <cellStyle name="Normal 261 2 3 4 2 2" xfId="22506" xr:uid="{00000000-0005-0000-0000-0000EA570000}"/>
    <cellStyle name="Normal 261 2 3 4 3" xfId="22507" xr:uid="{00000000-0005-0000-0000-0000EB570000}"/>
    <cellStyle name="Normal 261 2 3 5" xfId="22508" xr:uid="{00000000-0005-0000-0000-0000EC570000}"/>
    <cellStyle name="Normal 261 2 3 5 2" xfId="22509" xr:uid="{00000000-0005-0000-0000-0000ED570000}"/>
    <cellStyle name="Normal 261 2 3 5 2 2" xfId="22510" xr:uid="{00000000-0005-0000-0000-0000EE570000}"/>
    <cellStyle name="Normal 261 2 3 5 3" xfId="22511" xr:uid="{00000000-0005-0000-0000-0000EF570000}"/>
    <cellStyle name="Normal 261 2 3 6" xfId="22512" xr:uid="{00000000-0005-0000-0000-0000F0570000}"/>
    <cellStyle name="Normal 261 2 4" xfId="22513" xr:uid="{00000000-0005-0000-0000-0000F1570000}"/>
    <cellStyle name="Normal 261 2 4 2" xfId="22514" xr:uid="{00000000-0005-0000-0000-0000F2570000}"/>
    <cellStyle name="Normal 261 2 4 2 2" xfId="22515" xr:uid="{00000000-0005-0000-0000-0000F3570000}"/>
    <cellStyle name="Normal 261 2 4 3" xfId="22516" xr:uid="{00000000-0005-0000-0000-0000F4570000}"/>
    <cellStyle name="Normal 261 2 5" xfId="22517" xr:uid="{00000000-0005-0000-0000-0000F5570000}"/>
    <cellStyle name="Normal 261 2 5 2" xfId="22518" xr:uid="{00000000-0005-0000-0000-0000F6570000}"/>
    <cellStyle name="Normal 261 2 5 2 2" xfId="22519" xr:uid="{00000000-0005-0000-0000-0000F7570000}"/>
    <cellStyle name="Normal 261 2 5 3" xfId="22520" xr:uid="{00000000-0005-0000-0000-0000F8570000}"/>
    <cellStyle name="Normal 261 2 6" xfId="22521" xr:uid="{00000000-0005-0000-0000-0000F9570000}"/>
    <cellStyle name="Normal 261 2 6 2" xfId="22522" xr:uid="{00000000-0005-0000-0000-0000FA570000}"/>
    <cellStyle name="Normal 261 2 6 2 2" xfId="22523" xr:uid="{00000000-0005-0000-0000-0000FB570000}"/>
    <cellStyle name="Normal 261 2 6 3" xfId="22524" xr:uid="{00000000-0005-0000-0000-0000FC570000}"/>
    <cellStyle name="Normal 261 2 7" xfId="22525" xr:uid="{00000000-0005-0000-0000-0000FD570000}"/>
    <cellStyle name="Normal 261 3" xfId="22526" xr:uid="{00000000-0005-0000-0000-0000FE570000}"/>
    <cellStyle name="Normal 261 3 2" xfId="22527" xr:uid="{00000000-0005-0000-0000-0000FF570000}"/>
    <cellStyle name="Normal 261 3 2 2" xfId="22528" xr:uid="{00000000-0005-0000-0000-000000580000}"/>
    <cellStyle name="Normal 261 3 3" xfId="22529" xr:uid="{00000000-0005-0000-0000-000001580000}"/>
    <cellStyle name="Normal 261 3 3 2" xfId="22530" xr:uid="{00000000-0005-0000-0000-000002580000}"/>
    <cellStyle name="Normal 261 3 3 2 2" xfId="22531" xr:uid="{00000000-0005-0000-0000-000003580000}"/>
    <cellStyle name="Normal 261 3 3 3" xfId="22532" xr:uid="{00000000-0005-0000-0000-000004580000}"/>
    <cellStyle name="Normal 261 3 4" xfId="22533" xr:uid="{00000000-0005-0000-0000-000005580000}"/>
    <cellStyle name="Normal 261 3 4 2" xfId="22534" xr:uid="{00000000-0005-0000-0000-000006580000}"/>
    <cellStyle name="Normal 261 3 4 2 2" xfId="22535" xr:uid="{00000000-0005-0000-0000-000007580000}"/>
    <cellStyle name="Normal 261 3 4 3" xfId="22536" xr:uid="{00000000-0005-0000-0000-000008580000}"/>
    <cellStyle name="Normal 261 3 5" xfId="22537" xr:uid="{00000000-0005-0000-0000-000009580000}"/>
    <cellStyle name="Normal 261 4" xfId="22538" xr:uid="{00000000-0005-0000-0000-00000A580000}"/>
    <cellStyle name="Normal 261 4 2" xfId="22539" xr:uid="{00000000-0005-0000-0000-00000B580000}"/>
    <cellStyle name="Normal 261 4 2 2" xfId="22540" xr:uid="{00000000-0005-0000-0000-00000C580000}"/>
    <cellStyle name="Normal 261 4 2 2 2" xfId="22541" xr:uid="{00000000-0005-0000-0000-00000D580000}"/>
    <cellStyle name="Normal 261 4 2 3" xfId="22542" xr:uid="{00000000-0005-0000-0000-00000E580000}"/>
    <cellStyle name="Normal 261 4 2 3 2" xfId="22543" xr:uid="{00000000-0005-0000-0000-00000F580000}"/>
    <cellStyle name="Normal 261 4 2 3 2 2" xfId="22544" xr:uid="{00000000-0005-0000-0000-000010580000}"/>
    <cellStyle name="Normal 261 4 2 3 3" xfId="22545" xr:uid="{00000000-0005-0000-0000-000011580000}"/>
    <cellStyle name="Normal 261 4 2 4" xfId="22546" xr:uid="{00000000-0005-0000-0000-000012580000}"/>
    <cellStyle name="Normal 261 4 3" xfId="22547" xr:uid="{00000000-0005-0000-0000-000013580000}"/>
    <cellStyle name="Normal 261 4 3 2" xfId="22548" xr:uid="{00000000-0005-0000-0000-000014580000}"/>
    <cellStyle name="Normal 261 4 3 2 2" xfId="22549" xr:uid="{00000000-0005-0000-0000-000015580000}"/>
    <cellStyle name="Normal 261 4 3 3" xfId="22550" xr:uid="{00000000-0005-0000-0000-000016580000}"/>
    <cellStyle name="Normal 261 4 4" xfId="22551" xr:uid="{00000000-0005-0000-0000-000017580000}"/>
    <cellStyle name="Normal 261 4 4 2" xfId="22552" xr:uid="{00000000-0005-0000-0000-000018580000}"/>
    <cellStyle name="Normal 261 4 4 2 2" xfId="22553" xr:uid="{00000000-0005-0000-0000-000019580000}"/>
    <cellStyle name="Normal 261 4 4 3" xfId="22554" xr:uid="{00000000-0005-0000-0000-00001A580000}"/>
    <cellStyle name="Normal 261 4 5" xfId="22555" xr:uid="{00000000-0005-0000-0000-00001B580000}"/>
    <cellStyle name="Normal 261 4 5 2" xfId="22556" xr:uid="{00000000-0005-0000-0000-00001C580000}"/>
    <cellStyle name="Normal 261 4 5 2 2" xfId="22557" xr:uid="{00000000-0005-0000-0000-00001D580000}"/>
    <cellStyle name="Normal 261 4 5 3" xfId="22558" xr:uid="{00000000-0005-0000-0000-00001E580000}"/>
    <cellStyle name="Normal 261 4 6" xfId="22559" xr:uid="{00000000-0005-0000-0000-00001F580000}"/>
    <cellStyle name="Normal 261 5" xfId="22560" xr:uid="{00000000-0005-0000-0000-000020580000}"/>
    <cellStyle name="Normal 261 5 2" xfId="22561" xr:uid="{00000000-0005-0000-0000-000021580000}"/>
    <cellStyle name="Normal 261 5 2 2" xfId="22562" xr:uid="{00000000-0005-0000-0000-000022580000}"/>
    <cellStyle name="Normal 261 5 3" xfId="22563" xr:uid="{00000000-0005-0000-0000-000023580000}"/>
    <cellStyle name="Normal 261 6" xfId="22564" xr:uid="{00000000-0005-0000-0000-000024580000}"/>
    <cellStyle name="Normal 261 6 2" xfId="22565" xr:uid="{00000000-0005-0000-0000-000025580000}"/>
    <cellStyle name="Normal 261 6 2 2" xfId="22566" xr:uid="{00000000-0005-0000-0000-000026580000}"/>
    <cellStyle name="Normal 261 6 3" xfId="22567" xr:uid="{00000000-0005-0000-0000-000027580000}"/>
    <cellStyle name="Normal 261 7" xfId="22568" xr:uid="{00000000-0005-0000-0000-000028580000}"/>
    <cellStyle name="Normal 261 7 2" xfId="22569" xr:uid="{00000000-0005-0000-0000-000029580000}"/>
    <cellStyle name="Normal 261 7 2 2" xfId="22570" xr:uid="{00000000-0005-0000-0000-00002A580000}"/>
    <cellStyle name="Normal 261 7 3" xfId="22571" xr:uid="{00000000-0005-0000-0000-00002B580000}"/>
    <cellStyle name="Normal 261 8" xfId="22572" xr:uid="{00000000-0005-0000-0000-00002C580000}"/>
    <cellStyle name="Normal 262" xfId="22573" xr:uid="{00000000-0005-0000-0000-00002D580000}"/>
    <cellStyle name="Normal 262 2" xfId="22574" xr:uid="{00000000-0005-0000-0000-00002E580000}"/>
    <cellStyle name="Normal 262 2 2" xfId="22575" xr:uid="{00000000-0005-0000-0000-00002F580000}"/>
    <cellStyle name="Normal 262 2 2 2" xfId="22576" xr:uid="{00000000-0005-0000-0000-000030580000}"/>
    <cellStyle name="Normal 262 2 2 2 2" xfId="22577" xr:uid="{00000000-0005-0000-0000-000031580000}"/>
    <cellStyle name="Normal 262 2 2 3" xfId="22578" xr:uid="{00000000-0005-0000-0000-000032580000}"/>
    <cellStyle name="Normal 262 2 2 3 2" xfId="22579" xr:uid="{00000000-0005-0000-0000-000033580000}"/>
    <cellStyle name="Normal 262 2 2 3 2 2" xfId="22580" xr:uid="{00000000-0005-0000-0000-000034580000}"/>
    <cellStyle name="Normal 262 2 2 3 3" xfId="22581" xr:uid="{00000000-0005-0000-0000-000035580000}"/>
    <cellStyle name="Normal 262 2 2 4" xfId="22582" xr:uid="{00000000-0005-0000-0000-000036580000}"/>
    <cellStyle name="Normal 262 2 2 4 2" xfId="22583" xr:uid="{00000000-0005-0000-0000-000037580000}"/>
    <cellStyle name="Normal 262 2 2 4 2 2" xfId="22584" xr:uid="{00000000-0005-0000-0000-000038580000}"/>
    <cellStyle name="Normal 262 2 2 4 3" xfId="22585" xr:uid="{00000000-0005-0000-0000-000039580000}"/>
    <cellStyle name="Normal 262 2 2 5" xfId="22586" xr:uid="{00000000-0005-0000-0000-00003A580000}"/>
    <cellStyle name="Normal 262 2 3" xfId="22587" xr:uid="{00000000-0005-0000-0000-00003B580000}"/>
    <cellStyle name="Normal 262 2 3 2" xfId="22588" xr:uid="{00000000-0005-0000-0000-00003C580000}"/>
    <cellStyle name="Normal 262 2 3 2 2" xfId="22589" xr:uid="{00000000-0005-0000-0000-00003D580000}"/>
    <cellStyle name="Normal 262 2 3 2 2 2" xfId="22590" xr:uid="{00000000-0005-0000-0000-00003E580000}"/>
    <cellStyle name="Normal 262 2 3 2 3" xfId="22591" xr:uid="{00000000-0005-0000-0000-00003F580000}"/>
    <cellStyle name="Normal 262 2 3 2 3 2" xfId="22592" xr:uid="{00000000-0005-0000-0000-000040580000}"/>
    <cellStyle name="Normal 262 2 3 2 3 2 2" xfId="22593" xr:uid="{00000000-0005-0000-0000-000041580000}"/>
    <cellStyle name="Normal 262 2 3 2 3 3" xfId="22594" xr:uid="{00000000-0005-0000-0000-000042580000}"/>
    <cellStyle name="Normal 262 2 3 2 4" xfId="22595" xr:uid="{00000000-0005-0000-0000-000043580000}"/>
    <cellStyle name="Normal 262 2 3 3" xfId="22596" xr:uid="{00000000-0005-0000-0000-000044580000}"/>
    <cellStyle name="Normal 262 2 3 3 2" xfId="22597" xr:uid="{00000000-0005-0000-0000-000045580000}"/>
    <cellStyle name="Normal 262 2 3 3 2 2" xfId="22598" xr:uid="{00000000-0005-0000-0000-000046580000}"/>
    <cellStyle name="Normal 262 2 3 3 3" xfId="22599" xr:uid="{00000000-0005-0000-0000-000047580000}"/>
    <cellStyle name="Normal 262 2 3 4" xfId="22600" xr:uid="{00000000-0005-0000-0000-000048580000}"/>
    <cellStyle name="Normal 262 2 3 4 2" xfId="22601" xr:uid="{00000000-0005-0000-0000-000049580000}"/>
    <cellStyle name="Normal 262 2 3 4 2 2" xfId="22602" xr:uid="{00000000-0005-0000-0000-00004A580000}"/>
    <cellStyle name="Normal 262 2 3 4 3" xfId="22603" xr:uid="{00000000-0005-0000-0000-00004B580000}"/>
    <cellStyle name="Normal 262 2 3 5" xfId="22604" xr:uid="{00000000-0005-0000-0000-00004C580000}"/>
    <cellStyle name="Normal 262 2 3 5 2" xfId="22605" xr:uid="{00000000-0005-0000-0000-00004D580000}"/>
    <cellStyle name="Normal 262 2 3 5 2 2" xfId="22606" xr:uid="{00000000-0005-0000-0000-00004E580000}"/>
    <cellStyle name="Normal 262 2 3 5 3" xfId="22607" xr:uid="{00000000-0005-0000-0000-00004F580000}"/>
    <cellStyle name="Normal 262 2 3 6" xfId="22608" xr:uid="{00000000-0005-0000-0000-000050580000}"/>
    <cellStyle name="Normal 262 2 4" xfId="22609" xr:uid="{00000000-0005-0000-0000-000051580000}"/>
    <cellStyle name="Normal 262 2 4 2" xfId="22610" xr:uid="{00000000-0005-0000-0000-000052580000}"/>
    <cellStyle name="Normal 262 2 4 2 2" xfId="22611" xr:uid="{00000000-0005-0000-0000-000053580000}"/>
    <cellStyle name="Normal 262 2 4 3" xfId="22612" xr:uid="{00000000-0005-0000-0000-000054580000}"/>
    <cellStyle name="Normal 262 2 5" xfId="22613" xr:uid="{00000000-0005-0000-0000-000055580000}"/>
    <cellStyle name="Normal 262 2 5 2" xfId="22614" xr:uid="{00000000-0005-0000-0000-000056580000}"/>
    <cellStyle name="Normal 262 2 5 2 2" xfId="22615" xr:uid="{00000000-0005-0000-0000-000057580000}"/>
    <cellStyle name="Normal 262 2 5 3" xfId="22616" xr:uid="{00000000-0005-0000-0000-000058580000}"/>
    <cellStyle name="Normal 262 2 6" xfId="22617" xr:uid="{00000000-0005-0000-0000-000059580000}"/>
    <cellStyle name="Normal 262 2 6 2" xfId="22618" xr:uid="{00000000-0005-0000-0000-00005A580000}"/>
    <cellStyle name="Normal 262 2 6 2 2" xfId="22619" xr:uid="{00000000-0005-0000-0000-00005B580000}"/>
    <cellStyle name="Normal 262 2 6 3" xfId="22620" xr:uid="{00000000-0005-0000-0000-00005C580000}"/>
    <cellStyle name="Normal 262 2 7" xfId="22621" xr:uid="{00000000-0005-0000-0000-00005D580000}"/>
    <cellStyle name="Normal 262 3" xfId="22622" xr:uid="{00000000-0005-0000-0000-00005E580000}"/>
    <cellStyle name="Normal 262 3 2" xfId="22623" xr:uid="{00000000-0005-0000-0000-00005F580000}"/>
    <cellStyle name="Normal 262 3 2 2" xfId="22624" xr:uid="{00000000-0005-0000-0000-000060580000}"/>
    <cellStyle name="Normal 262 3 3" xfId="22625" xr:uid="{00000000-0005-0000-0000-000061580000}"/>
    <cellStyle name="Normal 262 3 3 2" xfId="22626" xr:uid="{00000000-0005-0000-0000-000062580000}"/>
    <cellStyle name="Normal 262 3 3 2 2" xfId="22627" xr:uid="{00000000-0005-0000-0000-000063580000}"/>
    <cellStyle name="Normal 262 3 3 3" xfId="22628" xr:uid="{00000000-0005-0000-0000-000064580000}"/>
    <cellStyle name="Normal 262 3 4" xfId="22629" xr:uid="{00000000-0005-0000-0000-000065580000}"/>
    <cellStyle name="Normal 262 3 4 2" xfId="22630" xr:uid="{00000000-0005-0000-0000-000066580000}"/>
    <cellStyle name="Normal 262 3 4 2 2" xfId="22631" xr:uid="{00000000-0005-0000-0000-000067580000}"/>
    <cellStyle name="Normal 262 3 4 3" xfId="22632" xr:uid="{00000000-0005-0000-0000-000068580000}"/>
    <cellStyle name="Normal 262 3 5" xfId="22633" xr:uid="{00000000-0005-0000-0000-000069580000}"/>
    <cellStyle name="Normal 262 4" xfId="22634" xr:uid="{00000000-0005-0000-0000-00006A580000}"/>
    <cellStyle name="Normal 262 4 2" xfId="22635" xr:uid="{00000000-0005-0000-0000-00006B580000}"/>
    <cellStyle name="Normal 262 4 2 2" xfId="22636" xr:uid="{00000000-0005-0000-0000-00006C580000}"/>
    <cellStyle name="Normal 262 4 2 2 2" xfId="22637" xr:uid="{00000000-0005-0000-0000-00006D580000}"/>
    <cellStyle name="Normal 262 4 2 3" xfId="22638" xr:uid="{00000000-0005-0000-0000-00006E580000}"/>
    <cellStyle name="Normal 262 4 2 3 2" xfId="22639" xr:uid="{00000000-0005-0000-0000-00006F580000}"/>
    <cellStyle name="Normal 262 4 2 3 2 2" xfId="22640" xr:uid="{00000000-0005-0000-0000-000070580000}"/>
    <cellStyle name="Normal 262 4 2 3 3" xfId="22641" xr:uid="{00000000-0005-0000-0000-000071580000}"/>
    <cellStyle name="Normal 262 4 2 4" xfId="22642" xr:uid="{00000000-0005-0000-0000-000072580000}"/>
    <cellStyle name="Normal 262 4 3" xfId="22643" xr:uid="{00000000-0005-0000-0000-000073580000}"/>
    <cellStyle name="Normal 262 4 3 2" xfId="22644" xr:uid="{00000000-0005-0000-0000-000074580000}"/>
    <cellStyle name="Normal 262 4 3 2 2" xfId="22645" xr:uid="{00000000-0005-0000-0000-000075580000}"/>
    <cellStyle name="Normal 262 4 3 3" xfId="22646" xr:uid="{00000000-0005-0000-0000-000076580000}"/>
    <cellStyle name="Normal 262 4 4" xfId="22647" xr:uid="{00000000-0005-0000-0000-000077580000}"/>
    <cellStyle name="Normal 262 4 4 2" xfId="22648" xr:uid="{00000000-0005-0000-0000-000078580000}"/>
    <cellStyle name="Normal 262 4 4 2 2" xfId="22649" xr:uid="{00000000-0005-0000-0000-000079580000}"/>
    <cellStyle name="Normal 262 4 4 3" xfId="22650" xr:uid="{00000000-0005-0000-0000-00007A580000}"/>
    <cellStyle name="Normal 262 4 5" xfId="22651" xr:uid="{00000000-0005-0000-0000-00007B580000}"/>
    <cellStyle name="Normal 262 4 5 2" xfId="22652" xr:uid="{00000000-0005-0000-0000-00007C580000}"/>
    <cellStyle name="Normal 262 4 5 2 2" xfId="22653" xr:uid="{00000000-0005-0000-0000-00007D580000}"/>
    <cellStyle name="Normal 262 4 5 3" xfId="22654" xr:uid="{00000000-0005-0000-0000-00007E580000}"/>
    <cellStyle name="Normal 262 4 6" xfId="22655" xr:uid="{00000000-0005-0000-0000-00007F580000}"/>
    <cellStyle name="Normal 262 5" xfId="22656" xr:uid="{00000000-0005-0000-0000-000080580000}"/>
    <cellStyle name="Normal 262 5 2" xfId="22657" xr:uid="{00000000-0005-0000-0000-000081580000}"/>
    <cellStyle name="Normal 262 5 2 2" xfId="22658" xr:uid="{00000000-0005-0000-0000-000082580000}"/>
    <cellStyle name="Normal 262 5 3" xfId="22659" xr:uid="{00000000-0005-0000-0000-000083580000}"/>
    <cellStyle name="Normal 262 6" xfId="22660" xr:uid="{00000000-0005-0000-0000-000084580000}"/>
    <cellStyle name="Normal 262 6 2" xfId="22661" xr:uid="{00000000-0005-0000-0000-000085580000}"/>
    <cellStyle name="Normal 262 6 2 2" xfId="22662" xr:uid="{00000000-0005-0000-0000-000086580000}"/>
    <cellStyle name="Normal 262 6 3" xfId="22663" xr:uid="{00000000-0005-0000-0000-000087580000}"/>
    <cellStyle name="Normal 262 7" xfId="22664" xr:uid="{00000000-0005-0000-0000-000088580000}"/>
    <cellStyle name="Normal 262 7 2" xfId="22665" xr:uid="{00000000-0005-0000-0000-000089580000}"/>
    <cellStyle name="Normal 262 7 2 2" xfId="22666" xr:uid="{00000000-0005-0000-0000-00008A580000}"/>
    <cellStyle name="Normal 262 7 3" xfId="22667" xr:uid="{00000000-0005-0000-0000-00008B580000}"/>
    <cellStyle name="Normal 262 8" xfId="22668" xr:uid="{00000000-0005-0000-0000-00008C580000}"/>
    <cellStyle name="Normal 263" xfId="22669" xr:uid="{00000000-0005-0000-0000-00008D580000}"/>
    <cellStyle name="Normal 263 2" xfId="22670" xr:uid="{00000000-0005-0000-0000-00008E580000}"/>
    <cellStyle name="Normal 263 2 2" xfId="22671" xr:uid="{00000000-0005-0000-0000-00008F580000}"/>
    <cellStyle name="Normal 263 2 2 2" xfId="22672" xr:uid="{00000000-0005-0000-0000-000090580000}"/>
    <cellStyle name="Normal 263 2 2 2 2" xfId="22673" xr:uid="{00000000-0005-0000-0000-000091580000}"/>
    <cellStyle name="Normal 263 2 2 3" xfId="22674" xr:uid="{00000000-0005-0000-0000-000092580000}"/>
    <cellStyle name="Normal 263 2 2 3 2" xfId="22675" xr:uid="{00000000-0005-0000-0000-000093580000}"/>
    <cellStyle name="Normal 263 2 2 3 2 2" xfId="22676" xr:uid="{00000000-0005-0000-0000-000094580000}"/>
    <cellStyle name="Normal 263 2 2 3 3" xfId="22677" xr:uid="{00000000-0005-0000-0000-000095580000}"/>
    <cellStyle name="Normal 263 2 2 4" xfId="22678" xr:uid="{00000000-0005-0000-0000-000096580000}"/>
    <cellStyle name="Normal 263 2 2 4 2" xfId="22679" xr:uid="{00000000-0005-0000-0000-000097580000}"/>
    <cellStyle name="Normal 263 2 2 4 2 2" xfId="22680" xr:uid="{00000000-0005-0000-0000-000098580000}"/>
    <cellStyle name="Normal 263 2 2 4 3" xfId="22681" xr:uid="{00000000-0005-0000-0000-000099580000}"/>
    <cellStyle name="Normal 263 2 2 5" xfId="22682" xr:uid="{00000000-0005-0000-0000-00009A580000}"/>
    <cellStyle name="Normal 263 2 3" xfId="22683" xr:uid="{00000000-0005-0000-0000-00009B580000}"/>
    <cellStyle name="Normal 263 2 3 2" xfId="22684" xr:uid="{00000000-0005-0000-0000-00009C580000}"/>
    <cellStyle name="Normal 263 2 3 2 2" xfId="22685" xr:uid="{00000000-0005-0000-0000-00009D580000}"/>
    <cellStyle name="Normal 263 2 3 2 2 2" xfId="22686" xr:uid="{00000000-0005-0000-0000-00009E580000}"/>
    <cellStyle name="Normal 263 2 3 2 3" xfId="22687" xr:uid="{00000000-0005-0000-0000-00009F580000}"/>
    <cellStyle name="Normal 263 2 3 2 3 2" xfId="22688" xr:uid="{00000000-0005-0000-0000-0000A0580000}"/>
    <cellStyle name="Normal 263 2 3 2 3 2 2" xfId="22689" xr:uid="{00000000-0005-0000-0000-0000A1580000}"/>
    <cellStyle name="Normal 263 2 3 2 3 3" xfId="22690" xr:uid="{00000000-0005-0000-0000-0000A2580000}"/>
    <cellStyle name="Normal 263 2 3 2 4" xfId="22691" xr:uid="{00000000-0005-0000-0000-0000A3580000}"/>
    <cellStyle name="Normal 263 2 3 3" xfId="22692" xr:uid="{00000000-0005-0000-0000-0000A4580000}"/>
    <cellStyle name="Normal 263 2 3 3 2" xfId="22693" xr:uid="{00000000-0005-0000-0000-0000A5580000}"/>
    <cellStyle name="Normal 263 2 3 3 2 2" xfId="22694" xr:uid="{00000000-0005-0000-0000-0000A6580000}"/>
    <cellStyle name="Normal 263 2 3 3 3" xfId="22695" xr:uid="{00000000-0005-0000-0000-0000A7580000}"/>
    <cellStyle name="Normal 263 2 3 4" xfId="22696" xr:uid="{00000000-0005-0000-0000-0000A8580000}"/>
    <cellStyle name="Normal 263 2 3 4 2" xfId="22697" xr:uid="{00000000-0005-0000-0000-0000A9580000}"/>
    <cellStyle name="Normal 263 2 3 4 2 2" xfId="22698" xr:uid="{00000000-0005-0000-0000-0000AA580000}"/>
    <cellStyle name="Normal 263 2 3 4 3" xfId="22699" xr:uid="{00000000-0005-0000-0000-0000AB580000}"/>
    <cellStyle name="Normal 263 2 3 5" xfId="22700" xr:uid="{00000000-0005-0000-0000-0000AC580000}"/>
    <cellStyle name="Normal 263 2 3 5 2" xfId="22701" xr:uid="{00000000-0005-0000-0000-0000AD580000}"/>
    <cellStyle name="Normal 263 2 3 5 2 2" xfId="22702" xr:uid="{00000000-0005-0000-0000-0000AE580000}"/>
    <cellStyle name="Normal 263 2 3 5 3" xfId="22703" xr:uid="{00000000-0005-0000-0000-0000AF580000}"/>
    <cellStyle name="Normal 263 2 3 6" xfId="22704" xr:uid="{00000000-0005-0000-0000-0000B0580000}"/>
    <cellStyle name="Normal 263 2 4" xfId="22705" xr:uid="{00000000-0005-0000-0000-0000B1580000}"/>
    <cellStyle name="Normal 263 2 4 2" xfId="22706" xr:uid="{00000000-0005-0000-0000-0000B2580000}"/>
    <cellStyle name="Normal 263 2 4 2 2" xfId="22707" xr:uid="{00000000-0005-0000-0000-0000B3580000}"/>
    <cellStyle name="Normal 263 2 4 3" xfId="22708" xr:uid="{00000000-0005-0000-0000-0000B4580000}"/>
    <cellStyle name="Normal 263 2 5" xfId="22709" xr:uid="{00000000-0005-0000-0000-0000B5580000}"/>
    <cellStyle name="Normal 263 2 5 2" xfId="22710" xr:uid="{00000000-0005-0000-0000-0000B6580000}"/>
    <cellStyle name="Normal 263 2 5 2 2" xfId="22711" xr:uid="{00000000-0005-0000-0000-0000B7580000}"/>
    <cellStyle name="Normal 263 2 5 3" xfId="22712" xr:uid="{00000000-0005-0000-0000-0000B8580000}"/>
    <cellStyle name="Normal 263 2 6" xfId="22713" xr:uid="{00000000-0005-0000-0000-0000B9580000}"/>
    <cellStyle name="Normal 263 2 6 2" xfId="22714" xr:uid="{00000000-0005-0000-0000-0000BA580000}"/>
    <cellStyle name="Normal 263 2 6 2 2" xfId="22715" xr:uid="{00000000-0005-0000-0000-0000BB580000}"/>
    <cellStyle name="Normal 263 2 6 3" xfId="22716" xr:uid="{00000000-0005-0000-0000-0000BC580000}"/>
    <cellStyle name="Normal 263 2 7" xfId="22717" xr:uid="{00000000-0005-0000-0000-0000BD580000}"/>
    <cellStyle name="Normal 263 3" xfId="22718" xr:uid="{00000000-0005-0000-0000-0000BE580000}"/>
    <cellStyle name="Normal 263 3 2" xfId="22719" xr:uid="{00000000-0005-0000-0000-0000BF580000}"/>
    <cellStyle name="Normal 263 3 2 2" xfId="22720" xr:uid="{00000000-0005-0000-0000-0000C0580000}"/>
    <cellStyle name="Normal 263 3 3" xfId="22721" xr:uid="{00000000-0005-0000-0000-0000C1580000}"/>
    <cellStyle name="Normal 263 3 3 2" xfId="22722" xr:uid="{00000000-0005-0000-0000-0000C2580000}"/>
    <cellStyle name="Normal 263 3 3 2 2" xfId="22723" xr:uid="{00000000-0005-0000-0000-0000C3580000}"/>
    <cellStyle name="Normal 263 3 3 3" xfId="22724" xr:uid="{00000000-0005-0000-0000-0000C4580000}"/>
    <cellStyle name="Normal 263 3 4" xfId="22725" xr:uid="{00000000-0005-0000-0000-0000C5580000}"/>
    <cellStyle name="Normal 263 3 4 2" xfId="22726" xr:uid="{00000000-0005-0000-0000-0000C6580000}"/>
    <cellStyle name="Normal 263 3 4 2 2" xfId="22727" xr:uid="{00000000-0005-0000-0000-0000C7580000}"/>
    <cellStyle name="Normal 263 3 4 3" xfId="22728" xr:uid="{00000000-0005-0000-0000-0000C8580000}"/>
    <cellStyle name="Normal 263 3 5" xfId="22729" xr:uid="{00000000-0005-0000-0000-0000C9580000}"/>
    <cellStyle name="Normal 263 4" xfId="22730" xr:uid="{00000000-0005-0000-0000-0000CA580000}"/>
    <cellStyle name="Normal 263 4 2" xfId="22731" xr:uid="{00000000-0005-0000-0000-0000CB580000}"/>
    <cellStyle name="Normal 263 4 2 2" xfId="22732" xr:uid="{00000000-0005-0000-0000-0000CC580000}"/>
    <cellStyle name="Normal 263 4 2 2 2" xfId="22733" xr:uid="{00000000-0005-0000-0000-0000CD580000}"/>
    <cellStyle name="Normal 263 4 2 3" xfId="22734" xr:uid="{00000000-0005-0000-0000-0000CE580000}"/>
    <cellStyle name="Normal 263 4 2 3 2" xfId="22735" xr:uid="{00000000-0005-0000-0000-0000CF580000}"/>
    <cellStyle name="Normal 263 4 2 3 2 2" xfId="22736" xr:uid="{00000000-0005-0000-0000-0000D0580000}"/>
    <cellStyle name="Normal 263 4 2 3 3" xfId="22737" xr:uid="{00000000-0005-0000-0000-0000D1580000}"/>
    <cellStyle name="Normal 263 4 2 4" xfId="22738" xr:uid="{00000000-0005-0000-0000-0000D2580000}"/>
    <cellStyle name="Normal 263 4 3" xfId="22739" xr:uid="{00000000-0005-0000-0000-0000D3580000}"/>
    <cellStyle name="Normal 263 4 3 2" xfId="22740" xr:uid="{00000000-0005-0000-0000-0000D4580000}"/>
    <cellStyle name="Normal 263 4 3 2 2" xfId="22741" xr:uid="{00000000-0005-0000-0000-0000D5580000}"/>
    <cellStyle name="Normal 263 4 3 3" xfId="22742" xr:uid="{00000000-0005-0000-0000-0000D6580000}"/>
    <cellStyle name="Normal 263 4 4" xfId="22743" xr:uid="{00000000-0005-0000-0000-0000D7580000}"/>
    <cellStyle name="Normal 263 4 4 2" xfId="22744" xr:uid="{00000000-0005-0000-0000-0000D8580000}"/>
    <cellStyle name="Normal 263 4 4 2 2" xfId="22745" xr:uid="{00000000-0005-0000-0000-0000D9580000}"/>
    <cellStyle name="Normal 263 4 4 3" xfId="22746" xr:uid="{00000000-0005-0000-0000-0000DA580000}"/>
    <cellStyle name="Normal 263 4 5" xfId="22747" xr:uid="{00000000-0005-0000-0000-0000DB580000}"/>
    <cellStyle name="Normal 263 4 5 2" xfId="22748" xr:uid="{00000000-0005-0000-0000-0000DC580000}"/>
    <cellStyle name="Normal 263 4 5 2 2" xfId="22749" xr:uid="{00000000-0005-0000-0000-0000DD580000}"/>
    <cellStyle name="Normal 263 4 5 3" xfId="22750" xr:uid="{00000000-0005-0000-0000-0000DE580000}"/>
    <cellStyle name="Normal 263 4 6" xfId="22751" xr:uid="{00000000-0005-0000-0000-0000DF580000}"/>
    <cellStyle name="Normal 263 5" xfId="22752" xr:uid="{00000000-0005-0000-0000-0000E0580000}"/>
    <cellStyle name="Normal 263 5 2" xfId="22753" xr:uid="{00000000-0005-0000-0000-0000E1580000}"/>
    <cellStyle name="Normal 263 5 2 2" xfId="22754" xr:uid="{00000000-0005-0000-0000-0000E2580000}"/>
    <cellStyle name="Normal 263 5 3" xfId="22755" xr:uid="{00000000-0005-0000-0000-0000E3580000}"/>
    <cellStyle name="Normal 263 6" xfId="22756" xr:uid="{00000000-0005-0000-0000-0000E4580000}"/>
    <cellStyle name="Normal 263 6 2" xfId="22757" xr:uid="{00000000-0005-0000-0000-0000E5580000}"/>
    <cellStyle name="Normal 263 6 2 2" xfId="22758" xr:uid="{00000000-0005-0000-0000-0000E6580000}"/>
    <cellStyle name="Normal 263 6 3" xfId="22759" xr:uid="{00000000-0005-0000-0000-0000E7580000}"/>
    <cellStyle name="Normal 263 7" xfId="22760" xr:uid="{00000000-0005-0000-0000-0000E8580000}"/>
    <cellStyle name="Normal 263 7 2" xfId="22761" xr:uid="{00000000-0005-0000-0000-0000E9580000}"/>
    <cellStyle name="Normal 263 7 2 2" xfId="22762" xr:uid="{00000000-0005-0000-0000-0000EA580000}"/>
    <cellStyle name="Normal 263 7 3" xfId="22763" xr:uid="{00000000-0005-0000-0000-0000EB580000}"/>
    <cellStyle name="Normal 263 8" xfId="22764" xr:uid="{00000000-0005-0000-0000-0000EC580000}"/>
    <cellStyle name="Normal 264" xfId="22765" xr:uid="{00000000-0005-0000-0000-0000ED580000}"/>
    <cellStyle name="Normal 264 2" xfId="22766" xr:uid="{00000000-0005-0000-0000-0000EE580000}"/>
    <cellStyle name="Normal 264 2 2" xfId="22767" xr:uid="{00000000-0005-0000-0000-0000EF580000}"/>
    <cellStyle name="Normal 264 2 2 2" xfId="22768" xr:uid="{00000000-0005-0000-0000-0000F0580000}"/>
    <cellStyle name="Normal 264 2 3" xfId="22769" xr:uid="{00000000-0005-0000-0000-0000F1580000}"/>
    <cellStyle name="Normal 264 2 3 2" xfId="22770" xr:uid="{00000000-0005-0000-0000-0000F2580000}"/>
    <cellStyle name="Normal 264 2 3 2 2" xfId="22771" xr:uid="{00000000-0005-0000-0000-0000F3580000}"/>
    <cellStyle name="Normal 264 2 3 3" xfId="22772" xr:uid="{00000000-0005-0000-0000-0000F4580000}"/>
    <cellStyle name="Normal 264 2 4" xfId="22773" xr:uid="{00000000-0005-0000-0000-0000F5580000}"/>
    <cellStyle name="Normal 264 2 4 2" xfId="22774" xr:uid="{00000000-0005-0000-0000-0000F6580000}"/>
    <cellStyle name="Normal 264 2 4 2 2" xfId="22775" xr:uid="{00000000-0005-0000-0000-0000F7580000}"/>
    <cellStyle name="Normal 264 2 4 3" xfId="22776" xr:uid="{00000000-0005-0000-0000-0000F8580000}"/>
    <cellStyle name="Normal 264 2 5" xfId="22777" xr:uid="{00000000-0005-0000-0000-0000F9580000}"/>
    <cellStyle name="Normal 264 3" xfId="22778" xr:uid="{00000000-0005-0000-0000-0000FA580000}"/>
    <cellStyle name="Normal 264 3 2" xfId="22779" xr:uid="{00000000-0005-0000-0000-0000FB580000}"/>
    <cellStyle name="Normal 264 3 2 2" xfId="22780" xr:uid="{00000000-0005-0000-0000-0000FC580000}"/>
    <cellStyle name="Normal 264 3 2 2 2" xfId="22781" xr:uid="{00000000-0005-0000-0000-0000FD580000}"/>
    <cellStyle name="Normal 264 3 2 3" xfId="22782" xr:uid="{00000000-0005-0000-0000-0000FE580000}"/>
    <cellStyle name="Normal 264 3 2 3 2" xfId="22783" xr:uid="{00000000-0005-0000-0000-0000FF580000}"/>
    <cellStyle name="Normal 264 3 2 3 2 2" xfId="22784" xr:uid="{00000000-0005-0000-0000-000000590000}"/>
    <cellStyle name="Normal 264 3 2 3 3" xfId="22785" xr:uid="{00000000-0005-0000-0000-000001590000}"/>
    <cellStyle name="Normal 264 3 2 4" xfId="22786" xr:uid="{00000000-0005-0000-0000-000002590000}"/>
    <cellStyle name="Normal 264 3 3" xfId="22787" xr:uid="{00000000-0005-0000-0000-000003590000}"/>
    <cellStyle name="Normal 264 3 3 2" xfId="22788" xr:uid="{00000000-0005-0000-0000-000004590000}"/>
    <cellStyle name="Normal 264 3 3 2 2" xfId="22789" xr:uid="{00000000-0005-0000-0000-000005590000}"/>
    <cellStyle name="Normal 264 3 3 3" xfId="22790" xr:uid="{00000000-0005-0000-0000-000006590000}"/>
    <cellStyle name="Normal 264 3 4" xfId="22791" xr:uid="{00000000-0005-0000-0000-000007590000}"/>
    <cellStyle name="Normal 264 3 4 2" xfId="22792" xr:uid="{00000000-0005-0000-0000-000008590000}"/>
    <cellStyle name="Normal 264 3 4 2 2" xfId="22793" xr:uid="{00000000-0005-0000-0000-000009590000}"/>
    <cellStyle name="Normal 264 3 4 3" xfId="22794" xr:uid="{00000000-0005-0000-0000-00000A590000}"/>
    <cellStyle name="Normal 264 3 5" xfId="22795" xr:uid="{00000000-0005-0000-0000-00000B590000}"/>
    <cellStyle name="Normal 264 3 5 2" xfId="22796" xr:uid="{00000000-0005-0000-0000-00000C590000}"/>
    <cellStyle name="Normal 264 3 5 2 2" xfId="22797" xr:uid="{00000000-0005-0000-0000-00000D590000}"/>
    <cellStyle name="Normal 264 3 5 3" xfId="22798" xr:uid="{00000000-0005-0000-0000-00000E590000}"/>
    <cellStyle name="Normal 264 3 6" xfId="22799" xr:uid="{00000000-0005-0000-0000-00000F590000}"/>
    <cellStyle name="Normal 264 4" xfId="22800" xr:uid="{00000000-0005-0000-0000-000010590000}"/>
    <cellStyle name="Normal 264 4 2" xfId="22801" xr:uid="{00000000-0005-0000-0000-000011590000}"/>
    <cellStyle name="Normal 264 4 2 2" xfId="22802" xr:uid="{00000000-0005-0000-0000-000012590000}"/>
    <cellStyle name="Normal 264 4 3" xfId="22803" xr:uid="{00000000-0005-0000-0000-000013590000}"/>
    <cellStyle name="Normal 264 5" xfId="22804" xr:uid="{00000000-0005-0000-0000-000014590000}"/>
    <cellStyle name="Normal 264 5 2" xfId="22805" xr:uid="{00000000-0005-0000-0000-000015590000}"/>
    <cellStyle name="Normal 264 5 2 2" xfId="22806" xr:uid="{00000000-0005-0000-0000-000016590000}"/>
    <cellStyle name="Normal 264 5 3" xfId="22807" xr:uid="{00000000-0005-0000-0000-000017590000}"/>
    <cellStyle name="Normal 264 6" xfId="22808" xr:uid="{00000000-0005-0000-0000-000018590000}"/>
    <cellStyle name="Normal 264 6 2" xfId="22809" xr:uid="{00000000-0005-0000-0000-000019590000}"/>
    <cellStyle name="Normal 264 6 2 2" xfId="22810" xr:uid="{00000000-0005-0000-0000-00001A590000}"/>
    <cellStyle name="Normal 264 6 3" xfId="22811" xr:uid="{00000000-0005-0000-0000-00001B590000}"/>
    <cellStyle name="Normal 264 7" xfId="22812" xr:uid="{00000000-0005-0000-0000-00001C590000}"/>
    <cellStyle name="Normal 265" xfId="22813" xr:uid="{00000000-0005-0000-0000-00001D590000}"/>
    <cellStyle name="Normal 265 2" xfId="22814" xr:uid="{00000000-0005-0000-0000-00001E590000}"/>
    <cellStyle name="Normal 265 2 2" xfId="22815" xr:uid="{00000000-0005-0000-0000-00001F590000}"/>
    <cellStyle name="Normal 265 2 2 2" xfId="22816" xr:uid="{00000000-0005-0000-0000-000020590000}"/>
    <cellStyle name="Normal 265 2 3" xfId="22817" xr:uid="{00000000-0005-0000-0000-000021590000}"/>
    <cellStyle name="Normal 265 2 3 2" xfId="22818" xr:uid="{00000000-0005-0000-0000-000022590000}"/>
    <cellStyle name="Normal 265 2 3 2 2" xfId="22819" xr:uid="{00000000-0005-0000-0000-000023590000}"/>
    <cellStyle name="Normal 265 2 3 3" xfId="22820" xr:uid="{00000000-0005-0000-0000-000024590000}"/>
    <cellStyle name="Normal 265 2 4" xfId="22821" xr:uid="{00000000-0005-0000-0000-000025590000}"/>
    <cellStyle name="Normal 265 2 4 2" xfId="22822" xr:uid="{00000000-0005-0000-0000-000026590000}"/>
    <cellStyle name="Normal 265 2 4 2 2" xfId="22823" xr:uid="{00000000-0005-0000-0000-000027590000}"/>
    <cellStyle name="Normal 265 2 4 3" xfId="22824" xr:uid="{00000000-0005-0000-0000-000028590000}"/>
    <cellStyle name="Normal 265 2 5" xfId="22825" xr:uid="{00000000-0005-0000-0000-000029590000}"/>
    <cellStyle name="Normal 265 3" xfId="22826" xr:uid="{00000000-0005-0000-0000-00002A590000}"/>
    <cellStyle name="Normal 265 3 2" xfId="22827" xr:uid="{00000000-0005-0000-0000-00002B590000}"/>
    <cellStyle name="Normal 265 3 2 2" xfId="22828" xr:uid="{00000000-0005-0000-0000-00002C590000}"/>
    <cellStyle name="Normal 265 3 2 2 2" xfId="22829" xr:uid="{00000000-0005-0000-0000-00002D590000}"/>
    <cellStyle name="Normal 265 3 2 3" xfId="22830" xr:uid="{00000000-0005-0000-0000-00002E590000}"/>
    <cellStyle name="Normal 265 3 2 3 2" xfId="22831" xr:uid="{00000000-0005-0000-0000-00002F590000}"/>
    <cellStyle name="Normal 265 3 2 3 2 2" xfId="22832" xr:uid="{00000000-0005-0000-0000-000030590000}"/>
    <cellStyle name="Normal 265 3 2 3 3" xfId="22833" xr:uid="{00000000-0005-0000-0000-000031590000}"/>
    <cellStyle name="Normal 265 3 2 4" xfId="22834" xr:uid="{00000000-0005-0000-0000-000032590000}"/>
    <cellStyle name="Normal 265 3 3" xfId="22835" xr:uid="{00000000-0005-0000-0000-000033590000}"/>
    <cellStyle name="Normal 265 3 3 2" xfId="22836" xr:uid="{00000000-0005-0000-0000-000034590000}"/>
    <cellStyle name="Normal 265 3 3 2 2" xfId="22837" xr:uid="{00000000-0005-0000-0000-000035590000}"/>
    <cellStyle name="Normal 265 3 3 3" xfId="22838" xr:uid="{00000000-0005-0000-0000-000036590000}"/>
    <cellStyle name="Normal 265 3 4" xfId="22839" xr:uid="{00000000-0005-0000-0000-000037590000}"/>
    <cellStyle name="Normal 265 3 4 2" xfId="22840" xr:uid="{00000000-0005-0000-0000-000038590000}"/>
    <cellStyle name="Normal 265 3 4 2 2" xfId="22841" xr:uid="{00000000-0005-0000-0000-000039590000}"/>
    <cellStyle name="Normal 265 3 4 3" xfId="22842" xr:uid="{00000000-0005-0000-0000-00003A590000}"/>
    <cellStyle name="Normal 265 3 5" xfId="22843" xr:uid="{00000000-0005-0000-0000-00003B590000}"/>
    <cellStyle name="Normal 265 3 5 2" xfId="22844" xr:uid="{00000000-0005-0000-0000-00003C590000}"/>
    <cellStyle name="Normal 265 3 5 2 2" xfId="22845" xr:uid="{00000000-0005-0000-0000-00003D590000}"/>
    <cellStyle name="Normal 265 3 5 3" xfId="22846" xr:uid="{00000000-0005-0000-0000-00003E590000}"/>
    <cellStyle name="Normal 265 3 6" xfId="22847" xr:uid="{00000000-0005-0000-0000-00003F590000}"/>
    <cellStyle name="Normal 265 4" xfId="22848" xr:uid="{00000000-0005-0000-0000-000040590000}"/>
    <cellStyle name="Normal 265 4 2" xfId="22849" xr:uid="{00000000-0005-0000-0000-000041590000}"/>
    <cellStyle name="Normal 265 4 2 2" xfId="22850" xr:uid="{00000000-0005-0000-0000-000042590000}"/>
    <cellStyle name="Normal 265 4 3" xfId="22851" xr:uid="{00000000-0005-0000-0000-000043590000}"/>
    <cellStyle name="Normal 265 5" xfId="22852" xr:uid="{00000000-0005-0000-0000-000044590000}"/>
    <cellStyle name="Normal 265 5 2" xfId="22853" xr:uid="{00000000-0005-0000-0000-000045590000}"/>
    <cellStyle name="Normal 265 5 2 2" xfId="22854" xr:uid="{00000000-0005-0000-0000-000046590000}"/>
    <cellStyle name="Normal 265 5 3" xfId="22855" xr:uid="{00000000-0005-0000-0000-000047590000}"/>
    <cellStyle name="Normal 265 6" xfId="22856" xr:uid="{00000000-0005-0000-0000-000048590000}"/>
    <cellStyle name="Normal 265 6 2" xfId="22857" xr:uid="{00000000-0005-0000-0000-000049590000}"/>
    <cellStyle name="Normal 265 6 2 2" xfId="22858" xr:uid="{00000000-0005-0000-0000-00004A590000}"/>
    <cellStyle name="Normal 265 6 3" xfId="22859" xr:uid="{00000000-0005-0000-0000-00004B590000}"/>
    <cellStyle name="Normal 265 7" xfId="22860" xr:uid="{00000000-0005-0000-0000-00004C590000}"/>
    <cellStyle name="Normal 266" xfId="22861" xr:uid="{00000000-0005-0000-0000-00004D590000}"/>
    <cellStyle name="Normal 266 2" xfId="22862" xr:uid="{00000000-0005-0000-0000-00004E590000}"/>
    <cellStyle name="Normal 266 2 2" xfId="22863" xr:uid="{00000000-0005-0000-0000-00004F590000}"/>
    <cellStyle name="Normal 266 2 2 2" xfId="22864" xr:uid="{00000000-0005-0000-0000-000050590000}"/>
    <cellStyle name="Normal 266 2 3" xfId="22865" xr:uid="{00000000-0005-0000-0000-000051590000}"/>
    <cellStyle name="Normal 266 2 3 2" xfId="22866" xr:uid="{00000000-0005-0000-0000-000052590000}"/>
    <cellStyle name="Normal 266 2 3 2 2" xfId="22867" xr:uid="{00000000-0005-0000-0000-000053590000}"/>
    <cellStyle name="Normal 266 2 3 3" xfId="22868" xr:uid="{00000000-0005-0000-0000-000054590000}"/>
    <cellStyle name="Normal 266 2 4" xfId="22869" xr:uid="{00000000-0005-0000-0000-000055590000}"/>
    <cellStyle name="Normal 266 2 4 2" xfId="22870" xr:uid="{00000000-0005-0000-0000-000056590000}"/>
    <cellStyle name="Normal 266 2 4 2 2" xfId="22871" xr:uid="{00000000-0005-0000-0000-000057590000}"/>
    <cellStyle name="Normal 266 2 4 3" xfId="22872" xr:uid="{00000000-0005-0000-0000-000058590000}"/>
    <cellStyle name="Normal 266 2 5" xfId="22873" xr:uid="{00000000-0005-0000-0000-000059590000}"/>
    <cellStyle name="Normal 266 3" xfId="22874" xr:uid="{00000000-0005-0000-0000-00005A590000}"/>
    <cellStyle name="Normal 266 3 2" xfId="22875" xr:uid="{00000000-0005-0000-0000-00005B590000}"/>
    <cellStyle name="Normal 266 3 2 2" xfId="22876" xr:uid="{00000000-0005-0000-0000-00005C590000}"/>
    <cellStyle name="Normal 266 3 2 2 2" xfId="22877" xr:uid="{00000000-0005-0000-0000-00005D590000}"/>
    <cellStyle name="Normal 266 3 2 3" xfId="22878" xr:uid="{00000000-0005-0000-0000-00005E590000}"/>
    <cellStyle name="Normal 266 3 2 3 2" xfId="22879" xr:uid="{00000000-0005-0000-0000-00005F590000}"/>
    <cellStyle name="Normal 266 3 2 3 2 2" xfId="22880" xr:uid="{00000000-0005-0000-0000-000060590000}"/>
    <cellStyle name="Normal 266 3 2 3 3" xfId="22881" xr:uid="{00000000-0005-0000-0000-000061590000}"/>
    <cellStyle name="Normal 266 3 2 4" xfId="22882" xr:uid="{00000000-0005-0000-0000-000062590000}"/>
    <cellStyle name="Normal 266 3 3" xfId="22883" xr:uid="{00000000-0005-0000-0000-000063590000}"/>
    <cellStyle name="Normal 266 3 3 2" xfId="22884" xr:uid="{00000000-0005-0000-0000-000064590000}"/>
    <cellStyle name="Normal 266 3 3 2 2" xfId="22885" xr:uid="{00000000-0005-0000-0000-000065590000}"/>
    <cellStyle name="Normal 266 3 3 3" xfId="22886" xr:uid="{00000000-0005-0000-0000-000066590000}"/>
    <cellStyle name="Normal 266 3 4" xfId="22887" xr:uid="{00000000-0005-0000-0000-000067590000}"/>
    <cellStyle name="Normal 266 3 4 2" xfId="22888" xr:uid="{00000000-0005-0000-0000-000068590000}"/>
    <cellStyle name="Normal 266 3 4 2 2" xfId="22889" xr:uid="{00000000-0005-0000-0000-000069590000}"/>
    <cellStyle name="Normal 266 3 4 3" xfId="22890" xr:uid="{00000000-0005-0000-0000-00006A590000}"/>
    <cellStyle name="Normal 266 3 5" xfId="22891" xr:uid="{00000000-0005-0000-0000-00006B590000}"/>
    <cellStyle name="Normal 266 3 5 2" xfId="22892" xr:uid="{00000000-0005-0000-0000-00006C590000}"/>
    <cellStyle name="Normal 266 3 5 2 2" xfId="22893" xr:uid="{00000000-0005-0000-0000-00006D590000}"/>
    <cellStyle name="Normal 266 3 5 3" xfId="22894" xr:uid="{00000000-0005-0000-0000-00006E590000}"/>
    <cellStyle name="Normal 266 3 6" xfId="22895" xr:uid="{00000000-0005-0000-0000-00006F590000}"/>
    <cellStyle name="Normal 266 4" xfId="22896" xr:uid="{00000000-0005-0000-0000-000070590000}"/>
    <cellStyle name="Normal 266 4 2" xfId="22897" xr:uid="{00000000-0005-0000-0000-000071590000}"/>
    <cellStyle name="Normal 266 4 2 2" xfId="22898" xr:uid="{00000000-0005-0000-0000-000072590000}"/>
    <cellStyle name="Normal 266 4 3" xfId="22899" xr:uid="{00000000-0005-0000-0000-000073590000}"/>
    <cellStyle name="Normal 266 5" xfId="22900" xr:uid="{00000000-0005-0000-0000-000074590000}"/>
    <cellStyle name="Normal 266 5 2" xfId="22901" xr:uid="{00000000-0005-0000-0000-000075590000}"/>
    <cellStyle name="Normal 266 5 2 2" xfId="22902" xr:uid="{00000000-0005-0000-0000-000076590000}"/>
    <cellStyle name="Normal 266 5 3" xfId="22903" xr:uid="{00000000-0005-0000-0000-000077590000}"/>
    <cellStyle name="Normal 266 6" xfId="22904" xr:uid="{00000000-0005-0000-0000-000078590000}"/>
    <cellStyle name="Normal 266 6 2" xfId="22905" xr:uid="{00000000-0005-0000-0000-000079590000}"/>
    <cellStyle name="Normal 266 6 2 2" xfId="22906" xr:uid="{00000000-0005-0000-0000-00007A590000}"/>
    <cellStyle name="Normal 266 6 3" xfId="22907" xr:uid="{00000000-0005-0000-0000-00007B590000}"/>
    <cellStyle name="Normal 266 7" xfId="22908" xr:uid="{00000000-0005-0000-0000-00007C590000}"/>
    <cellStyle name="Normal 267" xfId="22909" xr:uid="{00000000-0005-0000-0000-00007D590000}"/>
    <cellStyle name="Normal 267 2" xfId="22910" xr:uid="{00000000-0005-0000-0000-00007E590000}"/>
    <cellStyle name="Normal 267 2 2" xfId="22911" xr:uid="{00000000-0005-0000-0000-00007F590000}"/>
    <cellStyle name="Normal 267 2 2 2" xfId="22912" xr:uid="{00000000-0005-0000-0000-000080590000}"/>
    <cellStyle name="Normal 267 2 3" xfId="22913" xr:uid="{00000000-0005-0000-0000-000081590000}"/>
    <cellStyle name="Normal 267 2 3 2" xfId="22914" xr:uid="{00000000-0005-0000-0000-000082590000}"/>
    <cellStyle name="Normal 267 2 3 2 2" xfId="22915" xr:uid="{00000000-0005-0000-0000-000083590000}"/>
    <cellStyle name="Normal 267 2 3 3" xfId="22916" xr:uid="{00000000-0005-0000-0000-000084590000}"/>
    <cellStyle name="Normal 267 2 4" xfId="22917" xr:uid="{00000000-0005-0000-0000-000085590000}"/>
    <cellStyle name="Normal 267 2 4 2" xfId="22918" xr:uid="{00000000-0005-0000-0000-000086590000}"/>
    <cellStyle name="Normal 267 2 4 2 2" xfId="22919" xr:uid="{00000000-0005-0000-0000-000087590000}"/>
    <cellStyle name="Normal 267 2 4 3" xfId="22920" xr:uid="{00000000-0005-0000-0000-000088590000}"/>
    <cellStyle name="Normal 267 2 5" xfId="22921" xr:uid="{00000000-0005-0000-0000-000089590000}"/>
    <cellStyle name="Normal 267 3" xfId="22922" xr:uid="{00000000-0005-0000-0000-00008A590000}"/>
    <cellStyle name="Normal 267 3 2" xfId="22923" xr:uid="{00000000-0005-0000-0000-00008B590000}"/>
    <cellStyle name="Normal 267 3 2 2" xfId="22924" xr:uid="{00000000-0005-0000-0000-00008C590000}"/>
    <cellStyle name="Normal 267 3 2 2 2" xfId="22925" xr:uid="{00000000-0005-0000-0000-00008D590000}"/>
    <cellStyle name="Normal 267 3 2 3" xfId="22926" xr:uid="{00000000-0005-0000-0000-00008E590000}"/>
    <cellStyle name="Normal 267 3 2 3 2" xfId="22927" xr:uid="{00000000-0005-0000-0000-00008F590000}"/>
    <cellStyle name="Normal 267 3 2 3 2 2" xfId="22928" xr:uid="{00000000-0005-0000-0000-000090590000}"/>
    <cellStyle name="Normal 267 3 2 3 3" xfId="22929" xr:uid="{00000000-0005-0000-0000-000091590000}"/>
    <cellStyle name="Normal 267 3 2 4" xfId="22930" xr:uid="{00000000-0005-0000-0000-000092590000}"/>
    <cellStyle name="Normal 267 3 3" xfId="22931" xr:uid="{00000000-0005-0000-0000-000093590000}"/>
    <cellStyle name="Normal 267 3 3 2" xfId="22932" xr:uid="{00000000-0005-0000-0000-000094590000}"/>
    <cellStyle name="Normal 267 3 3 2 2" xfId="22933" xr:uid="{00000000-0005-0000-0000-000095590000}"/>
    <cellStyle name="Normal 267 3 3 3" xfId="22934" xr:uid="{00000000-0005-0000-0000-000096590000}"/>
    <cellStyle name="Normal 267 3 4" xfId="22935" xr:uid="{00000000-0005-0000-0000-000097590000}"/>
    <cellStyle name="Normal 267 3 4 2" xfId="22936" xr:uid="{00000000-0005-0000-0000-000098590000}"/>
    <cellStyle name="Normal 267 3 4 2 2" xfId="22937" xr:uid="{00000000-0005-0000-0000-000099590000}"/>
    <cellStyle name="Normal 267 3 4 3" xfId="22938" xr:uid="{00000000-0005-0000-0000-00009A590000}"/>
    <cellStyle name="Normal 267 3 5" xfId="22939" xr:uid="{00000000-0005-0000-0000-00009B590000}"/>
    <cellStyle name="Normal 267 3 5 2" xfId="22940" xr:uid="{00000000-0005-0000-0000-00009C590000}"/>
    <cellStyle name="Normal 267 3 5 2 2" xfId="22941" xr:uid="{00000000-0005-0000-0000-00009D590000}"/>
    <cellStyle name="Normal 267 3 5 3" xfId="22942" xr:uid="{00000000-0005-0000-0000-00009E590000}"/>
    <cellStyle name="Normal 267 3 6" xfId="22943" xr:uid="{00000000-0005-0000-0000-00009F590000}"/>
    <cellStyle name="Normal 267 4" xfId="22944" xr:uid="{00000000-0005-0000-0000-0000A0590000}"/>
    <cellStyle name="Normal 267 4 2" xfId="22945" xr:uid="{00000000-0005-0000-0000-0000A1590000}"/>
    <cellStyle name="Normal 267 4 2 2" xfId="22946" xr:uid="{00000000-0005-0000-0000-0000A2590000}"/>
    <cellStyle name="Normal 267 4 3" xfId="22947" xr:uid="{00000000-0005-0000-0000-0000A3590000}"/>
    <cellStyle name="Normal 267 5" xfId="22948" xr:uid="{00000000-0005-0000-0000-0000A4590000}"/>
    <cellStyle name="Normal 267 5 2" xfId="22949" xr:uid="{00000000-0005-0000-0000-0000A5590000}"/>
    <cellStyle name="Normal 267 5 2 2" xfId="22950" xr:uid="{00000000-0005-0000-0000-0000A6590000}"/>
    <cellStyle name="Normal 267 5 3" xfId="22951" xr:uid="{00000000-0005-0000-0000-0000A7590000}"/>
    <cellStyle name="Normal 267 6" xfId="22952" xr:uid="{00000000-0005-0000-0000-0000A8590000}"/>
    <cellStyle name="Normal 267 6 2" xfId="22953" xr:uid="{00000000-0005-0000-0000-0000A9590000}"/>
    <cellStyle name="Normal 267 6 2 2" xfId="22954" xr:uid="{00000000-0005-0000-0000-0000AA590000}"/>
    <cellStyle name="Normal 267 6 3" xfId="22955" xr:uid="{00000000-0005-0000-0000-0000AB590000}"/>
    <cellStyle name="Normal 267 7" xfId="22956" xr:uid="{00000000-0005-0000-0000-0000AC590000}"/>
    <cellStyle name="Normal 268" xfId="22957" xr:uid="{00000000-0005-0000-0000-0000AD590000}"/>
    <cellStyle name="Normal 268 2" xfId="22958" xr:uid="{00000000-0005-0000-0000-0000AE590000}"/>
    <cellStyle name="Normal 268 2 2" xfId="22959" xr:uid="{00000000-0005-0000-0000-0000AF590000}"/>
    <cellStyle name="Normal 268 2 2 2" xfId="22960" xr:uid="{00000000-0005-0000-0000-0000B0590000}"/>
    <cellStyle name="Normal 268 2 3" xfId="22961" xr:uid="{00000000-0005-0000-0000-0000B1590000}"/>
    <cellStyle name="Normal 268 2 3 2" xfId="22962" xr:uid="{00000000-0005-0000-0000-0000B2590000}"/>
    <cellStyle name="Normal 268 2 3 2 2" xfId="22963" xr:uid="{00000000-0005-0000-0000-0000B3590000}"/>
    <cellStyle name="Normal 268 2 3 3" xfId="22964" xr:uid="{00000000-0005-0000-0000-0000B4590000}"/>
    <cellStyle name="Normal 268 2 4" xfId="22965" xr:uid="{00000000-0005-0000-0000-0000B5590000}"/>
    <cellStyle name="Normal 268 2 4 2" xfId="22966" xr:uid="{00000000-0005-0000-0000-0000B6590000}"/>
    <cellStyle name="Normal 268 2 4 2 2" xfId="22967" xr:uid="{00000000-0005-0000-0000-0000B7590000}"/>
    <cellStyle name="Normal 268 2 4 3" xfId="22968" xr:uid="{00000000-0005-0000-0000-0000B8590000}"/>
    <cellStyle name="Normal 268 2 5" xfId="22969" xr:uid="{00000000-0005-0000-0000-0000B9590000}"/>
    <cellStyle name="Normal 268 3" xfId="22970" xr:uid="{00000000-0005-0000-0000-0000BA590000}"/>
    <cellStyle name="Normal 268 3 2" xfId="22971" xr:uid="{00000000-0005-0000-0000-0000BB590000}"/>
    <cellStyle name="Normal 268 3 2 2" xfId="22972" xr:uid="{00000000-0005-0000-0000-0000BC590000}"/>
    <cellStyle name="Normal 268 3 2 2 2" xfId="22973" xr:uid="{00000000-0005-0000-0000-0000BD590000}"/>
    <cellStyle name="Normal 268 3 2 3" xfId="22974" xr:uid="{00000000-0005-0000-0000-0000BE590000}"/>
    <cellStyle name="Normal 268 3 2 3 2" xfId="22975" xr:uid="{00000000-0005-0000-0000-0000BF590000}"/>
    <cellStyle name="Normal 268 3 2 3 2 2" xfId="22976" xr:uid="{00000000-0005-0000-0000-0000C0590000}"/>
    <cellStyle name="Normal 268 3 2 3 3" xfId="22977" xr:uid="{00000000-0005-0000-0000-0000C1590000}"/>
    <cellStyle name="Normal 268 3 2 4" xfId="22978" xr:uid="{00000000-0005-0000-0000-0000C2590000}"/>
    <cellStyle name="Normal 268 3 3" xfId="22979" xr:uid="{00000000-0005-0000-0000-0000C3590000}"/>
    <cellStyle name="Normal 268 3 3 2" xfId="22980" xr:uid="{00000000-0005-0000-0000-0000C4590000}"/>
    <cellStyle name="Normal 268 3 3 2 2" xfId="22981" xr:uid="{00000000-0005-0000-0000-0000C5590000}"/>
    <cellStyle name="Normal 268 3 3 3" xfId="22982" xr:uid="{00000000-0005-0000-0000-0000C6590000}"/>
    <cellStyle name="Normal 268 3 4" xfId="22983" xr:uid="{00000000-0005-0000-0000-0000C7590000}"/>
    <cellStyle name="Normal 268 3 4 2" xfId="22984" xr:uid="{00000000-0005-0000-0000-0000C8590000}"/>
    <cellStyle name="Normal 268 3 4 2 2" xfId="22985" xr:uid="{00000000-0005-0000-0000-0000C9590000}"/>
    <cellStyle name="Normal 268 3 4 3" xfId="22986" xr:uid="{00000000-0005-0000-0000-0000CA590000}"/>
    <cellStyle name="Normal 268 3 5" xfId="22987" xr:uid="{00000000-0005-0000-0000-0000CB590000}"/>
    <cellStyle name="Normal 268 3 5 2" xfId="22988" xr:uid="{00000000-0005-0000-0000-0000CC590000}"/>
    <cellStyle name="Normal 268 3 5 2 2" xfId="22989" xr:uid="{00000000-0005-0000-0000-0000CD590000}"/>
    <cellStyle name="Normal 268 3 5 3" xfId="22990" xr:uid="{00000000-0005-0000-0000-0000CE590000}"/>
    <cellStyle name="Normal 268 3 6" xfId="22991" xr:uid="{00000000-0005-0000-0000-0000CF590000}"/>
    <cellStyle name="Normal 268 4" xfId="22992" xr:uid="{00000000-0005-0000-0000-0000D0590000}"/>
    <cellStyle name="Normal 268 4 2" xfId="22993" xr:uid="{00000000-0005-0000-0000-0000D1590000}"/>
    <cellStyle name="Normal 268 4 2 2" xfId="22994" xr:uid="{00000000-0005-0000-0000-0000D2590000}"/>
    <cellStyle name="Normal 268 4 3" xfId="22995" xr:uid="{00000000-0005-0000-0000-0000D3590000}"/>
    <cellStyle name="Normal 268 5" xfId="22996" xr:uid="{00000000-0005-0000-0000-0000D4590000}"/>
    <cellStyle name="Normal 268 5 2" xfId="22997" xr:uid="{00000000-0005-0000-0000-0000D5590000}"/>
    <cellStyle name="Normal 268 5 2 2" xfId="22998" xr:uid="{00000000-0005-0000-0000-0000D6590000}"/>
    <cellStyle name="Normal 268 5 3" xfId="22999" xr:uid="{00000000-0005-0000-0000-0000D7590000}"/>
    <cellStyle name="Normal 268 6" xfId="23000" xr:uid="{00000000-0005-0000-0000-0000D8590000}"/>
    <cellStyle name="Normal 268 6 2" xfId="23001" xr:uid="{00000000-0005-0000-0000-0000D9590000}"/>
    <cellStyle name="Normal 268 6 2 2" xfId="23002" xr:uid="{00000000-0005-0000-0000-0000DA590000}"/>
    <cellStyle name="Normal 268 6 3" xfId="23003" xr:uid="{00000000-0005-0000-0000-0000DB590000}"/>
    <cellStyle name="Normal 268 7" xfId="23004" xr:uid="{00000000-0005-0000-0000-0000DC590000}"/>
    <cellStyle name="Normal 269" xfId="23005" xr:uid="{00000000-0005-0000-0000-0000DD590000}"/>
    <cellStyle name="Normal 269 2" xfId="23006" xr:uid="{00000000-0005-0000-0000-0000DE590000}"/>
    <cellStyle name="Normal 269 2 2" xfId="23007" xr:uid="{00000000-0005-0000-0000-0000DF590000}"/>
    <cellStyle name="Normal 269 2 2 2" xfId="23008" xr:uid="{00000000-0005-0000-0000-0000E0590000}"/>
    <cellStyle name="Normal 269 2 3" xfId="23009" xr:uid="{00000000-0005-0000-0000-0000E1590000}"/>
    <cellStyle name="Normal 269 2 3 2" xfId="23010" xr:uid="{00000000-0005-0000-0000-0000E2590000}"/>
    <cellStyle name="Normal 269 2 3 2 2" xfId="23011" xr:uid="{00000000-0005-0000-0000-0000E3590000}"/>
    <cellStyle name="Normal 269 2 3 3" xfId="23012" xr:uid="{00000000-0005-0000-0000-0000E4590000}"/>
    <cellStyle name="Normal 269 2 4" xfId="23013" xr:uid="{00000000-0005-0000-0000-0000E5590000}"/>
    <cellStyle name="Normal 269 2 4 2" xfId="23014" xr:uid="{00000000-0005-0000-0000-0000E6590000}"/>
    <cellStyle name="Normal 269 2 4 2 2" xfId="23015" xr:uid="{00000000-0005-0000-0000-0000E7590000}"/>
    <cellStyle name="Normal 269 2 4 3" xfId="23016" xr:uid="{00000000-0005-0000-0000-0000E8590000}"/>
    <cellStyle name="Normal 269 2 5" xfId="23017" xr:uid="{00000000-0005-0000-0000-0000E9590000}"/>
    <cellStyle name="Normal 269 3" xfId="23018" xr:uid="{00000000-0005-0000-0000-0000EA590000}"/>
    <cellStyle name="Normal 269 3 2" xfId="23019" xr:uid="{00000000-0005-0000-0000-0000EB590000}"/>
    <cellStyle name="Normal 269 3 2 2" xfId="23020" xr:uid="{00000000-0005-0000-0000-0000EC590000}"/>
    <cellStyle name="Normal 269 3 2 2 2" xfId="23021" xr:uid="{00000000-0005-0000-0000-0000ED590000}"/>
    <cellStyle name="Normal 269 3 2 3" xfId="23022" xr:uid="{00000000-0005-0000-0000-0000EE590000}"/>
    <cellStyle name="Normal 269 3 2 3 2" xfId="23023" xr:uid="{00000000-0005-0000-0000-0000EF590000}"/>
    <cellStyle name="Normal 269 3 2 3 2 2" xfId="23024" xr:uid="{00000000-0005-0000-0000-0000F0590000}"/>
    <cellStyle name="Normal 269 3 2 3 3" xfId="23025" xr:uid="{00000000-0005-0000-0000-0000F1590000}"/>
    <cellStyle name="Normal 269 3 2 4" xfId="23026" xr:uid="{00000000-0005-0000-0000-0000F2590000}"/>
    <cellStyle name="Normal 269 3 3" xfId="23027" xr:uid="{00000000-0005-0000-0000-0000F3590000}"/>
    <cellStyle name="Normal 269 3 3 2" xfId="23028" xr:uid="{00000000-0005-0000-0000-0000F4590000}"/>
    <cellStyle name="Normal 269 3 3 2 2" xfId="23029" xr:uid="{00000000-0005-0000-0000-0000F5590000}"/>
    <cellStyle name="Normal 269 3 3 3" xfId="23030" xr:uid="{00000000-0005-0000-0000-0000F6590000}"/>
    <cellStyle name="Normal 269 3 4" xfId="23031" xr:uid="{00000000-0005-0000-0000-0000F7590000}"/>
    <cellStyle name="Normal 269 3 4 2" xfId="23032" xr:uid="{00000000-0005-0000-0000-0000F8590000}"/>
    <cellStyle name="Normal 269 3 4 2 2" xfId="23033" xr:uid="{00000000-0005-0000-0000-0000F9590000}"/>
    <cellStyle name="Normal 269 3 4 3" xfId="23034" xr:uid="{00000000-0005-0000-0000-0000FA590000}"/>
    <cellStyle name="Normal 269 3 5" xfId="23035" xr:uid="{00000000-0005-0000-0000-0000FB590000}"/>
    <cellStyle name="Normal 269 3 5 2" xfId="23036" xr:uid="{00000000-0005-0000-0000-0000FC590000}"/>
    <cellStyle name="Normal 269 3 5 2 2" xfId="23037" xr:uid="{00000000-0005-0000-0000-0000FD590000}"/>
    <cellStyle name="Normal 269 3 5 3" xfId="23038" xr:uid="{00000000-0005-0000-0000-0000FE590000}"/>
    <cellStyle name="Normal 269 3 6" xfId="23039" xr:uid="{00000000-0005-0000-0000-0000FF590000}"/>
    <cellStyle name="Normal 269 4" xfId="23040" xr:uid="{00000000-0005-0000-0000-0000005A0000}"/>
    <cellStyle name="Normal 269 4 2" xfId="23041" xr:uid="{00000000-0005-0000-0000-0000015A0000}"/>
    <cellStyle name="Normal 269 4 2 2" xfId="23042" xr:uid="{00000000-0005-0000-0000-0000025A0000}"/>
    <cellStyle name="Normal 269 4 3" xfId="23043" xr:uid="{00000000-0005-0000-0000-0000035A0000}"/>
    <cellStyle name="Normal 269 5" xfId="23044" xr:uid="{00000000-0005-0000-0000-0000045A0000}"/>
    <cellStyle name="Normal 269 5 2" xfId="23045" xr:uid="{00000000-0005-0000-0000-0000055A0000}"/>
    <cellStyle name="Normal 269 5 2 2" xfId="23046" xr:uid="{00000000-0005-0000-0000-0000065A0000}"/>
    <cellStyle name="Normal 269 5 3" xfId="23047" xr:uid="{00000000-0005-0000-0000-0000075A0000}"/>
    <cellStyle name="Normal 269 6" xfId="23048" xr:uid="{00000000-0005-0000-0000-0000085A0000}"/>
    <cellStyle name="Normal 269 6 2" xfId="23049" xr:uid="{00000000-0005-0000-0000-0000095A0000}"/>
    <cellStyle name="Normal 269 6 2 2" xfId="23050" xr:uid="{00000000-0005-0000-0000-00000A5A0000}"/>
    <cellStyle name="Normal 269 6 3" xfId="23051" xr:uid="{00000000-0005-0000-0000-00000B5A0000}"/>
    <cellStyle name="Normal 269 7" xfId="23052" xr:uid="{00000000-0005-0000-0000-00000C5A0000}"/>
    <cellStyle name="Normal 27" xfId="23053" xr:uid="{00000000-0005-0000-0000-00000D5A0000}"/>
    <cellStyle name="Normal 27 2" xfId="23054" xr:uid="{00000000-0005-0000-0000-00000E5A0000}"/>
    <cellStyle name="Normal 27 2 2" xfId="23055" xr:uid="{00000000-0005-0000-0000-00000F5A0000}"/>
    <cellStyle name="Normal 27 2 2 2" xfId="23056" xr:uid="{00000000-0005-0000-0000-0000105A0000}"/>
    <cellStyle name="Normal 27 2 2 2 2" xfId="23057" xr:uid="{00000000-0005-0000-0000-0000115A0000}"/>
    <cellStyle name="Normal 27 2 2 3" xfId="23058" xr:uid="{00000000-0005-0000-0000-0000125A0000}"/>
    <cellStyle name="Normal 27 2 2 3 2" xfId="23059" xr:uid="{00000000-0005-0000-0000-0000135A0000}"/>
    <cellStyle name="Normal 27 2 2 3 2 2" xfId="23060" xr:uid="{00000000-0005-0000-0000-0000145A0000}"/>
    <cellStyle name="Normal 27 2 2 3 3" xfId="23061" xr:uid="{00000000-0005-0000-0000-0000155A0000}"/>
    <cellStyle name="Normal 27 2 2 4" xfId="23062" xr:uid="{00000000-0005-0000-0000-0000165A0000}"/>
    <cellStyle name="Normal 27 2 2 4 2" xfId="23063" xr:uid="{00000000-0005-0000-0000-0000175A0000}"/>
    <cellStyle name="Normal 27 2 2 4 2 2" xfId="23064" xr:uid="{00000000-0005-0000-0000-0000185A0000}"/>
    <cellStyle name="Normal 27 2 2 4 3" xfId="23065" xr:uid="{00000000-0005-0000-0000-0000195A0000}"/>
    <cellStyle name="Normal 27 2 2 5" xfId="23066" xr:uid="{00000000-0005-0000-0000-00001A5A0000}"/>
    <cellStyle name="Normal 27 2 3" xfId="23067" xr:uid="{00000000-0005-0000-0000-00001B5A0000}"/>
    <cellStyle name="Normal 27 2 3 2" xfId="23068" xr:uid="{00000000-0005-0000-0000-00001C5A0000}"/>
    <cellStyle name="Normal 27 2 3 2 2" xfId="23069" xr:uid="{00000000-0005-0000-0000-00001D5A0000}"/>
    <cellStyle name="Normal 27 2 3 3" xfId="23070" xr:uid="{00000000-0005-0000-0000-00001E5A0000}"/>
    <cellStyle name="Normal 27 2 4" xfId="23071" xr:uid="{00000000-0005-0000-0000-00001F5A0000}"/>
    <cellStyle name="Normal 27 2 4 2" xfId="23072" xr:uid="{00000000-0005-0000-0000-0000205A0000}"/>
    <cellStyle name="Normal 27 2 4 2 2" xfId="23073" xr:uid="{00000000-0005-0000-0000-0000215A0000}"/>
    <cellStyle name="Normal 27 2 4 3" xfId="23074" xr:uid="{00000000-0005-0000-0000-0000225A0000}"/>
    <cellStyle name="Normal 27 2 5" xfId="23075" xr:uid="{00000000-0005-0000-0000-0000235A0000}"/>
    <cellStyle name="Normal 27 2 5 2" xfId="23076" xr:uid="{00000000-0005-0000-0000-0000245A0000}"/>
    <cellStyle name="Normal 27 2 5 2 2" xfId="23077" xr:uid="{00000000-0005-0000-0000-0000255A0000}"/>
    <cellStyle name="Normal 27 2 5 3" xfId="23078" xr:uid="{00000000-0005-0000-0000-0000265A0000}"/>
    <cellStyle name="Normal 27 2 6" xfId="23079" xr:uid="{00000000-0005-0000-0000-0000275A0000}"/>
    <cellStyle name="Normal 27 3" xfId="23080" xr:uid="{00000000-0005-0000-0000-0000285A0000}"/>
    <cellStyle name="Normal 27 3 2" xfId="23081" xr:uid="{00000000-0005-0000-0000-0000295A0000}"/>
    <cellStyle name="Normal 27 3 2 2" xfId="23082" xr:uid="{00000000-0005-0000-0000-00002A5A0000}"/>
    <cellStyle name="Normal 27 3 3" xfId="23083" xr:uid="{00000000-0005-0000-0000-00002B5A0000}"/>
    <cellStyle name="Normal 27 3 3 2" xfId="23084" xr:uid="{00000000-0005-0000-0000-00002C5A0000}"/>
    <cellStyle name="Normal 27 3 3 2 2" xfId="23085" xr:uid="{00000000-0005-0000-0000-00002D5A0000}"/>
    <cellStyle name="Normal 27 3 3 3" xfId="23086" xr:uid="{00000000-0005-0000-0000-00002E5A0000}"/>
    <cellStyle name="Normal 27 3 4" xfId="23087" xr:uid="{00000000-0005-0000-0000-00002F5A0000}"/>
    <cellStyle name="Normal 27 3 4 2" xfId="23088" xr:uid="{00000000-0005-0000-0000-0000305A0000}"/>
    <cellStyle name="Normal 27 3 4 2 2" xfId="23089" xr:uid="{00000000-0005-0000-0000-0000315A0000}"/>
    <cellStyle name="Normal 27 3 4 3" xfId="23090" xr:uid="{00000000-0005-0000-0000-0000325A0000}"/>
    <cellStyle name="Normal 27 3 5" xfId="23091" xr:uid="{00000000-0005-0000-0000-0000335A0000}"/>
    <cellStyle name="Normal 27 4" xfId="23092" xr:uid="{00000000-0005-0000-0000-0000345A0000}"/>
    <cellStyle name="Normal 27 4 2" xfId="23093" xr:uid="{00000000-0005-0000-0000-0000355A0000}"/>
    <cellStyle name="Normal 27 4 2 2" xfId="23094" xr:uid="{00000000-0005-0000-0000-0000365A0000}"/>
    <cellStyle name="Normal 27 4 3" xfId="23095" xr:uid="{00000000-0005-0000-0000-0000375A0000}"/>
    <cellStyle name="Normal 27 4 3 2" xfId="23096" xr:uid="{00000000-0005-0000-0000-0000385A0000}"/>
    <cellStyle name="Normal 27 4 3 2 2" xfId="23097" xr:uid="{00000000-0005-0000-0000-0000395A0000}"/>
    <cellStyle name="Normal 27 4 3 3" xfId="23098" xr:uid="{00000000-0005-0000-0000-00003A5A0000}"/>
    <cellStyle name="Normal 27 4 4" xfId="23099" xr:uid="{00000000-0005-0000-0000-00003B5A0000}"/>
    <cellStyle name="Normal 27 4 4 2" xfId="23100" xr:uid="{00000000-0005-0000-0000-00003C5A0000}"/>
    <cellStyle name="Normal 27 4 4 2 2" xfId="23101" xr:uid="{00000000-0005-0000-0000-00003D5A0000}"/>
    <cellStyle name="Normal 27 4 4 3" xfId="23102" xr:uid="{00000000-0005-0000-0000-00003E5A0000}"/>
    <cellStyle name="Normal 27 4 5" xfId="23103" xr:uid="{00000000-0005-0000-0000-00003F5A0000}"/>
    <cellStyle name="Normal 27 5" xfId="23104" xr:uid="{00000000-0005-0000-0000-0000405A0000}"/>
    <cellStyle name="Normal 27 5 2" xfId="23105" xr:uid="{00000000-0005-0000-0000-0000415A0000}"/>
    <cellStyle name="Normal 27 5 2 2" xfId="23106" xr:uid="{00000000-0005-0000-0000-0000425A0000}"/>
    <cellStyle name="Normal 27 5 3" xfId="23107" xr:uid="{00000000-0005-0000-0000-0000435A0000}"/>
    <cellStyle name="Normal 27 6" xfId="23108" xr:uid="{00000000-0005-0000-0000-0000445A0000}"/>
    <cellStyle name="Normal 27 6 2" xfId="23109" xr:uid="{00000000-0005-0000-0000-0000455A0000}"/>
    <cellStyle name="Normal 27 6 2 2" xfId="23110" xr:uid="{00000000-0005-0000-0000-0000465A0000}"/>
    <cellStyle name="Normal 27 6 3" xfId="23111" xr:uid="{00000000-0005-0000-0000-0000475A0000}"/>
    <cellStyle name="Normal 27 7" xfId="23112" xr:uid="{00000000-0005-0000-0000-0000485A0000}"/>
    <cellStyle name="Normal 27 7 2" xfId="23113" xr:uid="{00000000-0005-0000-0000-0000495A0000}"/>
    <cellStyle name="Normal 27 7 2 2" xfId="23114" xr:uid="{00000000-0005-0000-0000-00004A5A0000}"/>
    <cellStyle name="Normal 27 7 3" xfId="23115" xr:uid="{00000000-0005-0000-0000-00004B5A0000}"/>
    <cellStyle name="Normal 27 8" xfId="23116" xr:uid="{00000000-0005-0000-0000-00004C5A0000}"/>
    <cellStyle name="Normal 270" xfId="23117" xr:uid="{00000000-0005-0000-0000-00004D5A0000}"/>
    <cellStyle name="Normal 270 2" xfId="23118" xr:uid="{00000000-0005-0000-0000-00004E5A0000}"/>
    <cellStyle name="Normal 270 2 2" xfId="23119" xr:uid="{00000000-0005-0000-0000-00004F5A0000}"/>
    <cellStyle name="Normal 270 2 2 2" xfId="23120" xr:uid="{00000000-0005-0000-0000-0000505A0000}"/>
    <cellStyle name="Normal 270 2 3" xfId="23121" xr:uid="{00000000-0005-0000-0000-0000515A0000}"/>
    <cellStyle name="Normal 270 2 3 2" xfId="23122" xr:uid="{00000000-0005-0000-0000-0000525A0000}"/>
    <cellStyle name="Normal 270 2 3 2 2" xfId="23123" xr:uid="{00000000-0005-0000-0000-0000535A0000}"/>
    <cellStyle name="Normal 270 2 3 3" xfId="23124" xr:uid="{00000000-0005-0000-0000-0000545A0000}"/>
    <cellStyle name="Normal 270 2 4" xfId="23125" xr:uid="{00000000-0005-0000-0000-0000555A0000}"/>
    <cellStyle name="Normal 270 2 4 2" xfId="23126" xr:uid="{00000000-0005-0000-0000-0000565A0000}"/>
    <cellStyle name="Normal 270 2 4 2 2" xfId="23127" xr:uid="{00000000-0005-0000-0000-0000575A0000}"/>
    <cellStyle name="Normal 270 2 4 3" xfId="23128" xr:uid="{00000000-0005-0000-0000-0000585A0000}"/>
    <cellStyle name="Normal 270 2 5" xfId="23129" xr:uid="{00000000-0005-0000-0000-0000595A0000}"/>
    <cellStyle name="Normal 270 3" xfId="23130" xr:uid="{00000000-0005-0000-0000-00005A5A0000}"/>
    <cellStyle name="Normal 270 3 2" xfId="23131" xr:uid="{00000000-0005-0000-0000-00005B5A0000}"/>
    <cellStyle name="Normal 270 3 2 2" xfId="23132" xr:uid="{00000000-0005-0000-0000-00005C5A0000}"/>
    <cellStyle name="Normal 270 3 2 2 2" xfId="23133" xr:uid="{00000000-0005-0000-0000-00005D5A0000}"/>
    <cellStyle name="Normal 270 3 2 3" xfId="23134" xr:uid="{00000000-0005-0000-0000-00005E5A0000}"/>
    <cellStyle name="Normal 270 3 2 3 2" xfId="23135" xr:uid="{00000000-0005-0000-0000-00005F5A0000}"/>
    <cellStyle name="Normal 270 3 2 3 2 2" xfId="23136" xr:uid="{00000000-0005-0000-0000-0000605A0000}"/>
    <cellStyle name="Normal 270 3 2 3 3" xfId="23137" xr:uid="{00000000-0005-0000-0000-0000615A0000}"/>
    <cellStyle name="Normal 270 3 2 4" xfId="23138" xr:uid="{00000000-0005-0000-0000-0000625A0000}"/>
    <cellStyle name="Normal 270 3 3" xfId="23139" xr:uid="{00000000-0005-0000-0000-0000635A0000}"/>
    <cellStyle name="Normal 270 3 3 2" xfId="23140" xr:uid="{00000000-0005-0000-0000-0000645A0000}"/>
    <cellStyle name="Normal 270 3 3 2 2" xfId="23141" xr:uid="{00000000-0005-0000-0000-0000655A0000}"/>
    <cellStyle name="Normal 270 3 3 3" xfId="23142" xr:uid="{00000000-0005-0000-0000-0000665A0000}"/>
    <cellStyle name="Normal 270 3 4" xfId="23143" xr:uid="{00000000-0005-0000-0000-0000675A0000}"/>
    <cellStyle name="Normal 270 3 4 2" xfId="23144" xr:uid="{00000000-0005-0000-0000-0000685A0000}"/>
    <cellStyle name="Normal 270 3 4 2 2" xfId="23145" xr:uid="{00000000-0005-0000-0000-0000695A0000}"/>
    <cellStyle name="Normal 270 3 4 3" xfId="23146" xr:uid="{00000000-0005-0000-0000-00006A5A0000}"/>
    <cellStyle name="Normal 270 3 5" xfId="23147" xr:uid="{00000000-0005-0000-0000-00006B5A0000}"/>
    <cellStyle name="Normal 270 3 5 2" xfId="23148" xr:uid="{00000000-0005-0000-0000-00006C5A0000}"/>
    <cellStyle name="Normal 270 3 5 2 2" xfId="23149" xr:uid="{00000000-0005-0000-0000-00006D5A0000}"/>
    <cellStyle name="Normal 270 3 5 3" xfId="23150" xr:uid="{00000000-0005-0000-0000-00006E5A0000}"/>
    <cellStyle name="Normal 270 3 6" xfId="23151" xr:uid="{00000000-0005-0000-0000-00006F5A0000}"/>
    <cellStyle name="Normal 270 4" xfId="23152" xr:uid="{00000000-0005-0000-0000-0000705A0000}"/>
    <cellStyle name="Normal 270 4 2" xfId="23153" xr:uid="{00000000-0005-0000-0000-0000715A0000}"/>
    <cellStyle name="Normal 270 4 2 2" xfId="23154" xr:uid="{00000000-0005-0000-0000-0000725A0000}"/>
    <cellStyle name="Normal 270 4 3" xfId="23155" xr:uid="{00000000-0005-0000-0000-0000735A0000}"/>
    <cellStyle name="Normal 270 5" xfId="23156" xr:uid="{00000000-0005-0000-0000-0000745A0000}"/>
    <cellStyle name="Normal 270 5 2" xfId="23157" xr:uid="{00000000-0005-0000-0000-0000755A0000}"/>
    <cellStyle name="Normal 270 5 2 2" xfId="23158" xr:uid="{00000000-0005-0000-0000-0000765A0000}"/>
    <cellStyle name="Normal 270 5 3" xfId="23159" xr:uid="{00000000-0005-0000-0000-0000775A0000}"/>
    <cellStyle name="Normal 270 6" xfId="23160" xr:uid="{00000000-0005-0000-0000-0000785A0000}"/>
    <cellStyle name="Normal 270 6 2" xfId="23161" xr:uid="{00000000-0005-0000-0000-0000795A0000}"/>
    <cellStyle name="Normal 270 6 2 2" xfId="23162" xr:uid="{00000000-0005-0000-0000-00007A5A0000}"/>
    <cellStyle name="Normal 270 6 3" xfId="23163" xr:uid="{00000000-0005-0000-0000-00007B5A0000}"/>
    <cellStyle name="Normal 270 7" xfId="23164" xr:uid="{00000000-0005-0000-0000-00007C5A0000}"/>
    <cellStyle name="Normal 271" xfId="23165" xr:uid="{00000000-0005-0000-0000-00007D5A0000}"/>
    <cellStyle name="Normal 271 2" xfId="23166" xr:uid="{00000000-0005-0000-0000-00007E5A0000}"/>
    <cellStyle name="Normal 271 2 2" xfId="23167" xr:uid="{00000000-0005-0000-0000-00007F5A0000}"/>
    <cellStyle name="Normal 271 2 2 2" xfId="23168" xr:uid="{00000000-0005-0000-0000-0000805A0000}"/>
    <cellStyle name="Normal 271 2 3" xfId="23169" xr:uid="{00000000-0005-0000-0000-0000815A0000}"/>
    <cellStyle name="Normal 271 2 3 2" xfId="23170" xr:uid="{00000000-0005-0000-0000-0000825A0000}"/>
    <cellStyle name="Normal 271 2 3 2 2" xfId="23171" xr:uid="{00000000-0005-0000-0000-0000835A0000}"/>
    <cellStyle name="Normal 271 2 3 3" xfId="23172" xr:uid="{00000000-0005-0000-0000-0000845A0000}"/>
    <cellStyle name="Normal 271 2 4" xfId="23173" xr:uid="{00000000-0005-0000-0000-0000855A0000}"/>
    <cellStyle name="Normal 271 2 4 2" xfId="23174" xr:uid="{00000000-0005-0000-0000-0000865A0000}"/>
    <cellStyle name="Normal 271 2 4 2 2" xfId="23175" xr:uid="{00000000-0005-0000-0000-0000875A0000}"/>
    <cellStyle name="Normal 271 2 4 3" xfId="23176" xr:uid="{00000000-0005-0000-0000-0000885A0000}"/>
    <cellStyle name="Normal 271 2 5" xfId="23177" xr:uid="{00000000-0005-0000-0000-0000895A0000}"/>
    <cellStyle name="Normal 271 3" xfId="23178" xr:uid="{00000000-0005-0000-0000-00008A5A0000}"/>
    <cellStyle name="Normal 271 3 2" xfId="23179" xr:uid="{00000000-0005-0000-0000-00008B5A0000}"/>
    <cellStyle name="Normal 271 3 2 2" xfId="23180" xr:uid="{00000000-0005-0000-0000-00008C5A0000}"/>
    <cellStyle name="Normal 271 3 2 2 2" xfId="23181" xr:uid="{00000000-0005-0000-0000-00008D5A0000}"/>
    <cellStyle name="Normal 271 3 2 3" xfId="23182" xr:uid="{00000000-0005-0000-0000-00008E5A0000}"/>
    <cellStyle name="Normal 271 3 2 3 2" xfId="23183" xr:uid="{00000000-0005-0000-0000-00008F5A0000}"/>
    <cellStyle name="Normal 271 3 2 3 2 2" xfId="23184" xr:uid="{00000000-0005-0000-0000-0000905A0000}"/>
    <cellStyle name="Normal 271 3 2 3 3" xfId="23185" xr:uid="{00000000-0005-0000-0000-0000915A0000}"/>
    <cellStyle name="Normal 271 3 2 4" xfId="23186" xr:uid="{00000000-0005-0000-0000-0000925A0000}"/>
    <cellStyle name="Normal 271 3 3" xfId="23187" xr:uid="{00000000-0005-0000-0000-0000935A0000}"/>
    <cellStyle name="Normal 271 3 3 2" xfId="23188" xr:uid="{00000000-0005-0000-0000-0000945A0000}"/>
    <cellStyle name="Normal 271 3 3 2 2" xfId="23189" xr:uid="{00000000-0005-0000-0000-0000955A0000}"/>
    <cellStyle name="Normal 271 3 3 3" xfId="23190" xr:uid="{00000000-0005-0000-0000-0000965A0000}"/>
    <cellStyle name="Normal 271 3 4" xfId="23191" xr:uid="{00000000-0005-0000-0000-0000975A0000}"/>
    <cellStyle name="Normal 271 3 4 2" xfId="23192" xr:uid="{00000000-0005-0000-0000-0000985A0000}"/>
    <cellStyle name="Normal 271 3 4 2 2" xfId="23193" xr:uid="{00000000-0005-0000-0000-0000995A0000}"/>
    <cellStyle name="Normal 271 3 4 3" xfId="23194" xr:uid="{00000000-0005-0000-0000-00009A5A0000}"/>
    <cellStyle name="Normal 271 3 5" xfId="23195" xr:uid="{00000000-0005-0000-0000-00009B5A0000}"/>
    <cellStyle name="Normal 271 3 5 2" xfId="23196" xr:uid="{00000000-0005-0000-0000-00009C5A0000}"/>
    <cellStyle name="Normal 271 3 5 2 2" xfId="23197" xr:uid="{00000000-0005-0000-0000-00009D5A0000}"/>
    <cellStyle name="Normal 271 3 5 3" xfId="23198" xr:uid="{00000000-0005-0000-0000-00009E5A0000}"/>
    <cellStyle name="Normal 271 3 6" xfId="23199" xr:uid="{00000000-0005-0000-0000-00009F5A0000}"/>
    <cellStyle name="Normal 271 4" xfId="23200" xr:uid="{00000000-0005-0000-0000-0000A05A0000}"/>
    <cellStyle name="Normal 271 4 2" xfId="23201" xr:uid="{00000000-0005-0000-0000-0000A15A0000}"/>
    <cellStyle name="Normal 271 4 2 2" xfId="23202" xr:uid="{00000000-0005-0000-0000-0000A25A0000}"/>
    <cellStyle name="Normal 271 4 3" xfId="23203" xr:uid="{00000000-0005-0000-0000-0000A35A0000}"/>
    <cellStyle name="Normal 271 5" xfId="23204" xr:uid="{00000000-0005-0000-0000-0000A45A0000}"/>
    <cellStyle name="Normal 271 5 2" xfId="23205" xr:uid="{00000000-0005-0000-0000-0000A55A0000}"/>
    <cellStyle name="Normal 271 5 2 2" xfId="23206" xr:uid="{00000000-0005-0000-0000-0000A65A0000}"/>
    <cellStyle name="Normal 271 5 3" xfId="23207" xr:uid="{00000000-0005-0000-0000-0000A75A0000}"/>
    <cellStyle name="Normal 271 6" xfId="23208" xr:uid="{00000000-0005-0000-0000-0000A85A0000}"/>
    <cellStyle name="Normal 271 6 2" xfId="23209" xr:uid="{00000000-0005-0000-0000-0000A95A0000}"/>
    <cellStyle name="Normal 271 6 2 2" xfId="23210" xr:uid="{00000000-0005-0000-0000-0000AA5A0000}"/>
    <cellStyle name="Normal 271 6 3" xfId="23211" xr:uid="{00000000-0005-0000-0000-0000AB5A0000}"/>
    <cellStyle name="Normal 271 7" xfId="23212" xr:uid="{00000000-0005-0000-0000-0000AC5A0000}"/>
    <cellStyle name="Normal 272" xfId="23213" xr:uid="{00000000-0005-0000-0000-0000AD5A0000}"/>
    <cellStyle name="Normal 272 2" xfId="23214" xr:uid="{00000000-0005-0000-0000-0000AE5A0000}"/>
    <cellStyle name="Normal 272 2 2" xfId="23215" xr:uid="{00000000-0005-0000-0000-0000AF5A0000}"/>
    <cellStyle name="Normal 272 2 2 2" xfId="23216" xr:uid="{00000000-0005-0000-0000-0000B05A0000}"/>
    <cellStyle name="Normal 272 2 3" xfId="23217" xr:uid="{00000000-0005-0000-0000-0000B15A0000}"/>
    <cellStyle name="Normal 272 2 3 2" xfId="23218" xr:uid="{00000000-0005-0000-0000-0000B25A0000}"/>
    <cellStyle name="Normal 272 2 3 2 2" xfId="23219" xr:uid="{00000000-0005-0000-0000-0000B35A0000}"/>
    <cellStyle name="Normal 272 2 3 3" xfId="23220" xr:uid="{00000000-0005-0000-0000-0000B45A0000}"/>
    <cellStyle name="Normal 272 2 4" xfId="23221" xr:uid="{00000000-0005-0000-0000-0000B55A0000}"/>
    <cellStyle name="Normal 272 2 4 2" xfId="23222" xr:uid="{00000000-0005-0000-0000-0000B65A0000}"/>
    <cellStyle name="Normal 272 2 4 2 2" xfId="23223" xr:uid="{00000000-0005-0000-0000-0000B75A0000}"/>
    <cellStyle name="Normal 272 2 4 3" xfId="23224" xr:uid="{00000000-0005-0000-0000-0000B85A0000}"/>
    <cellStyle name="Normal 272 2 5" xfId="23225" xr:uid="{00000000-0005-0000-0000-0000B95A0000}"/>
    <cellStyle name="Normal 272 3" xfId="23226" xr:uid="{00000000-0005-0000-0000-0000BA5A0000}"/>
    <cellStyle name="Normal 272 3 2" xfId="23227" xr:uid="{00000000-0005-0000-0000-0000BB5A0000}"/>
    <cellStyle name="Normal 272 3 2 2" xfId="23228" xr:uid="{00000000-0005-0000-0000-0000BC5A0000}"/>
    <cellStyle name="Normal 272 3 2 2 2" xfId="23229" xr:uid="{00000000-0005-0000-0000-0000BD5A0000}"/>
    <cellStyle name="Normal 272 3 2 3" xfId="23230" xr:uid="{00000000-0005-0000-0000-0000BE5A0000}"/>
    <cellStyle name="Normal 272 3 2 3 2" xfId="23231" xr:uid="{00000000-0005-0000-0000-0000BF5A0000}"/>
    <cellStyle name="Normal 272 3 2 3 2 2" xfId="23232" xr:uid="{00000000-0005-0000-0000-0000C05A0000}"/>
    <cellStyle name="Normal 272 3 2 3 3" xfId="23233" xr:uid="{00000000-0005-0000-0000-0000C15A0000}"/>
    <cellStyle name="Normal 272 3 2 4" xfId="23234" xr:uid="{00000000-0005-0000-0000-0000C25A0000}"/>
    <cellStyle name="Normal 272 3 3" xfId="23235" xr:uid="{00000000-0005-0000-0000-0000C35A0000}"/>
    <cellStyle name="Normal 272 3 3 2" xfId="23236" xr:uid="{00000000-0005-0000-0000-0000C45A0000}"/>
    <cellStyle name="Normal 272 3 3 2 2" xfId="23237" xr:uid="{00000000-0005-0000-0000-0000C55A0000}"/>
    <cellStyle name="Normal 272 3 3 3" xfId="23238" xr:uid="{00000000-0005-0000-0000-0000C65A0000}"/>
    <cellStyle name="Normal 272 3 4" xfId="23239" xr:uid="{00000000-0005-0000-0000-0000C75A0000}"/>
    <cellStyle name="Normal 272 3 4 2" xfId="23240" xr:uid="{00000000-0005-0000-0000-0000C85A0000}"/>
    <cellStyle name="Normal 272 3 4 2 2" xfId="23241" xr:uid="{00000000-0005-0000-0000-0000C95A0000}"/>
    <cellStyle name="Normal 272 3 4 3" xfId="23242" xr:uid="{00000000-0005-0000-0000-0000CA5A0000}"/>
    <cellStyle name="Normal 272 3 5" xfId="23243" xr:uid="{00000000-0005-0000-0000-0000CB5A0000}"/>
    <cellStyle name="Normal 272 3 5 2" xfId="23244" xr:uid="{00000000-0005-0000-0000-0000CC5A0000}"/>
    <cellStyle name="Normal 272 3 5 2 2" xfId="23245" xr:uid="{00000000-0005-0000-0000-0000CD5A0000}"/>
    <cellStyle name="Normal 272 3 5 3" xfId="23246" xr:uid="{00000000-0005-0000-0000-0000CE5A0000}"/>
    <cellStyle name="Normal 272 3 6" xfId="23247" xr:uid="{00000000-0005-0000-0000-0000CF5A0000}"/>
    <cellStyle name="Normal 272 4" xfId="23248" xr:uid="{00000000-0005-0000-0000-0000D05A0000}"/>
    <cellStyle name="Normal 272 4 2" xfId="23249" xr:uid="{00000000-0005-0000-0000-0000D15A0000}"/>
    <cellStyle name="Normal 272 4 2 2" xfId="23250" xr:uid="{00000000-0005-0000-0000-0000D25A0000}"/>
    <cellStyle name="Normal 272 4 3" xfId="23251" xr:uid="{00000000-0005-0000-0000-0000D35A0000}"/>
    <cellStyle name="Normal 272 5" xfId="23252" xr:uid="{00000000-0005-0000-0000-0000D45A0000}"/>
    <cellStyle name="Normal 272 5 2" xfId="23253" xr:uid="{00000000-0005-0000-0000-0000D55A0000}"/>
    <cellStyle name="Normal 272 5 2 2" xfId="23254" xr:uid="{00000000-0005-0000-0000-0000D65A0000}"/>
    <cellStyle name="Normal 272 5 3" xfId="23255" xr:uid="{00000000-0005-0000-0000-0000D75A0000}"/>
    <cellStyle name="Normal 272 6" xfId="23256" xr:uid="{00000000-0005-0000-0000-0000D85A0000}"/>
    <cellStyle name="Normal 272 6 2" xfId="23257" xr:uid="{00000000-0005-0000-0000-0000D95A0000}"/>
    <cellStyle name="Normal 272 6 2 2" xfId="23258" xr:uid="{00000000-0005-0000-0000-0000DA5A0000}"/>
    <cellStyle name="Normal 272 6 3" xfId="23259" xr:uid="{00000000-0005-0000-0000-0000DB5A0000}"/>
    <cellStyle name="Normal 272 7" xfId="23260" xr:uid="{00000000-0005-0000-0000-0000DC5A0000}"/>
    <cellStyle name="Normal 273" xfId="23261" xr:uid="{00000000-0005-0000-0000-0000DD5A0000}"/>
    <cellStyle name="Normal 273 2" xfId="23262" xr:uid="{00000000-0005-0000-0000-0000DE5A0000}"/>
    <cellStyle name="Normal 273 2 2" xfId="23263" xr:uid="{00000000-0005-0000-0000-0000DF5A0000}"/>
    <cellStyle name="Normal 273 2 2 2" xfId="23264" xr:uid="{00000000-0005-0000-0000-0000E05A0000}"/>
    <cellStyle name="Normal 273 2 3" xfId="23265" xr:uid="{00000000-0005-0000-0000-0000E15A0000}"/>
    <cellStyle name="Normal 273 2 3 2" xfId="23266" xr:uid="{00000000-0005-0000-0000-0000E25A0000}"/>
    <cellStyle name="Normal 273 2 3 2 2" xfId="23267" xr:uid="{00000000-0005-0000-0000-0000E35A0000}"/>
    <cellStyle name="Normal 273 2 3 3" xfId="23268" xr:uid="{00000000-0005-0000-0000-0000E45A0000}"/>
    <cellStyle name="Normal 273 2 4" xfId="23269" xr:uid="{00000000-0005-0000-0000-0000E55A0000}"/>
    <cellStyle name="Normal 273 2 4 2" xfId="23270" xr:uid="{00000000-0005-0000-0000-0000E65A0000}"/>
    <cellStyle name="Normal 273 2 4 2 2" xfId="23271" xr:uid="{00000000-0005-0000-0000-0000E75A0000}"/>
    <cellStyle name="Normal 273 2 4 3" xfId="23272" xr:uid="{00000000-0005-0000-0000-0000E85A0000}"/>
    <cellStyle name="Normal 273 2 5" xfId="23273" xr:uid="{00000000-0005-0000-0000-0000E95A0000}"/>
    <cellStyle name="Normal 273 3" xfId="23274" xr:uid="{00000000-0005-0000-0000-0000EA5A0000}"/>
    <cellStyle name="Normal 273 3 2" xfId="23275" xr:uid="{00000000-0005-0000-0000-0000EB5A0000}"/>
    <cellStyle name="Normal 273 3 2 2" xfId="23276" xr:uid="{00000000-0005-0000-0000-0000EC5A0000}"/>
    <cellStyle name="Normal 273 3 2 2 2" xfId="23277" xr:uid="{00000000-0005-0000-0000-0000ED5A0000}"/>
    <cellStyle name="Normal 273 3 2 3" xfId="23278" xr:uid="{00000000-0005-0000-0000-0000EE5A0000}"/>
    <cellStyle name="Normal 273 3 2 3 2" xfId="23279" xr:uid="{00000000-0005-0000-0000-0000EF5A0000}"/>
    <cellStyle name="Normal 273 3 2 3 2 2" xfId="23280" xr:uid="{00000000-0005-0000-0000-0000F05A0000}"/>
    <cellStyle name="Normal 273 3 2 3 3" xfId="23281" xr:uid="{00000000-0005-0000-0000-0000F15A0000}"/>
    <cellStyle name="Normal 273 3 2 4" xfId="23282" xr:uid="{00000000-0005-0000-0000-0000F25A0000}"/>
    <cellStyle name="Normal 273 3 3" xfId="23283" xr:uid="{00000000-0005-0000-0000-0000F35A0000}"/>
    <cellStyle name="Normal 273 3 3 2" xfId="23284" xr:uid="{00000000-0005-0000-0000-0000F45A0000}"/>
    <cellStyle name="Normal 273 3 3 2 2" xfId="23285" xr:uid="{00000000-0005-0000-0000-0000F55A0000}"/>
    <cellStyle name="Normal 273 3 3 3" xfId="23286" xr:uid="{00000000-0005-0000-0000-0000F65A0000}"/>
    <cellStyle name="Normal 273 3 4" xfId="23287" xr:uid="{00000000-0005-0000-0000-0000F75A0000}"/>
    <cellStyle name="Normal 273 3 4 2" xfId="23288" xr:uid="{00000000-0005-0000-0000-0000F85A0000}"/>
    <cellStyle name="Normal 273 3 4 2 2" xfId="23289" xr:uid="{00000000-0005-0000-0000-0000F95A0000}"/>
    <cellStyle name="Normal 273 3 4 3" xfId="23290" xr:uid="{00000000-0005-0000-0000-0000FA5A0000}"/>
    <cellStyle name="Normal 273 3 5" xfId="23291" xr:uid="{00000000-0005-0000-0000-0000FB5A0000}"/>
    <cellStyle name="Normal 273 3 5 2" xfId="23292" xr:uid="{00000000-0005-0000-0000-0000FC5A0000}"/>
    <cellStyle name="Normal 273 3 5 2 2" xfId="23293" xr:uid="{00000000-0005-0000-0000-0000FD5A0000}"/>
    <cellStyle name="Normal 273 3 5 3" xfId="23294" xr:uid="{00000000-0005-0000-0000-0000FE5A0000}"/>
    <cellStyle name="Normal 273 3 6" xfId="23295" xr:uid="{00000000-0005-0000-0000-0000FF5A0000}"/>
    <cellStyle name="Normal 273 4" xfId="23296" xr:uid="{00000000-0005-0000-0000-0000005B0000}"/>
    <cellStyle name="Normal 273 4 2" xfId="23297" xr:uid="{00000000-0005-0000-0000-0000015B0000}"/>
    <cellStyle name="Normal 273 4 2 2" xfId="23298" xr:uid="{00000000-0005-0000-0000-0000025B0000}"/>
    <cellStyle name="Normal 273 4 3" xfId="23299" xr:uid="{00000000-0005-0000-0000-0000035B0000}"/>
    <cellStyle name="Normal 273 5" xfId="23300" xr:uid="{00000000-0005-0000-0000-0000045B0000}"/>
    <cellStyle name="Normal 273 5 2" xfId="23301" xr:uid="{00000000-0005-0000-0000-0000055B0000}"/>
    <cellStyle name="Normal 273 5 2 2" xfId="23302" xr:uid="{00000000-0005-0000-0000-0000065B0000}"/>
    <cellStyle name="Normal 273 5 3" xfId="23303" xr:uid="{00000000-0005-0000-0000-0000075B0000}"/>
    <cellStyle name="Normal 273 6" xfId="23304" xr:uid="{00000000-0005-0000-0000-0000085B0000}"/>
    <cellStyle name="Normal 273 6 2" xfId="23305" xr:uid="{00000000-0005-0000-0000-0000095B0000}"/>
    <cellStyle name="Normal 273 6 2 2" xfId="23306" xr:uid="{00000000-0005-0000-0000-00000A5B0000}"/>
    <cellStyle name="Normal 273 6 3" xfId="23307" xr:uid="{00000000-0005-0000-0000-00000B5B0000}"/>
    <cellStyle name="Normal 273 7" xfId="23308" xr:uid="{00000000-0005-0000-0000-00000C5B0000}"/>
    <cellStyle name="Normal 274" xfId="23309" xr:uid="{00000000-0005-0000-0000-00000D5B0000}"/>
    <cellStyle name="Normal 274 2" xfId="23310" xr:uid="{00000000-0005-0000-0000-00000E5B0000}"/>
    <cellStyle name="Normal 274 2 2" xfId="23311" xr:uid="{00000000-0005-0000-0000-00000F5B0000}"/>
    <cellStyle name="Normal 274 2 2 2" xfId="23312" xr:uid="{00000000-0005-0000-0000-0000105B0000}"/>
    <cellStyle name="Normal 274 2 3" xfId="23313" xr:uid="{00000000-0005-0000-0000-0000115B0000}"/>
    <cellStyle name="Normal 274 2 3 2" xfId="23314" xr:uid="{00000000-0005-0000-0000-0000125B0000}"/>
    <cellStyle name="Normal 274 2 3 2 2" xfId="23315" xr:uid="{00000000-0005-0000-0000-0000135B0000}"/>
    <cellStyle name="Normal 274 2 3 3" xfId="23316" xr:uid="{00000000-0005-0000-0000-0000145B0000}"/>
    <cellStyle name="Normal 274 2 4" xfId="23317" xr:uid="{00000000-0005-0000-0000-0000155B0000}"/>
    <cellStyle name="Normal 274 2 4 2" xfId="23318" xr:uid="{00000000-0005-0000-0000-0000165B0000}"/>
    <cellStyle name="Normal 274 2 4 2 2" xfId="23319" xr:uid="{00000000-0005-0000-0000-0000175B0000}"/>
    <cellStyle name="Normal 274 2 4 3" xfId="23320" xr:uid="{00000000-0005-0000-0000-0000185B0000}"/>
    <cellStyle name="Normal 274 2 5" xfId="23321" xr:uid="{00000000-0005-0000-0000-0000195B0000}"/>
    <cellStyle name="Normal 274 3" xfId="23322" xr:uid="{00000000-0005-0000-0000-00001A5B0000}"/>
    <cellStyle name="Normal 274 3 2" xfId="23323" xr:uid="{00000000-0005-0000-0000-00001B5B0000}"/>
    <cellStyle name="Normal 274 3 2 2" xfId="23324" xr:uid="{00000000-0005-0000-0000-00001C5B0000}"/>
    <cellStyle name="Normal 274 3 2 2 2" xfId="23325" xr:uid="{00000000-0005-0000-0000-00001D5B0000}"/>
    <cellStyle name="Normal 274 3 2 3" xfId="23326" xr:uid="{00000000-0005-0000-0000-00001E5B0000}"/>
    <cellStyle name="Normal 274 3 2 3 2" xfId="23327" xr:uid="{00000000-0005-0000-0000-00001F5B0000}"/>
    <cellStyle name="Normal 274 3 2 3 2 2" xfId="23328" xr:uid="{00000000-0005-0000-0000-0000205B0000}"/>
    <cellStyle name="Normal 274 3 2 3 3" xfId="23329" xr:uid="{00000000-0005-0000-0000-0000215B0000}"/>
    <cellStyle name="Normal 274 3 2 4" xfId="23330" xr:uid="{00000000-0005-0000-0000-0000225B0000}"/>
    <cellStyle name="Normal 274 3 3" xfId="23331" xr:uid="{00000000-0005-0000-0000-0000235B0000}"/>
    <cellStyle name="Normal 274 3 3 2" xfId="23332" xr:uid="{00000000-0005-0000-0000-0000245B0000}"/>
    <cellStyle name="Normal 274 3 3 2 2" xfId="23333" xr:uid="{00000000-0005-0000-0000-0000255B0000}"/>
    <cellStyle name="Normal 274 3 3 3" xfId="23334" xr:uid="{00000000-0005-0000-0000-0000265B0000}"/>
    <cellStyle name="Normal 274 3 4" xfId="23335" xr:uid="{00000000-0005-0000-0000-0000275B0000}"/>
    <cellStyle name="Normal 274 3 4 2" xfId="23336" xr:uid="{00000000-0005-0000-0000-0000285B0000}"/>
    <cellStyle name="Normal 274 3 4 2 2" xfId="23337" xr:uid="{00000000-0005-0000-0000-0000295B0000}"/>
    <cellStyle name="Normal 274 3 4 3" xfId="23338" xr:uid="{00000000-0005-0000-0000-00002A5B0000}"/>
    <cellStyle name="Normal 274 3 5" xfId="23339" xr:uid="{00000000-0005-0000-0000-00002B5B0000}"/>
    <cellStyle name="Normal 274 3 5 2" xfId="23340" xr:uid="{00000000-0005-0000-0000-00002C5B0000}"/>
    <cellStyle name="Normal 274 3 5 2 2" xfId="23341" xr:uid="{00000000-0005-0000-0000-00002D5B0000}"/>
    <cellStyle name="Normal 274 3 5 3" xfId="23342" xr:uid="{00000000-0005-0000-0000-00002E5B0000}"/>
    <cellStyle name="Normal 274 3 6" xfId="23343" xr:uid="{00000000-0005-0000-0000-00002F5B0000}"/>
    <cellStyle name="Normal 274 4" xfId="23344" xr:uid="{00000000-0005-0000-0000-0000305B0000}"/>
    <cellStyle name="Normal 274 4 2" xfId="23345" xr:uid="{00000000-0005-0000-0000-0000315B0000}"/>
    <cellStyle name="Normal 274 4 2 2" xfId="23346" xr:uid="{00000000-0005-0000-0000-0000325B0000}"/>
    <cellStyle name="Normal 274 4 3" xfId="23347" xr:uid="{00000000-0005-0000-0000-0000335B0000}"/>
    <cellStyle name="Normal 274 5" xfId="23348" xr:uid="{00000000-0005-0000-0000-0000345B0000}"/>
    <cellStyle name="Normal 274 5 2" xfId="23349" xr:uid="{00000000-0005-0000-0000-0000355B0000}"/>
    <cellStyle name="Normal 274 5 2 2" xfId="23350" xr:uid="{00000000-0005-0000-0000-0000365B0000}"/>
    <cellStyle name="Normal 274 5 3" xfId="23351" xr:uid="{00000000-0005-0000-0000-0000375B0000}"/>
    <cellStyle name="Normal 274 6" xfId="23352" xr:uid="{00000000-0005-0000-0000-0000385B0000}"/>
    <cellStyle name="Normal 274 6 2" xfId="23353" xr:uid="{00000000-0005-0000-0000-0000395B0000}"/>
    <cellStyle name="Normal 274 6 2 2" xfId="23354" xr:uid="{00000000-0005-0000-0000-00003A5B0000}"/>
    <cellStyle name="Normal 274 6 3" xfId="23355" xr:uid="{00000000-0005-0000-0000-00003B5B0000}"/>
    <cellStyle name="Normal 274 7" xfId="23356" xr:uid="{00000000-0005-0000-0000-00003C5B0000}"/>
    <cellStyle name="Normal 275" xfId="23357" xr:uid="{00000000-0005-0000-0000-00003D5B0000}"/>
    <cellStyle name="Normal 275 2" xfId="23358" xr:uid="{00000000-0005-0000-0000-00003E5B0000}"/>
    <cellStyle name="Normal 275 2 2" xfId="23359" xr:uid="{00000000-0005-0000-0000-00003F5B0000}"/>
    <cellStyle name="Normal 275 2 2 2" xfId="23360" xr:uid="{00000000-0005-0000-0000-0000405B0000}"/>
    <cellStyle name="Normal 275 2 3" xfId="23361" xr:uid="{00000000-0005-0000-0000-0000415B0000}"/>
    <cellStyle name="Normal 275 2 3 2" xfId="23362" xr:uid="{00000000-0005-0000-0000-0000425B0000}"/>
    <cellStyle name="Normal 275 2 3 2 2" xfId="23363" xr:uid="{00000000-0005-0000-0000-0000435B0000}"/>
    <cellStyle name="Normal 275 2 3 3" xfId="23364" xr:uid="{00000000-0005-0000-0000-0000445B0000}"/>
    <cellStyle name="Normal 275 2 4" xfId="23365" xr:uid="{00000000-0005-0000-0000-0000455B0000}"/>
    <cellStyle name="Normal 275 2 4 2" xfId="23366" xr:uid="{00000000-0005-0000-0000-0000465B0000}"/>
    <cellStyle name="Normal 275 2 4 2 2" xfId="23367" xr:uid="{00000000-0005-0000-0000-0000475B0000}"/>
    <cellStyle name="Normal 275 2 4 3" xfId="23368" xr:uid="{00000000-0005-0000-0000-0000485B0000}"/>
    <cellStyle name="Normal 275 2 5" xfId="23369" xr:uid="{00000000-0005-0000-0000-0000495B0000}"/>
    <cellStyle name="Normal 275 3" xfId="23370" xr:uid="{00000000-0005-0000-0000-00004A5B0000}"/>
    <cellStyle name="Normal 275 3 2" xfId="23371" xr:uid="{00000000-0005-0000-0000-00004B5B0000}"/>
    <cellStyle name="Normal 275 3 2 2" xfId="23372" xr:uid="{00000000-0005-0000-0000-00004C5B0000}"/>
    <cellStyle name="Normal 275 3 2 2 2" xfId="23373" xr:uid="{00000000-0005-0000-0000-00004D5B0000}"/>
    <cellStyle name="Normal 275 3 2 3" xfId="23374" xr:uid="{00000000-0005-0000-0000-00004E5B0000}"/>
    <cellStyle name="Normal 275 3 2 3 2" xfId="23375" xr:uid="{00000000-0005-0000-0000-00004F5B0000}"/>
    <cellStyle name="Normal 275 3 2 3 2 2" xfId="23376" xr:uid="{00000000-0005-0000-0000-0000505B0000}"/>
    <cellStyle name="Normal 275 3 2 3 3" xfId="23377" xr:uid="{00000000-0005-0000-0000-0000515B0000}"/>
    <cellStyle name="Normal 275 3 2 4" xfId="23378" xr:uid="{00000000-0005-0000-0000-0000525B0000}"/>
    <cellStyle name="Normal 275 3 3" xfId="23379" xr:uid="{00000000-0005-0000-0000-0000535B0000}"/>
    <cellStyle name="Normal 275 3 3 2" xfId="23380" xr:uid="{00000000-0005-0000-0000-0000545B0000}"/>
    <cellStyle name="Normal 275 3 3 2 2" xfId="23381" xr:uid="{00000000-0005-0000-0000-0000555B0000}"/>
    <cellStyle name="Normal 275 3 3 3" xfId="23382" xr:uid="{00000000-0005-0000-0000-0000565B0000}"/>
    <cellStyle name="Normal 275 3 4" xfId="23383" xr:uid="{00000000-0005-0000-0000-0000575B0000}"/>
    <cellStyle name="Normal 275 3 4 2" xfId="23384" xr:uid="{00000000-0005-0000-0000-0000585B0000}"/>
    <cellStyle name="Normal 275 3 4 2 2" xfId="23385" xr:uid="{00000000-0005-0000-0000-0000595B0000}"/>
    <cellStyle name="Normal 275 3 4 3" xfId="23386" xr:uid="{00000000-0005-0000-0000-00005A5B0000}"/>
    <cellStyle name="Normal 275 3 5" xfId="23387" xr:uid="{00000000-0005-0000-0000-00005B5B0000}"/>
    <cellStyle name="Normal 275 3 5 2" xfId="23388" xr:uid="{00000000-0005-0000-0000-00005C5B0000}"/>
    <cellStyle name="Normal 275 3 5 2 2" xfId="23389" xr:uid="{00000000-0005-0000-0000-00005D5B0000}"/>
    <cellStyle name="Normal 275 3 5 3" xfId="23390" xr:uid="{00000000-0005-0000-0000-00005E5B0000}"/>
    <cellStyle name="Normal 275 3 6" xfId="23391" xr:uid="{00000000-0005-0000-0000-00005F5B0000}"/>
    <cellStyle name="Normal 275 4" xfId="23392" xr:uid="{00000000-0005-0000-0000-0000605B0000}"/>
    <cellStyle name="Normal 275 4 2" xfId="23393" xr:uid="{00000000-0005-0000-0000-0000615B0000}"/>
    <cellStyle name="Normal 275 4 2 2" xfId="23394" xr:uid="{00000000-0005-0000-0000-0000625B0000}"/>
    <cellStyle name="Normal 275 4 3" xfId="23395" xr:uid="{00000000-0005-0000-0000-0000635B0000}"/>
    <cellStyle name="Normal 275 5" xfId="23396" xr:uid="{00000000-0005-0000-0000-0000645B0000}"/>
    <cellStyle name="Normal 275 5 2" xfId="23397" xr:uid="{00000000-0005-0000-0000-0000655B0000}"/>
    <cellStyle name="Normal 275 5 2 2" xfId="23398" xr:uid="{00000000-0005-0000-0000-0000665B0000}"/>
    <cellStyle name="Normal 275 5 3" xfId="23399" xr:uid="{00000000-0005-0000-0000-0000675B0000}"/>
    <cellStyle name="Normal 275 6" xfId="23400" xr:uid="{00000000-0005-0000-0000-0000685B0000}"/>
    <cellStyle name="Normal 275 6 2" xfId="23401" xr:uid="{00000000-0005-0000-0000-0000695B0000}"/>
    <cellStyle name="Normal 275 6 2 2" xfId="23402" xr:uid="{00000000-0005-0000-0000-00006A5B0000}"/>
    <cellStyle name="Normal 275 6 3" xfId="23403" xr:uid="{00000000-0005-0000-0000-00006B5B0000}"/>
    <cellStyle name="Normal 275 7" xfId="23404" xr:uid="{00000000-0005-0000-0000-00006C5B0000}"/>
    <cellStyle name="Normal 276" xfId="23405" xr:uid="{00000000-0005-0000-0000-00006D5B0000}"/>
    <cellStyle name="Normal 276 2" xfId="23406" xr:uid="{00000000-0005-0000-0000-00006E5B0000}"/>
    <cellStyle name="Normal 276 2 2" xfId="23407" xr:uid="{00000000-0005-0000-0000-00006F5B0000}"/>
    <cellStyle name="Normal 276 2 2 2" xfId="23408" xr:uid="{00000000-0005-0000-0000-0000705B0000}"/>
    <cellStyle name="Normal 276 2 3" xfId="23409" xr:uid="{00000000-0005-0000-0000-0000715B0000}"/>
    <cellStyle name="Normal 276 2 3 2" xfId="23410" xr:uid="{00000000-0005-0000-0000-0000725B0000}"/>
    <cellStyle name="Normal 276 2 3 2 2" xfId="23411" xr:uid="{00000000-0005-0000-0000-0000735B0000}"/>
    <cellStyle name="Normal 276 2 3 3" xfId="23412" xr:uid="{00000000-0005-0000-0000-0000745B0000}"/>
    <cellStyle name="Normal 276 2 4" xfId="23413" xr:uid="{00000000-0005-0000-0000-0000755B0000}"/>
    <cellStyle name="Normal 276 2 4 2" xfId="23414" xr:uid="{00000000-0005-0000-0000-0000765B0000}"/>
    <cellStyle name="Normal 276 2 4 2 2" xfId="23415" xr:uid="{00000000-0005-0000-0000-0000775B0000}"/>
    <cellStyle name="Normal 276 2 4 3" xfId="23416" xr:uid="{00000000-0005-0000-0000-0000785B0000}"/>
    <cellStyle name="Normal 276 2 5" xfId="23417" xr:uid="{00000000-0005-0000-0000-0000795B0000}"/>
    <cellStyle name="Normal 276 3" xfId="23418" xr:uid="{00000000-0005-0000-0000-00007A5B0000}"/>
    <cellStyle name="Normal 276 3 2" xfId="23419" xr:uid="{00000000-0005-0000-0000-00007B5B0000}"/>
    <cellStyle name="Normal 276 3 2 2" xfId="23420" xr:uid="{00000000-0005-0000-0000-00007C5B0000}"/>
    <cellStyle name="Normal 276 3 2 2 2" xfId="23421" xr:uid="{00000000-0005-0000-0000-00007D5B0000}"/>
    <cellStyle name="Normal 276 3 2 3" xfId="23422" xr:uid="{00000000-0005-0000-0000-00007E5B0000}"/>
    <cellStyle name="Normal 276 3 2 3 2" xfId="23423" xr:uid="{00000000-0005-0000-0000-00007F5B0000}"/>
    <cellStyle name="Normal 276 3 2 3 2 2" xfId="23424" xr:uid="{00000000-0005-0000-0000-0000805B0000}"/>
    <cellStyle name="Normal 276 3 2 3 3" xfId="23425" xr:uid="{00000000-0005-0000-0000-0000815B0000}"/>
    <cellStyle name="Normal 276 3 2 4" xfId="23426" xr:uid="{00000000-0005-0000-0000-0000825B0000}"/>
    <cellStyle name="Normal 276 3 3" xfId="23427" xr:uid="{00000000-0005-0000-0000-0000835B0000}"/>
    <cellStyle name="Normal 276 3 3 2" xfId="23428" xr:uid="{00000000-0005-0000-0000-0000845B0000}"/>
    <cellStyle name="Normal 276 3 3 2 2" xfId="23429" xr:uid="{00000000-0005-0000-0000-0000855B0000}"/>
    <cellStyle name="Normal 276 3 3 3" xfId="23430" xr:uid="{00000000-0005-0000-0000-0000865B0000}"/>
    <cellStyle name="Normal 276 3 4" xfId="23431" xr:uid="{00000000-0005-0000-0000-0000875B0000}"/>
    <cellStyle name="Normal 276 3 4 2" xfId="23432" xr:uid="{00000000-0005-0000-0000-0000885B0000}"/>
    <cellStyle name="Normal 276 3 4 2 2" xfId="23433" xr:uid="{00000000-0005-0000-0000-0000895B0000}"/>
    <cellStyle name="Normal 276 3 4 3" xfId="23434" xr:uid="{00000000-0005-0000-0000-00008A5B0000}"/>
    <cellStyle name="Normal 276 3 5" xfId="23435" xr:uid="{00000000-0005-0000-0000-00008B5B0000}"/>
    <cellStyle name="Normal 276 3 5 2" xfId="23436" xr:uid="{00000000-0005-0000-0000-00008C5B0000}"/>
    <cellStyle name="Normal 276 3 5 2 2" xfId="23437" xr:uid="{00000000-0005-0000-0000-00008D5B0000}"/>
    <cellStyle name="Normal 276 3 5 3" xfId="23438" xr:uid="{00000000-0005-0000-0000-00008E5B0000}"/>
    <cellStyle name="Normal 276 3 6" xfId="23439" xr:uid="{00000000-0005-0000-0000-00008F5B0000}"/>
    <cellStyle name="Normal 276 4" xfId="23440" xr:uid="{00000000-0005-0000-0000-0000905B0000}"/>
    <cellStyle name="Normal 276 4 2" xfId="23441" xr:uid="{00000000-0005-0000-0000-0000915B0000}"/>
    <cellStyle name="Normal 276 4 2 2" xfId="23442" xr:uid="{00000000-0005-0000-0000-0000925B0000}"/>
    <cellStyle name="Normal 276 4 3" xfId="23443" xr:uid="{00000000-0005-0000-0000-0000935B0000}"/>
    <cellStyle name="Normal 276 5" xfId="23444" xr:uid="{00000000-0005-0000-0000-0000945B0000}"/>
    <cellStyle name="Normal 276 5 2" xfId="23445" xr:uid="{00000000-0005-0000-0000-0000955B0000}"/>
    <cellStyle name="Normal 276 5 2 2" xfId="23446" xr:uid="{00000000-0005-0000-0000-0000965B0000}"/>
    <cellStyle name="Normal 276 5 3" xfId="23447" xr:uid="{00000000-0005-0000-0000-0000975B0000}"/>
    <cellStyle name="Normal 276 6" xfId="23448" xr:uid="{00000000-0005-0000-0000-0000985B0000}"/>
    <cellStyle name="Normal 276 6 2" xfId="23449" xr:uid="{00000000-0005-0000-0000-0000995B0000}"/>
    <cellStyle name="Normal 276 6 2 2" xfId="23450" xr:uid="{00000000-0005-0000-0000-00009A5B0000}"/>
    <cellStyle name="Normal 276 6 3" xfId="23451" xr:uid="{00000000-0005-0000-0000-00009B5B0000}"/>
    <cellStyle name="Normal 276 7" xfId="23452" xr:uid="{00000000-0005-0000-0000-00009C5B0000}"/>
    <cellStyle name="Normal 277" xfId="23453" xr:uid="{00000000-0005-0000-0000-00009D5B0000}"/>
    <cellStyle name="Normal 277 2" xfId="23454" xr:uid="{00000000-0005-0000-0000-00009E5B0000}"/>
    <cellStyle name="Normal 277 2 2" xfId="23455" xr:uid="{00000000-0005-0000-0000-00009F5B0000}"/>
    <cellStyle name="Normal 277 2 2 2" xfId="23456" xr:uid="{00000000-0005-0000-0000-0000A05B0000}"/>
    <cellStyle name="Normal 277 2 3" xfId="23457" xr:uid="{00000000-0005-0000-0000-0000A15B0000}"/>
    <cellStyle name="Normal 277 2 3 2" xfId="23458" xr:uid="{00000000-0005-0000-0000-0000A25B0000}"/>
    <cellStyle name="Normal 277 2 3 2 2" xfId="23459" xr:uid="{00000000-0005-0000-0000-0000A35B0000}"/>
    <cellStyle name="Normal 277 2 3 3" xfId="23460" xr:uid="{00000000-0005-0000-0000-0000A45B0000}"/>
    <cellStyle name="Normal 277 2 4" xfId="23461" xr:uid="{00000000-0005-0000-0000-0000A55B0000}"/>
    <cellStyle name="Normal 277 2 4 2" xfId="23462" xr:uid="{00000000-0005-0000-0000-0000A65B0000}"/>
    <cellStyle name="Normal 277 2 4 2 2" xfId="23463" xr:uid="{00000000-0005-0000-0000-0000A75B0000}"/>
    <cellStyle name="Normal 277 2 4 3" xfId="23464" xr:uid="{00000000-0005-0000-0000-0000A85B0000}"/>
    <cellStyle name="Normal 277 2 5" xfId="23465" xr:uid="{00000000-0005-0000-0000-0000A95B0000}"/>
    <cellStyle name="Normal 277 3" xfId="23466" xr:uid="{00000000-0005-0000-0000-0000AA5B0000}"/>
    <cellStyle name="Normal 277 3 2" xfId="23467" xr:uid="{00000000-0005-0000-0000-0000AB5B0000}"/>
    <cellStyle name="Normal 277 3 2 2" xfId="23468" xr:uid="{00000000-0005-0000-0000-0000AC5B0000}"/>
    <cellStyle name="Normal 277 3 2 2 2" xfId="23469" xr:uid="{00000000-0005-0000-0000-0000AD5B0000}"/>
    <cellStyle name="Normal 277 3 2 3" xfId="23470" xr:uid="{00000000-0005-0000-0000-0000AE5B0000}"/>
    <cellStyle name="Normal 277 3 2 3 2" xfId="23471" xr:uid="{00000000-0005-0000-0000-0000AF5B0000}"/>
    <cellStyle name="Normal 277 3 2 3 2 2" xfId="23472" xr:uid="{00000000-0005-0000-0000-0000B05B0000}"/>
    <cellStyle name="Normal 277 3 2 3 3" xfId="23473" xr:uid="{00000000-0005-0000-0000-0000B15B0000}"/>
    <cellStyle name="Normal 277 3 2 4" xfId="23474" xr:uid="{00000000-0005-0000-0000-0000B25B0000}"/>
    <cellStyle name="Normal 277 3 3" xfId="23475" xr:uid="{00000000-0005-0000-0000-0000B35B0000}"/>
    <cellStyle name="Normal 277 3 3 2" xfId="23476" xr:uid="{00000000-0005-0000-0000-0000B45B0000}"/>
    <cellStyle name="Normal 277 3 3 2 2" xfId="23477" xr:uid="{00000000-0005-0000-0000-0000B55B0000}"/>
    <cellStyle name="Normal 277 3 3 3" xfId="23478" xr:uid="{00000000-0005-0000-0000-0000B65B0000}"/>
    <cellStyle name="Normal 277 3 4" xfId="23479" xr:uid="{00000000-0005-0000-0000-0000B75B0000}"/>
    <cellStyle name="Normal 277 3 4 2" xfId="23480" xr:uid="{00000000-0005-0000-0000-0000B85B0000}"/>
    <cellStyle name="Normal 277 3 4 2 2" xfId="23481" xr:uid="{00000000-0005-0000-0000-0000B95B0000}"/>
    <cellStyle name="Normal 277 3 4 3" xfId="23482" xr:uid="{00000000-0005-0000-0000-0000BA5B0000}"/>
    <cellStyle name="Normal 277 3 5" xfId="23483" xr:uid="{00000000-0005-0000-0000-0000BB5B0000}"/>
    <cellStyle name="Normal 277 3 5 2" xfId="23484" xr:uid="{00000000-0005-0000-0000-0000BC5B0000}"/>
    <cellStyle name="Normal 277 3 5 2 2" xfId="23485" xr:uid="{00000000-0005-0000-0000-0000BD5B0000}"/>
    <cellStyle name="Normal 277 3 5 3" xfId="23486" xr:uid="{00000000-0005-0000-0000-0000BE5B0000}"/>
    <cellStyle name="Normal 277 3 6" xfId="23487" xr:uid="{00000000-0005-0000-0000-0000BF5B0000}"/>
    <cellStyle name="Normal 277 4" xfId="23488" xr:uid="{00000000-0005-0000-0000-0000C05B0000}"/>
    <cellStyle name="Normal 277 4 2" xfId="23489" xr:uid="{00000000-0005-0000-0000-0000C15B0000}"/>
    <cellStyle name="Normal 277 4 2 2" xfId="23490" xr:uid="{00000000-0005-0000-0000-0000C25B0000}"/>
    <cellStyle name="Normal 277 4 3" xfId="23491" xr:uid="{00000000-0005-0000-0000-0000C35B0000}"/>
    <cellStyle name="Normal 277 5" xfId="23492" xr:uid="{00000000-0005-0000-0000-0000C45B0000}"/>
    <cellStyle name="Normal 277 5 2" xfId="23493" xr:uid="{00000000-0005-0000-0000-0000C55B0000}"/>
    <cellStyle name="Normal 277 5 2 2" xfId="23494" xr:uid="{00000000-0005-0000-0000-0000C65B0000}"/>
    <cellStyle name="Normal 277 5 3" xfId="23495" xr:uid="{00000000-0005-0000-0000-0000C75B0000}"/>
    <cellStyle name="Normal 277 6" xfId="23496" xr:uid="{00000000-0005-0000-0000-0000C85B0000}"/>
    <cellStyle name="Normal 277 6 2" xfId="23497" xr:uid="{00000000-0005-0000-0000-0000C95B0000}"/>
    <cellStyle name="Normal 277 6 2 2" xfId="23498" xr:uid="{00000000-0005-0000-0000-0000CA5B0000}"/>
    <cellStyle name="Normal 277 6 3" xfId="23499" xr:uid="{00000000-0005-0000-0000-0000CB5B0000}"/>
    <cellStyle name="Normal 277 7" xfId="23500" xr:uid="{00000000-0005-0000-0000-0000CC5B0000}"/>
    <cellStyle name="Normal 278" xfId="23501" xr:uid="{00000000-0005-0000-0000-0000CD5B0000}"/>
    <cellStyle name="Normal 278 2" xfId="23502" xr:uid="{00000000-0005-0000-0000-0000CE5B0000}"/>
    <cellStyle name="Normal 278 2 2" xfId="23503" xr:uid="{00000000-0005-0000-0000-0000CF5B0000}"/>
    <cellStyle name="Normal 278 2 2 2" xfId="23504" xr:uid="{00000000-0005-0000-0000-0000D05B0000}"/>
    <cellStyle name="Normal 278 2 3" xfId="23505" xr:uid="{00000000-0005-0000-0000-0000D15B0000}"/>
    <cellStyle name="Normal 278 2 3 2" xfId="23506" xr:uid="{00000000-0005-0000-0000-0000D25B0000}"/>
    <cellStyle name="Normal 278 2 3 2 2" xfId="23507" xr:uid="{00000000-0005-0000-0000-0000D35B0000}"/>
    <cellStyle name="Normal 278 2 3 3" xfId="23508" xr:uid="{00000000-0005-0000-0000-0000D45B0000}"/>
    <cellStyle name="Normal 278 2 4" xfId="23509" xr:uid="{00000000-0005-0000-0000-0000D55B0000}"/>
    <cellStyle name="Normal 278 2 4 2" xfId="23510" xr:uid="{00000000-0005-0000-0000-0000D65B0000}"/>
    <cellStyle name="Normal 278 2 4 2 2" xfId="23511" xr:uid="{00000000-0005-0000-0000-0000D75B0000}"/>
    <cellStyle name="Normal 278 2 4 3" xfId="23512" xr:uid="{00000000-0005-0000-0000-0000D85B0000}"/>
    <cellStyle name="Normal 278 2 5" xfId="23513" xr:uid="{00000000-0005-0000-0000-0000D95B0000}"/>
    <cellStyle name="Normal 278 3" xfId="23514" xr:uid="{00000000-0005-0000-0000-0000DA5B0000}"/>
    <cellStyle name="Normal 278 3 2" xfId="23515" xr:uid="{00000000-0005-0000-0000-0000DB5B0000}"/>
    <cellStyle name="Normal 278 3 2 2" xfId="23516" xr:uid="{00000000-0005-0000-0000-0000DC5B0000}"/>
    <cellStyle name="Normal 278 3 2 2 2" xfId="23517" xr:uid="{00000000-0005-0000-0000-0000DD5B0000}"/>
    <cellStyle name="Normal 278 3 2 3" xfId="23518" xr:uid="{00000000-0005-0000-0000-0000DE5B0000}"/>
    <cellStyle name="Normal 278 3 2 3 2" xfId="23519" xr:uid="{00000000-0005-0000-0000-0000DF5B0000}"/>
    <cellStyle name="Normal 278 3 2 3 2 2" xfId="23520" xr:uid="{00000000-0005-0000-0000-0000E05B0000}"/>
    <cellStyle name="Normal 278 3 2 3 3" xfId="23521" xr:uid="{00000000-0005-0000-0000-0000E15B0000}"/>
    <cellStyle name="Normal 278 3 2 4" xfId="23522" xr:uid="{00000000-0005-0000-0000-0000E25B0000}"/>
    <cellStyle name="Normal 278 3 3" xfId="23523" xr:uid="{00000000-0005-0000-0000-0000E35B0000}"/>
    <cellStyle name="Normal 278 3 3 2" xfId="23524" xr:uid="{00000000-0005-0000-0000-0000E45B0000}"/>
    <cellStyle name="Normal 278 3 3 2 2" xfId="23525" xr:uid="{00000000-0005-0000-0000-0000E55B0000}"/>
    <cellStyle name="Normal 278 3 3 3" xfId="23526" xr:uid="{00000000-0005-0000-0000-0000E65B0000}"/>
    <cellStyle name="Normal 278 3 4" xfId="23527" xr:uid="{00000000-0005-0000-0000-0000E75B0000}"/>
    <cellStyle name="Normal 278 3 4 2" xfId="23528" xr:uid="{00000000-0005-0000-0000-0000E85B0000}"/>
    <cellStyle name="Normal 278 3 4 2 2" xfId="23529" xr:uid="{00000000-0005-0000-0000-0000E95B0000}"/>
    <cellStyle name="Normal 278 3 4 3" xfId="23530" xr:uid="{00000000-0005-0000-0000-0000EA5B0000}"/>
    <cellStyle name="Normal 278 3 5" xfId="23531" xr:uid="{00000000-0005-0000-0000-0000EB5B0000}"/>
    <cellStyle name="Normal 278 3 5 2" xfId="23532" xr:uid="{00000000-0005-0000-0000-0000EC5B0000}"/>
    <cellStyle name="Normal 278 3 5 2 2" xfId="23533" xr:uid="{00000000-0005-0000-0000-0000ED5B0000}"/>
    <cellStyle name="Normal 278 3 5 3" xfId="23534" xr:uid="{00000000-0005-0000-0000-0000EE5B0000}"/>
    <cellStyle name="Normal 278 3 6" xfId="23535" xr:uid="{00000000-0005-0000-0000-0000EF5B0000}"/>
    <cellStyle name="Normal 278 4" xfId="23536" xr:uid="{00000000-0005-0000-0000-0000F05B0000}"/>
    <cellStyle name="Normal 278 4 2" xfId="23537" xr:uid="{00000000-0005-0000-0000-0000F15B0000}"/>
    <cellStyle name="Normal 278 4 2 2" xfId="23538" xr:uid="{00000000-0005-0000-0000-0000F25B0000}"/>
    <cellStyle name="Normal 278 4 3" xfId="23539" xr:uid="{00000000-0005-0000-0000-0000F35B0000}"/>
    <cellStyle name="Normal 278 5" xfId="23540" xr:uid="{00000000-0005-0000-0000-0000F45B0000}"/>
    <cellStyle name="Normal 278 5 2" xfId="23541" xr:uid="{00000000-0005-0000-0000-0000F55B0000}"/>
    <cellStyle name="Normal 278 5 2 2" xfId="23542" xr:uid="{00000000-0005-0000-0000-0000F65B0000}"/>
    <cellStyle name="Normal 278 5 3" xfId="23543" xr:uid="{00000000-0005-0000-0000-0000F75B0000}"/>
    <cellStyle name="Normal 278 6" xfId="23544" xr:uid="{00000000-0005-0000-0000-0000F85B0000}"/>
    <cellStyle name="Normal 278 6 2" xfId="23545" xr:uid="{00000000-0005-0000-0000-0000F95B0000}"/>
    <cellStyle name="Normal 278 6 2 2" xfId="23546" xr:uid="{00000000-0005-0000-0000-0000FA5B0000}"/>
    <cellStyle name="Normal 278 6 3" xfId="23547" xr:uid="{00000000-0005-0000-0000-0000FB5B0000}"/>
    <cellStyle name="Normal 278 7" xfId="23548" xr:uid="{00000000-0005-0000-0000-0000FC5B0000}"/>
    <cellStyle name="Normal 279" xfId="23549" xr:uid="{00000000-0005-0000-0000-0000FD5B0000}"/>
    <cellStyle name="Normal 279 2" xfId="23550" xr:uid="{00000000-0005-0000-0000-0000FE5B0000}"/>
    <cellStyle name="Normal 279 2 2" xfId="23551" xr:uid="{00000000-0005-0000-0000-0000FF5B0000}"/>
    <cellStyle name="Normal 279 2 2 2" xfId="23552" xr:uid="{00000000-0005-0000-0000-0000005C0000}"/>
    <cellStyle name="Normal 279 2 3" xfId="23553" xr:uid="{00000000-0005-0000-0000-0000015C0000}"/>
    <cellStyle name="Normal 279 2 3 2" xfId="23554" xr:uid="{00000000-0005-0000-0000-0000025C0000}"/>
    <cellStyle name="Normal 279 2 3 2 2" xfId="23555" xr:uid="{00000000-0005-0000-0000-0000035C0000}"/>
    <cellStyle name="Normal 279 2 3 3" xfId="23556" xr:uid="{00000000-0005-0000-0000-0000045C0000}"/>
    <cellStyle name="Normal 279 2 4" xfId="23557" xr:uid="{00000000-0005-0000-0000-0000055C0000}"/>
    <cellStyle name="Normal 279 2 4 2" xfId="23558" xr:uid="{00000000-0005-0000-0000-0000065C0000}"/>
    <cellStyle name="Normal 279 2 4 2 2" xfId="23559" xr:uid="{00000000-0005-0000-0000-0000075C0000}"/>
    <cellStyle name="Normal 279 2 4 3" xfId="23560" xr:uid="{00000000-0005-0000-0000-0000085C0000}"/>
    <cellStyle name="Normal 279 2 5" xfId="23561" xr:uid="{00000000-0005-0000-0000-0000095C0000}"/>
    <cellStyle name="Normal 279 3" xfId="23562" xr:uid="{00000000-0005-0000-0000-00000A5C0000}"/>
    <cellStyle name="Normal 279 3 2" xfId="23563" xr:uid="{00000000-0005-0000-0000-00000B5C0000}"/>
    <cellStyle name="Normal 279 3 2 2" xfId="23564" xr:uid="{00000000-0005-0000-0000-00000C5C0000}"/>
    <cellStyle name="Normal 279 3 2 2 2" xfId="23565" xr:uid="{00000000-0005-0000-0000-00000D5C0000}"/>
    <cellStyle name="Normal 279 3 2 3" xfId="23566" xr:uid="{00000000-0005-0000-0000-00000E5C0000}"/>
    <cellStyle name="Normal 279 3 2 3 2" xfId="23567" xr:uid="{00000000-0005-0000-0000-00000F5C0000}"/>
    <cellStyle name="Normal 279 3 2 3 2 2" xfId="23568" xr:uid="{00000000-0005-0000-0000-0000105C0000}"/>
    <cellStyle name="Normal 279 3 2 3 3" xfId="23569" xr:uid="{00000000-0005-0000-0000-0000115C0000}"/>
    <cellStyle name="Normal 279 3 2 4" xfId="23570" xr:uid="{00000000-0005-0000-0000-0000125C0000}"/>
    <cellStyle name="Normal 279 3 3" xfId="23571" xr:uid="{00000000-0005-0000-0000-0000135C0000}"/>
    <cellStyle name="Normal 279 3 3 2" xfId="23572" xr:uid="{00000000-0005-0000-0000-0000145C0000}"/>
    <cellStyle name="Normal 279 3 3 2 2" xfId="23573" xr:uid="{00000000-0005-0000-0000-0000155C0000}"/>
    <cellStyle name="Normal 279 3 3 3" xfId="23574" xr:uid="{00000000-0005-0000-0000-0000165C0000}"/>
    <cellStyle name="Normal 279 3 4" xfId="23575" xr:uid="{00000000-0005-0000-0000-0000175C0000}"/>
    <cellStyle name="Normal 279 3 4 2" xfId="23576" xr:uid="{00000000-0005-0000-0000-0000185C0000}"/>
    <cellStyle name="Normal 279 3 4 2 2" xfId="23577" xr:uid="{00000000-0005-0000-0000-0000195C0000}"/>
    <cellStyle name="Normal 279 3 4 3" xfId="23578" xr:uid="{00000000-0005-0000-0000-00001A5C0000}"/>
    <cellStyle name="Normal 279 3 5" xfId="23579" xr:uid="{00000000-0005-0000-0000-00001B5C0000}"/>
    <cellStyle name="Normal 279 3 5 2" xfId="23580" xr:uid="{00000000-0005-0000-0000-00001C5C0000}"/>
    <cellStyle name="Normal 279 3 5 2 2" xfId="23581" xr:uid="{00000000-0005-0000-0000-00001D5C0000}"/>
    <cellStyle name="Normal 279 3 5 3" xfId="23582" xr:uid="{00000000-0005-0000-0000-00001E5C0000}"/>
    <cellStyle name="Normal 279 3 6" xfId="23583" xr:uid="{00000000-0005-0000-0000-00001F5C0000}"/>
    <cellStyle name="Normal 279 4" xfId="23584" xr:uid="{00000000-0005-0000-0000-0000205C0000}"/>
    <cellStyle name="Normal 279 4 2" xfId="23585" xr:uid="{00000000-0005-0000-0000-0000215C0000}"/>
    <cellStyle name="Normal 279 4 2 2" xfId="23586" xr:uid="{00000000-0005-0000-0000-0000225C0000}"/>
    <cellStyle name="Normal 279 4 3" xfId="23587" xr:uid="{00000000-0005-0000-0000-0000235C0000}"/>
    <cellStyle name="Normal 279 5" xfId="23588" xr:uid="{00000000-0005-0000-0000-0000245C0000}"/>
    <cellStyle name="Normal 279 5 2" xfId="23589" xr:uid="{00000000-0005-0000-0000-0000255C0000}"/>
    <cellStyle name="Normal 279 5 2 2" xfId="23590" xr:uid="{00000000-0005-0000-0000-0000265C0000}"/>
    <cellStyle name="Normal 279 5 3" xfId="23591" xr:uid="{00000000-0005-0000-0000-0000275C0000}"/>
    <cellStyle name="Normal 279 6" xfId="23592" xr:uid="{00000000-0005-0000-0000-0000285C0000}"/>
    <cellStyle name="Normal 279 6 2" xfId="23593" xr:uid="{00000000-0005-0000-0000-0000295C0000}"/>
    <cellStyle name="Normal 279 6 2 2" xfId="23594" xr:uid="{00000000-0005-0000-0000-00002A5C0000}"/>
    <cellStyle name="Normal 279 6 3" xfId="23595" xr:uid="{00000000-0005-0000-0000-00002B5C0000}"/>
    <cellStyle name="Normal 279 7" xfId="23596" xr:uid="{00000000-0005-0000-0000-00002C5C0000}"/>
    <cellStyle name="Normal 28" xfId="23597" xr:uid="{00000000-0005-0000-0000-00002D5C0000}"/>
    <cellStyle name="Normal 28 2" xfId="23598" xr:uid="{00000000-0005-0000-0000-00002E5C0000}"/>
    <cellStyle name="Normal 28 2 2" xfId="23599" xr:uid="{00000000-0005-0000-0000-00002F5C0000}"/>
    <cellStyle name="Normal 28 2 2 2" xfId="23600" xr:uid="{00000000-0005-0000-0000-0000305C0000}"/>
    <cellStyle name="Normal 28 2 2 2 2" xfId="23601" xr:uid="{00000000-0005-0000-0000-0000315C0000}"/>
    <cellStyle name="Normal 28 2 2 3" xfId="23602" xr:uid="{00000000-0005-0000-0000-0000325C0000}"/>
    <cellStyle name="Normal 28 2 2 3 2" xfId="23603" xr:uid="{00000000-0005-0000-0000-0000335C0000}"/>
    <cellStyle name="Normal 28 2 2 3 2 2" xfId="23604" xr:uid="{00000000-0005-0000-0000-0000345C0000}"/>
    <cellStyle name="Normal 28 2 2 3 3" xfId="23605" xr:uid="{00000000-0005-0000-0000-0000355C0000}"/>
    <cellStyle name="Normal 28 2 2 4" xfId="23606" xr:uid="{00000000-0005-0000-0000-0000365C0000}"/>
    <cellStyle name="Normal 28 2 2 4 2" xfId="23607" xr:uid="{00000000-0005-0000-0000-0000375C0000}"/>
    <cellStyle name="Normal 28 2 2 4 2 2" xfId="23608" xr:uid="{00000000-0005-0000-0000-0000385C0000}"/>
    <cellStyle name="Normal 28 2 2 4 3" xfId="23609" xr:uid="{00000000-0005-0000-0000-0000395C0000}"/>
    <cellStyle name="Normal 28 2 2 5" xfId="23610" xr:uid="{00000000-0005-0000-0000-00003A5C0000}"/>
    <cellStyle name="Normal 28 2 3" xfId="23611" xr:uid="{00000000-0005-0000-0000-00003B5C0000}"/>
    <cellStyle name="Normal 28 2 3 2" xfId="23612" xr:uid="{00000000-0005-0000-0000-00003C5C0000}"/>
    <cellStyle name="Normal 28 2 3 2 2" xfId="23613" xr:uid="{00000000-0005-0000-0000-00003D5C0000}"/>
    <cellStyle name="Normal 28 2 3 3" xfId="23614" xr:uid="{00000000-0005-0000-0000-00003E5C0000}"/>
    <cellStyle name="Normal 28 2 4" xfId="23615" xr:uid="{00000000-0005-0000-0000-00003F5C0000}"/>
    <cellStyle name="Normal 28 2 4 2" xfId="23616" xr:uid="{00000000-0005-0000-0000-0000405C0000}"/>
    <cellStyle name="Normal 28 2 4 2 2" xfId="23617" xr:uid="{00000000-0005-0000-0000-0000415C0000}"/>
    <cellStyle name="Normal 28 2 4 3" xfId="23618" xr:uid="{00000000-0005-0000-0000-0000425C0000}"/>
    <cellStyle name="Normal 28 2 5" xfId="23619" xr:uid="{00000000-0005-0000-0000-0000435C0000}"/>
    <cellStyle name="Normal 28 2 5 2" xfId="23620" xr:uid="{00000000-0005-0000-0000-0000445C0000}"/>
    <cellStyle name="Normal 28 2 5 2 2" xfId="23621" xr:uid="{00000000-0005-0000-0000-0000455C0000}"/>
    <cellStyle name="Normal 28 2 5 3" xfId="23622" xr:uid="{00000000-0005-0000-0000-0000465C0000}"/>
    <cellStyle name="Normal 28 2 6" xfId="23623" xr:uid="{00000000-0005-0000-0000-0000475C0000}"/>
    <cellStyle name="Normal 28 3" xfId="23624" xr:uid="{00000000-0005-0000-0000-0000485C0000}"/>
    <cellStyle name="Normal 28 3 2" xfId="23625" xr:uid="{00000000-0005-0000-0000-0000495C0000}"/>
    <cellStyle name="Normal 28 3 2 2" xfId="23626" xr:uid="{00000000-0005-0000-0000-00004A5C0000}"/>
    <cellStyle name="Normal 28 3 3" xfId="23627" xr:uid="{00000000-0005-0000-0000-00004B5C0000}"/>
    <cellStyle name="Normal 28 3 3 2" xfId="23628" xr:uid="{00000000-0005-0000-0000-00004C5C0000}"/>
    <cellStyle name="Normal 28 3 3 2 2" xfId="23629" xr:uid="{00000000-0005-0000-0000-00004D5C0000}"/>
    <cellStyle name="Normal 28 3 3 3" xfId="23630" xr:uid="{00000000-0005-0000-0000-00004E5C0000}"/>
    <cellStyle name="Normal 28 3 4" xfId="23631" xr:uid="{00000000-0005-0000-0000-00004F5C0000}"/>
    <cellStyle name="Normal 28 3 4 2" xfId="23632" xr:uid="{00000000-0005-0000-0000-0000505C0000}"/>
    <cellStyle name="Normal 28 3 4 2 2" xfId="23633" xr:uid="{00000000-0005-0000-0000-0000515C0000}"/>
    <cellStyle name="Normal 28 3 4 3" xfId="23634" xr:uid="{00000000-0005-0000-0000-0000525C0000}"/>
    <cellStyle name="Normal 28 3 5" xfId="23635" xr:uid="{00000000-0005-0000-0000-0000535C0000}"/>
    <cellStyle name="Normal 28 4" xfId="23636" xr:uid="{00000000-0005-0000-0000-0000545C0000}"/>
    <cellStyle name="Normal 28 4 2" xfId="23637" xr:uid="{00000000-0005-0000-0000-0000555C0000}"/>
    <cellStyle name="Normal 28 4 2 2" xfId="23638" xr:uid="{00000000-0005-0000-0000-0000565C0000}"/>
    <cellStyle name="Normal 28 4 3" xfId="23639" xr:uid="{00000000-0005-0000-0000-0000575C0000}"/>
    <cellStyle name="Normal 28 4 3 2" xfId="23640" xr:uid="{00000000-0005-0000-0000-0000585C0000}"/>
    <cellStyle name="Normal 28 4 3 2 2" xfId="23641" xr:uid="{00000000-0005-0000-0000-0000595C0000}"/>
    <cellStyle name="Normal 28 4 3 3" xfId="23642" xr:uid="{00000000-0005-0000-0000-00005A5C0000}"/>
    <cellStyle name="Normal 28 4 4" xfId="23643" xr:uid="{00000000-0005-0000-0000-00005B5C0000}"/>
    <cellStyle name="Normal 28 4 4 2" xfId="23644" xr:uid="{00000000-0005-0000-0000-00005C5C0000}"/>
    <cellStyle name="Normal 28 4 4 2 2" xfId="23645" xr:uid="{00000000-0005-0000-0000-00005D5C0000}"/>
    <cellStyle name="Normal 28 4 4 3" xfId="23646" xr:uid="{00000000-0005-0000-0000-00005E5C0000}"/>
    <cellStyle name="Normal 28 4 5" xfId="23647" xr:uid="{00000000-0005-0000-0000-00005F5C0000}"/>
    <cellStyle name="Normal 28 5" xfId="23648" xr:uid="{00000000-0005-0000-0000-0000605C0000}"/>
    <cellStyle name="Normal 28 5 2" xfId="23649" xr:uid="{00000000-0005-0000-0000-0000615C0000}"/>
    <cellStyle name="Normal 28 5 2 2" xfId="23650" xr:uid="{00000000-0005-0000-0000-0000625C0000}"/>
    <cellStyle name="Normal 28 5 3" xfId="23651" xr:uid="{00000000-0005-0000-0000-0000635C0000}"/>
    <cellStyle name="Normal 28 6" xfId="23652" xr:uid="{00000000-0005-0000-0000-0000645C0000}"/>
    <cellStyle name="Normal 28 6 2" xfId="23653" xr:uid="{00000000-0005-0000-0000-0000655C0000}"/>
    <cellStyle name="Normal 28 6 2 2" xfId="23654" xr:uid="{00000000-0005-0000-0000-0000665C0000}"/>
    <cellStyle name="Normal 28 6 3" xfId="23655" xr:uid="{00000000-0005-0000-0000-0000675C0000}"/>
    <cellStyle name="Normal 28 7" xfId="23656" xr:uid="{00000000-0005-0000-0000-0000685C0000}"/>
    <cellStyle name="Normal 28 7 2" xfId="23657" xr:uid="{00000000-0005-0000-0000-0000695C0000}"/>
    <cellStyle name="Normal 28 7 2 2" xfId="23658" xr:uid="{00000000-0005-0000-0000-00006A5C0000}"/>
    <cellStyle name="Normal 28 7 3" xfId="23659" xr:uid="{00000000-0005-0000-0000-00006B5C0000}"/>
    <cellStyle name="Normal 28 8" xfId="23660" xr:uid="{00000000-0005-0000-0000-00006C5C0000}"/>
    <cellStyle name="Normal 280" xfId="23661" xr:uid="{00000000-0005-0000-0000-00006D5C0000}"/>
    <cellStyle name="Normal 280 2" xfId="23662" xr:uid="{00000000-0005-0000-0000-00006E5C0000}"/>
    <cellStyle name="Normal 280 2 2" xfId="23663" xr:uid="{00000000-0005-0000-0000-00006F5C0000}"/>
    <cellStyle name="Normal 280 2 2 2" xfId="23664" xr:uid="{00000000-0005-0000-0000-0000705C0000}"/>
    <cellStyle name="Normal 280 2 3" xfId="23665" xr:uid="{00000000-0005-0000-0000-0000715C0000}"/>
    <cellStyle name="Normal 280 2 3 2" xfId="23666" xr:uid="{00000000-0005-0000-0000-0000725C0000}"/>
    <cellStyle name="Normal 280 2 3 2 2" xfId="23667" xr:uid="{00000000-0005-0000-0000-0000735C0000}"/>
    <cellStyle name="Normal 280 2 3 3" xfId="23668" xr:uid="{00000000-0005-0000-0000-0000745C0000}"/>
    <cellStyle name="Normal 280 2 4" xfId="23669" xr:uid="{00000000-0005-0000-0000-0000755C0000}"/>
    <cellStyle name="Normal 280 2 4 2" xfId="23670" xr:uid="{00000000-0005-0000-0000-0000765C0000}"/>
    <cellStyle name="Normal 280 2 4 2 2" xfId="23671" xr:uid="{00000000-0005-0000-0000-0000775C0000}"/>
    <cellStyle name="Normal 280 2 4 3" xfId="23672" xr:uid="{00000000-0005-0000-0000-0000785C0000}"/>
    <cellStyle name="Normal 280 2 5" xfId="23673" xr:uid="{00000000-0005-0000-0000-0000795C0000}"/>
    <cellStyle name="Normal 280 3" xfId="23674" xr:uid="{00000000-0005-0000-0000-00007A5C0000}"/>
    <cellStyle name="Normal 280 3 2" xfId="23675" xr:uid="{00000000-0005-0000-0000-00007B5C0000}"/>
    <cellStyle name="Normal 280 3 2 2" xfId="23676" xr:uid="{00000000-0005-0000-0000-00007C5C0000}"/>
    <cellStyle name="Normal 280 3 2 2 2" xfId="23677" xr:uid="{00000000-0005-0000-0000-00007D5C0000}"/>
    <cellStyle name="Normal 280 3 2 3" xfId="23678" xr:uid="{00000000-0005-0000-0000-00007E5C0000}"/>
    <cellStyle name="Normal 280 3 2 3 2" xfId="23679" xr:uid="{00000000-0005-0000-0000-00007F5C0000}"/>
    <cellStyle name="Normal 280 3 2 3 2 2" xfId="23680" xr:uid="{00000000-0005-0000-0000-0000805C0000}"/>
    <cellStyle name="Normal 280 3 2 3 3" xfId="23681" xr:uid="{00000000-0005-0000-0000-0000815C0000}"/>
    <cellStyle name="Normal 280 3 2 4" xfId="23682" xr:uid="{00000000-0005-0000-0000-0000825C0000}"/>
    <cellStyle name="Normal 280 3 3" xfId="23683" xr:uid="{00000000-0005-0000-0000-0000835C0000}"/>
    <cellStyle name="Normal 280 3 3 2" xfId="23684" xr:uid="{00000000-0005-0000-0000-0000845C0000}"/>
    <cellStyle name="Normal 280 3 3 2 2" xfId="23685" xr:uid="{00000000-0005-0000-0000-0000855C0000}"/>
    <cellStyle name="Normal 280 3 3 3" xfId="23686" xr:uid="{00000000-0005-0000-0000-0000865C0000}"/>
    <cellStyle name="Normal 280 3 4" xfId="23687" xr:uid="{00000000-0005-0000-0000-0000875C0000}"/>
    <cellStyle name="Normal 280 3 4 2" xfId="23688" xr:uid="{00000000-0005-0000-0000-0000885C0000}"/>
    <cellStyle name="Normal 280 3 4 2 2" xfId="23689" xr:uid="{00000000-0005-0000-0000-0000895C0000}"/>
    <cellStyle name="Normal 280 3 4 3" xfId="23690" xr:uid="{00000000-0005-0000-0000-00008A5C0000}"/>
    <cellStyle name="Normal 280 3 5" xfId="23691" xr:uid="{00000000-0005-0000-0000-00008B5C0000}"/>
    <cellStyle name="Normal 280 3 5 2" xfId="23692" xr:uid="{00000000-0005-0000-0000-00008C5C0000}"/>
    <cellStyle name="Normal 280 3 5 2 2" xfId="23693" xr:uid="{00000000-0005-0000-0000-00008D5C0000}"/>
    <cellStyle name="Normal 280 3 5 3" xfId="23694" xr:uid="{00000000-0005-0000-0000-00008E5C0000}"/>
    <cellStyle name="Normal 280 3 6" xfId="23695" xr:uid="{00000000-0005-0000-0000-00008F5C0000}"/>
    <cellStyle name="Normal 280 4" xfId="23696" xr:uid="{00000000-0005-0000-0000-0000905C0000}"/>
    <cellStyle name="Normal 280 4 2" xfId="23697" xr:uid="{00000000-0005-0000-0000-0000915C0000}"/>
    <cellStyle name="Normal 280 4 2 2" xfId="23698" xr:uid="{00000000-0005-0000-0000-0000925C0000}"/>
    <cellStyle name="Normal 280 4 3" xfId="23699" xr:uid="{00000000-0005-0000-0000-0000935C0000}"/>
    <cellStyle name="Normal 280 5" xfId="23700" xr:uid="{00000000-0005-0000-0000-0000945C0000}"/>
    <cellStyle name="Normal 280 5 2" xfId="23701" xr:uid="{00000000-0005-0000-0000-0000955C0000}"/>
    <cellStyle name="Normal 280 5 2 2" xfId="23702" xr:uid="{00000000-0005-0000-0000-0000965C0000}"/>
    <cellStyle name="Normal 280 5 3" xfId="23703" xr:uid="{00000000-0005-0000-0000-0000975C0000}"/>
    <cellStyle name="Normal 280 6" xfId="23704" xr:uid="{00000000-0005-0000-0000-0000985C0000}"/>
    <cellStyle name="Normal 280 6 2" xfId="23705" xr:uid="{00000000-0005-0000-0000-0000995C0000}"/>
    <cellStyle name="Normal 280 6 2 2" xfId="23706" xr:uid="{00000000-0005-0000-0000-00009A5C0000}"/>
    <cellStyle name="Normal 280 6 3" xfId="23707" xr:uid="{00000000-0005-0000-0000-00009B5C0000}"/>
    <cellStyle name="Normal 280 7" xfId="23708" xr:uid="{00000000-0005-0000-0000-00009C5C0000}"/>
    <cellStyle name="Normal 281" xfId="23709" xr:uid="{00000000-0005-0000-0000-00009D5C0000}"/>
    <cellStyle name="Normal 281 2" xfId="23710" xr:uid="{00000000-0005-0000-0000-00009E5C0000}"/>
    <cellStyle name="Normal 281 2 2" xfId="23711" xr:uid="{00000000-0005-0000-0000-00009F5C0000}"/>
    <cellStyle name="Normal 281 2 2 2" xfId="23712" xr:uid="{00000000-0005-0000-0000-0000A05C0000}"/>
    <cellStyle name="Normal 281 2 3" xfId="23713" xr:uid="{00000000-0005-0000-0000-0000A15C0000}"/>
    <cellStyle name="Normal 281 2 3 2" xfId="23714" xr:uid="{00000000-0005-0000-0000-0000A25C0000}"/>
    <cellStyle name="Normal 281 2 3 2 2" xfId="23715" xr:uid="{00000000-0005-0000-0000-0000A35C0000}"/>
    <cellStyle name="Normal 281 2 3 3" xfId="23716" xr:uid="{00000000-0005-0000-0000-0000A45C0000}"/>
    <cellStyle name="Normal 281 2 4" xfId="23717" xr:uid="{00000000-0005-0000-0000-0000A55C0000}"/>
    <cellStyle name="Normal 281 2 4 2" xfId="23718" xr:uid="{00000000-0005-0000-0000-0000A65C0000}"/>
    <cellStyle name="Normal 281 2 4 2 2" xfId="23719" xr:uid="{00000000-0005-0000-0000-0000A75C0000}"/>
    <cellStyle name="Normal 281 2 4 3" xfId="23720" xr:uid="{00000000-0005-0000-0000-0000A85C0000}"/>
    <cellStyle name="Normal 281 2 5" xfId="23721" xr:uid="{00000000-0005-0000-0000-0000A95C0000}"/>
    <cellStyle name="Normal 281 3" xfId="23722" xr:uid="{00000000-0005-0000-0000-0000AA5C0000}"/>
    <cellStyle name="Normal 281 3 2" xfId="23723" xr:uid="{00000000-0005-0000-0000-0000AB5C0000}"/>
    <cellStyle name="Normal 281 3 2 2" xfId="23724" xr:uid="{00000000-0005-0000-0000-0000AC5C0000}"/>
    <cellStyle name="Normal 281 3 2 2 2" xfId="23725" xr:uid="{00000000-0005-0000-0000-0000AD5C0000}"/>
    <cellStyle name="Normal 281 3 2 3" xfId="23726" xr:uid="{00000000-0005-0000-0000-0000AE5C0000}"/>
    <cellStyle name="Normal 281 3 2 3 2" xfId="23727" xr:uid="{00000000-0005-0000-0000-0000AF5C0000}"/>
    <cellStyle name="Normal 281 3 2 3 2 2" xfId="23728" xr:uid="{00000000-0005-0000-0000-0000B05C0000}"/>
    <cellStyle name="Normal 281 3 2 3 3" xfId="23729" xr:uid="{00000000-0005-0000-0000-0000B15C0000}"/>
    <cellStyle name="Normal 281 3 2 4" xfId="23730" xr:uid="{00000000-0005-0000-0000-0000B25C0000}"/>
    <cellStyle name="Normal 281 3 3" xfId="23731" xr:uid="{00000000-0005-0000-0000-0000B35C0000}"/>
    <cellStyle name="Normal 281 3 3 2" xfId="23732" xr:uid="{00000000-0005-0000-0000-0000B45C0000}"/>
    <cellStyle name="Normal 281 3 3 2 2" xfId="23733" xr:uid="{00000000-0005-0000-0000-0000B55C0000}"/>
    <cellStyle name="Normal 281 3 3 3" xfId="23734" xr:uid="{00000000-0005-0000-0000-0000B65C0000}"/>
    <cellStyle name="Normal 281 3 4" xfId="23735" xr:uid="{00000000-0005-0000-0000-0000B75C0000}"/>
    <cellStyle name="Normal 281 3 4 2" xfId="23736" xr:uid="{00000000-0005-0000-0000-0000B85C0000}"/>
    <cellStyle name="Normal 281 3 4 2 2" xfId="23737" xr:uid="{00000000-0005-0000-0000-0000B95C0000}"/>
    <cellStyle name="Normal 281 3 4 3" xfId="23738" xr:uid="{00000000-0005-0000-0000-0000BA5C0000}"/>
    <cellStyle name="Normal 281 3 5" xfId="23739" xr:uid="{00000000-0005-0000-0000-0000BB5C0000}"/>
    <cellStyle name="Normal 281 3 5 2" xfId="23740" xr:uid="{00000000-0005-0000-0000-0000BC5C0000}"/>
    <cellStyle name="Normal 281 3 5 2 2" xfId="23741" xr:uid="{00000000-0005-0000-0000-0000BD5C0000}"/>
    <cellStyle name="Normal 281 3 5 3" xfId="23742" xr:uid="{00000000-0005-0000-0000-0000BE5C0000}"/>
    <cellStyle name="Normal 281 3 6" xfId="23743" xr:uid="{00000000-0005-0000-0000-0000BF5C0000}"/>
    <cellStyle name="Normal 281 4" xfId="23744" xr:uid="{00000000-0005-0000-0000-0000C05C0000}"/>
    <cellStyle name="Normal 281 4 2" xfId="23745" xr:uid="{00000000-0005-0000-0000-0000C15C0000}"/>
    <cellStyle name="Normal 281 4 2 2" xfId="23746" xr:uid="{00000000-0005-0000-0000-0000C25C0000}"/>
    <cellStyle name="Normal 281 4 3" xfId="23747" xr:uid="{00000000-0005-0000-0000-0000C35C0000}"/>
    <cellStyle name="Normal 281 5" xfId="23748" xr:uid="{00000000-0005-0000-0000-0000C45C0000}"/>
    <cellStyle name="Normal 281 5 2" xfId="23749" xr:uid="{00000000-0005-0000-0000-0000C55C0000}"/>
    <cellStyle name="Normal 281 5 2 2" xfId="23750" xr:uid="{00000000-0005-0000-0000-0000C65C0000}"/>
    <cellStyle name="Normal 281 5 3" xfId="23751" xr:uid="{00000000-0005-0000-0000-0000C75C0000}"/>
    <cellStyle name="Normal 281 6" xfId="23752" xr:uid="{00000000-0005-0000-0000-0000C85C0000}"/>
    <cellStyle name="Normal 281 6 2" xfId="23753" xr:uid="{00000000-0005-0000-0000-0000C95C0000}"/>
    <cellStyle name="Normal 281 6 2 2" xfId="23754" xr:uid="{00000000-0005-0000-0000-0000CA5C0000}"/>
    <cellStyle name="Normal 281 6 3" xfId="23755" xr:uid="{00000000-0005-0000-0000-0000CB5C0000}"/>
    <cellStyle name="Normal 281 7" xfId="23756" xr:uid="{00000000-0005-0000-0000-0000CC5C0000}"/>
    <cellStyle name="Normal 282" xfId="23757" xr:uid="{00000000-0005-0000-0000-0000CD5C0000}"/>
    <cellStyle name="Normal 282 2" xfId="23758" xr:uid="{00000000-0005-0000-0000-0000CE5C0000}"/>
    <cellStyle name="Normal 282 2 2" xfId="23759" xr:uid="{00000000-0005-0000-0000-0000CF5C0000}"/>
    <cellStyle name="Normal 282 2 2 2" xfId="23760" xr:uid="{00000000-0005-0000-0000-0000D05C0000}"/>
    <cellStyle name="Normal 282 2 3" xfId="23761" xr:uid="{00000000-0005-0000-0000-0000D15C0000}"/>
    <cellStyle name="Normal 282 2 3 2" xfId="23762" xr:uid="{00000000-0005-0000-0000-0000D25C0000}"/>
    <cellStyle name="Normal 282 2 3 2 2" xfId="23763" xr:uid="{00000000-0005-0000-0000-0000D35C0000}"/>
    <cellStyle name="Normal 282 2 3 3" xfId="23764" xr:uid="{00000000-0005-0000-0000-0000D45C0000}"/>
    <cellStyle name="Normal 282 2 4" xfId="23765" xr:uid="{00000000-0005-0000-0000-0000D55C0000}"/>
    <cellStyle name="Normal 282 2 4 2" xfId="23766" xr:uid="{00000000-0005-0000-0000-0000D65C0000}"/>
    <cellStyle name="Normal 282 2 4 2 2" xfId="23767" xr:uid="{00000000-0005-0000-0000-0000D75C0000}"/>
    <cellStyle name="Normal 282 2 4 3" xfId="23768" xr:uid="{00000000-0005-0000-0000-0000D85C0000}"/>
    <cellStyle name="Normal 282 2 5" xfId="23769" xr:uid="{00000000-0005-0000-0000-0000D95C0000}"/>
    <cellStyle name="Normal 282 3" xfId="23770" xr:uid="{00000000-0005-0000-0000-0000DA5C0000}"/>
    <cellStyle name="Normal 282 3 2" xfId="23771" xr:uid="{00000000-0005-0000-0000-0000DB5C0000}"/>
    <cellStyle name="Normal 282 3 2 2" xfId="23772" xr:uid="{00000000-0005-0000-0000-0000DC5C0000}"/>
    <cellStyle name="Normal 282 3 2 2 2" xfId="23773" xr:uid="{00000000-0005-0000-0000-0000DD5C0000}"/>
    <cellStyle name="Normal 282 3 2 3" xfId="23774" xr:uid="{00000000-0005-0000-0000-0000DE5C0000}"/>
    <cellStyle name="Normal 282 3 2 3 2" xfId="23775" xr:uid="{00000000-0005-0000-0000-0000DF5C0000}"/>
    <cellStyle name="Normal 282 3 2 3 2 2" xfId="23776" xr:uid="{00000000-0005-0000-0000-0000E05C0000}"/>
    <cellStyle name="Normal 282 3 2 3 3" xfId="23777" xr:uid="{00000000-0005-0000-0000-0000E15C0000}"/>
    <cellStyle name="Normal 282 3 2 4" xfId="23778" xr:uid="{00000000-0005-0000-0000-0000E25C0000}"/>
    <cellStyle name="Normal 282 3 3" xfId="23779" xr:uid="{00000000-0005-0000-0000-0000E35C0000}"/>
    <cellStyle name="Normal 282 3 3 2" xfId="23780" xr:uid="{00000000-0005-0000-0000-0000E45C0000}"/>
    <cellStyle name="Normal 282 3 3 2 2" xfId="23781" xr:uid="{00000000-0005-0000-0000-0000E55C0000}"/>
    <cellStyle name="Normal 282 3 3 3" xfId="23782" xr:uid="{00000000-0005-0000-0000-0000E65C0000}"/>
    <cellStyle name="Normal 282 3 4" xfId="23783" xr:uid="{00000000-0005-0000-0000-0000E75C0000}"/>
    <cellStyle name="Normal 282 3 4 2" xfId="23784" xr:uid="{00000000-0005-0000-0000-0000E85C0000}"/>
    <cellStyle name="Normal 282 3 4 2 2" xfId="23785" xr:uid="{00000000-0005-0000-0000-0000E95C0000}"/>
    <cellStyle name="Normal 282 3 4 3" xfId="23786" xr:uid="{00000000-0005-0000-0000-0000EA5C0000}"/>
    <cellStyle name="Normal 282 3 5" xfId="23787" xr:uid="{00000000-0005-0000-0000-0000EB5C0000}"/>
    <cellStyle name="Normal 282 3 5 2" xfId="23788" xr:uid="{00000000-0005-0000-0000-0000EC5C0000}"/>
    <cellStyle name="Normal 282 3 5 2 2" xfId="23789" xr:uid="{00000000-0005-0000-0000-0000ED5C0000}"/>
    <cellStyle name="Normal 282 3 5 3" xfId="23790" xr:uid="{00000000-0005-0000-0000-0000EE5C0000}"/>
    <cellStyle name="Normal 282 3 6" xfId="23791" xr:uid="{00000000-0005-0000-0000-0000EF5C0000}"/>
    <cellStyle name="Normal 282 4" xfId="23792" xr:uid="{00000000-0005-0000-0000-0000F05C0000}"/>
    <cellStyle name="Normal 282 4 2" xfId="23793" xr:uid="{00000000-0005-0000-0000-0000F15C0000}"/>
    <cellStyle name="Normal 282 4 2 2" xfId="23794" xr:uid="{00000000-0005-0000-0000-0000F25C0000}"/>
    <cellStyle name="Normal 282 4 3" xfId="23795" xr:uid="{00000000-0005-0000-0000-0000F35C0000}"/>
    <cellStyle name="Normal 282 5" xfId="23796" xr:uid="{00000000-0005-0000-0000-0000F45C0000}"/>
    <cellStyle name="Normal 282 5 2" xfId="23797" xr:uid="{00000000-0005-0000-0000-0000F55C0000}"/>
    <cellStyle name="Normal 282 5 2 2" xfId="23798" xr:uid="{00000000-0005-0000-0000-0000F65C0000}"/>
    <cellStyle name="Normal 282 5 3" xfId="23799" xr:uid="{00000000-0005-0000-0000-0000F75C0000}"/>
    <cellStyle name="Normal 282 6" xfId="23800" xr:uid="{00000000-0005-0000-0000-0000F85C0000}"/>
    <cellStyle name="Normal 282 6 2" xfId="23801" xr:uid="{00000000-0005-0000-0000-0000F95C0000}"/>
    <cellStyle name="Normal 282 6 2 2" xfId="23802" xr:uid="{00000000-0005-0000-0000-0000FA5C0000}"/>
    <cellStyle name="Normal 282 6 3" xfId="23803" xr:uid="{00000000-0005-0000-0000-0000FB5C0000}"/>
    <cellStyle name="Normal 282 7" xfId="23804" xr:uid="{00000000-0005-0000-0000-0000FC5C0000}"/>
    <cellStyle name="Normal 283" xfId="23805" xr:uid="{00000000-0005-0000-0000-0000FD5C0000}"/>
    <cellStyle name="Normal 283 2" xfId="23806" xr:uid="{00000000-0005-0000-0000-0000FE5C0000}"/>
    <cellStyle name="Normal 283 2 2" xfId="23807" xr:uid="{00000000-0005-0000-0000-0000FF5C0000}"/>
    <cellStyle name="Normal 283 2 2 2" xfId="23808" xr:uid="{00000000-0005-0000-0000-0000005D0000}"/>
    <cellStyle name="Normal 283 2 3" xfId="23809" xr:uid="{00000000-0005-0000-0000-0000015D0000}"/>
    <cellStyle name="Normal 283 2 3 2" xfId="23810" xr:uid="{00000000-0005-0000-0000-0000025D0000}"/>
    <cellStyle name="Normal 283 2 3 2 2" xfId="23811" xr:uid="{00000000-0005-0000-0000-0000035D0000}"/>
    <cellStyle name="Normal 283 2 3 3" xfId="23812" xr:uid="{00000000-0005-0000-0000-0000045D0000}"/>
    <cellStyle name="Normal 283 2 4" xfId="23813" xr:uid="{00000000-0005-0000-0000-0000055D0000}"/>
    <cellStyle name="Normal 283 2 4 2" xfId="23814" xr:uid="{00000000-0005-0000-0000-0000065D0000}"/>
    <cellStyle name="Normal 283 2 4 2 2" xfId="23815" xr:uid="{00000000-0005-0000-0000-0000075D0000}"/>
    <cellStyle name="Normal 283 2 4 3" xfId="23816" xr:uid="{00000000-0005-0000-0000-0000085D0000}"/>
    <cellStyle name="Normal 283 2 5" xfId="23817" xr:uid="{00000000-0005-0000-0000-0000095D0000}"/>
    <cellStyle name="Normal 283 3" xfId="23818" xr:uid="{00000000-0005-0000-0000-00000A5D0000}"/>
    <cellStyle name="Normal 283 3 2" xfId="23819" xr:uid="{00000000-0005-0000-0000-00000B5D0000}"/>
    <cellStyle name="Normal 283 3 2 2" xfId="23820" xr:uid="{00000000-0005-0000-0000-00000C5D0000}"/>
    <cellStyle name="Normal 283 3 2 2 2" xfId="23821" xr:uid="{00000000-0005-0000-0000-00000D5D0000}"/>
    <cellStyle name="Normal 283 3 2 3" xfId="23822" xr:uid="{00000000-0005-0000-0000-00000E5D0000}"/>
    <cellStyle name="Normal 283 3 2 3 2" xfId="23823" xr:uid="{00000000-0005-0000-0000-00000F5D0000}"/>
    <cellStyle name="Normal 283 3 2 3 2 2" xfId="23824" xr:uid="{00000000-0005-0000-0000-0000105D0000}"/>
    <cellStyle name="Normal 283 3 2 3 3" xfId="23825" xr:uid="{00000000-0005-0000-0000-0000115D0000}"/>
    <cellStyle name="Normal 283 3 2 4" xfId="23826" xr:uid="{00000000-0005-0000-0000-0000125D0000}"/>
    <cellStyle name="Normal 283 3 3" xfId="23827" xr:uid="{00000000-0005-0000-0000-0000135D0000}"/>
    <cellStyle name="Normal 283 3 3 2" xfId="23828" xr:uid="{00000000-0005-0000-0000-0000145D0000}"/>
    <cellStyle name="Normal 283 3 3 2 2" xfId="23829" xr:uid="{00000000-0005-0000-0000-0000155D0000}"/>
    <cellStyle name="Normal 283 3 3 3" xfId="23830" xr:uid="{00000000-0005-0000-0000-0000165D0000}"/>
    <cellStyle name="Normal 283 3 4" xfId="23831" xr:uid="{00000000-0005-0000-0000-0000175D0000}"/>
    <cellStyle name="Normal 283 3 4 2" xfId="23832" xr:uid="{00000000-0005-0000-0000-0000185D0000}"/>
    <cellStyle name="Normal 283 3 4 2 2" xfId="23833" xr:uid="{00000000-0005-0000-0000-0000195D0000}"/>
    <cellStyle name="Normal 283 3 4 3" xfId="23834" xr:uid="{00000000-0005-0000-0000-00001A5D0000}"/>
    <cellStyle name="Normal 283 3 5" xfId="23835" xr:uid="{00000000-0005-0000-0000-00001B5D0000}"/>
    <cellStyle name="Normal 283 3 5 2" xfId="23836" xr:uid="{00000000-0005-0000-0000-00001C5D0000}"/>
    <cellStyle name="Normal 283 3 5 2 2" xfId="23837" xr:uid="{00000000-0005-0000-0000-00001D5D0000}"/>
    <cellStyle name="Normal 283 3 5 3" xfId="23838" xr:uid="{00000000-0005-0000-0000-00001E5D0000}"/>
    <cellStyle name="Normal 283 3 6" xfId="23839" xr:uid="{00000000-0005-0000-0000-00001F5D0000}"/>
    <cellStyle name="Normal 283 4" xfId="23840" xr:uid="{00000000-0005-0000-0000-0000205D0000}"/>
    <cellStyle name="Normal 283 4 2" xfId="23841" xr:uid="{00000000-0005-0000-0000-0000215D0000}"/>
    <cellStyle name="Normal 283 4 2 2" xfId="23842" xr:uid="{00000000-0005-0000-0000-0000225D0000}"/>
    <cellStyle name="Normal 283 4 3" xfId="23843" xr:uid="{00000000-0005-0000-0000-0000235D0000}"/>
    <cellStyle name="Normal 283 5" xfId="23844" xr:uid="{00000000-0005-0000-0000-0000245D0000}"/>
    <cellStyle name="Normal 283 5 2" xfId="23845" xr:uid="{00000000-0005-0000-0000-0000255D0000}"/>
    <cellStyle name="Normal 283 5 2 2" xfId="23846" xr:uid="{00000000-0005-0000-0000-0000265D0000}"/>
    <cellStyle name="Normal 283 5 3" xfId="23847" xr:uid="{00000000-0005-0000-0000-0000275D0000}"/>
    <cellStyle name="Normal 283 6" xfId="23848" xr:uid="{00000000-0005-0000-0000-0000285D0000}"/>
    <cellStyle name="Normal 283 6 2" xfId="23849" xr:uid="{00000000-0005-0000-0000-0000295D0000}"/>
    <cellStyle name="Normal 283 6 2 2" xfId="23850" xr:uid="{00000000-0005-0000-0000-00002A5D0000}"/>
    <cellStyle name="Normal 283 6 3" xfId="23851" xr:uid="{00000000-0005-0000-0000-00002B5D0000}"/>
    <cellStyle name="Normal 283 7" xfId="23852" xr:uid="{00000000-0005-0000-0000-00002C5D0000}"/>
    <cellStyle name="Normal 284" xfId="23853" xr:uid="{00000000-0005-0000-0000-00002D5D0000}"/>
    <cellStyle name="Normal 284 2" xfId="23854" xr:uid="{00000000-0005-0000-0000-00002E5D0000}"/>
    <cellStyle name="Normal 284 2 2" xfId="23855" xr:uid="{00000000-0005-0000-0000-00002F5D0000}"/>
    <cellStyle name="Normal 284 2 2 2" xfId="23856" xr:uid="{00000000-0005-0000-0000-0000305D0000}"/>
    <cellStyle name="Normal 284 2 3" xfId="23857" xr:uid="{00000000-0005-0000-0000-0000315D0000}"/>
    <cellStyle name="Normal 284 2 3 2" xfId="23858" xr:uid="{00000000-0005-0000-0000-0000325D0000}"/>
    <cellStyle name="Normal 284 2 3 2 2" xfId="23859" xr:uid="{00000000-0005-0000-0000-0000335D0000}"/>
    <cellStyle name="Normal 284 2 3 3" xfId="23860" xr:uid="{00000000-0005-0000-0000-0000345D0000}"/>
    <cellStyle name="Normal 284 2 4" xfId="23861" xr:uid="{00000000-0005-0000-0000-0000355D0000}"/>
    <cellStyle name="Normal 284 2 4 2" xfId="23862" xr:uid="{00000000-0005-0000-0000-0000365D0000}"/>
    <cellStyle name="Normal 284 2 4 2 2" xfId="23863" xr:uid="{00000000-0005-0000-0000-0000375D0000}"/>
    <cellStyle name="Normal 284 2 4 3" xfId="23864" xr:uid="{00000000-0005-0000-0000-0000385D0000}"/>
    <cellStyle name="Normal 284 2 5" xfId="23865" xr:uid="{00000000-0005-0000-0000-0000395D0000}"/>
    <cellStyle name="Normal 284 3" xfId="23866" xr:uid="{00000000-0005-0000-0000-00003A5D0000}"/>
    <cellStyle name="Normal 284 3 2" xfId="23867" xr:uid="{00000000-0005-0000-0000-00003B5D0000}"/>
    <cellStyle name="Normal 284 3 2 2" xfId="23868" xr:uid="{00000000-0005-0000-0000-00003C5D0000}"/>
    <cellStyle name="Normal 284 3 2 2 2" xfId="23869" xr:uid="{00000000-0005-0000-0000-00003D5D0000}"/>
    <cellStyle name="Normal 284 3 2 3" xfId="23870" xr:uid="{00000000-0005-0000-0000-00003E5D0000}"/>
    <cellStyle name="Normal 284 3 2 3 2" xfId="23871" xr:uid="{00000000-0005-0000-0000-00003F5D0000}"/>
    <cellStyle name="Normal 284 3 2 3 2 2" xfId="23872" xr:uid="{00000000-0005-0000-0000-0000405D0000}"/>
    <cellStyle name="Normal 284 3 2 3 3" xfId="23873" xr:uid="{00000000-0005-0000-0000-0000415D0000}"/>
    <cellStyle name="Normal 284 3 2 4" xfId="23874" xr:uid="{00000000-0005-0000-0000-0000425D0000}"/>
    <cellStyle name="Normal 284 3 3" xfId="23875" xr:uid="{00000000-0005-0000-0000-0000435D0000}"/>
    <cellStyle name="Normal 284 3 3 2" xfId="23876" xr:uid="{00000000-0005-0000-0000-0000445D0000}"/>
    <cellStyle name="Normal 284 3 3 2 2" xfId="23877" xr:uid="{00000000-0005-0000-0000-0000455D0000}"/>
    <cellStyle name="Normal 284 3 3 3" xfId="23878" xr:uid="{00000000-0005-0000-0000-0000465D0000}"/>
    <cellStyle name="Normal 284 3 4" xfId="23879" xr:uid="{00000000-0005-0000-0000-0000475D0000}"/>
    <cellStyle name="Normal 284 3 4 2" xfId="23880" xr:uid="{00000000-0005-0000-0000-0000485D0000}"/>
    <cellStyle name="Normal 284 3 4 2 2" xfId="23881" xr:uid="{00000000-0005-0000-0000-0000495D0000}"/>
    <cellStyle name="Normal 284 3 4 3" xfId="23882" xr:uid="{00000000-0005-0000-0000-00004A5D0000}"/>
    <cellStyle name="Normal 284 3 5" xfId="23883" xr:uid="{00000000-0005-0000-0000-00004B5D0000}"/>
    <cellStyle name="Normal 284 3 5 2" xfId="23884" xr:uid="{00000000-0005-0000-0000-00004C5D0000}"/>
    <cellStyle name="Normal 284 3 5 2 2" xfId="23885" xr:uid="{00000000-0005-0000-0000-00004D5D0000}"/>
    <cellStyle name="Normal 284 3 5 3" xfId="23886" xr:uid="{00000000-0005-0000-0000-00004E5D0000}"/>
    <cellStyle name="Normal 284 3 6" xfId="23887" xr:uid="{00000000-0005-0000-0000-00004F5D0000}"/>
    <cellStyle name="Normal 284 4" xfId="23888" xr:uid="{00000000-0005-0000-0000-0000505D0000}"/>
    <cellStyle name="Normal 284 4 2" xfId="23889" xr:uid="{00000000-0005-0000-0000-0000515D0000}"/>
    <cellStyle name="Normal 284 4 2 2" xfId="23890" xr:uid="{00000000-0005-0000-0000-0000525D0000}"/>
    <cellStyle name="Normal 284 4 3" xfId="23891" xr:uid="{00000000-0005-0000-0000-0000535D0000}"/>
    <cellStyle name="Normal 284 5" xfId="23892" xr:uid="{00000000-0005-0000-0000-0000545D0000}"/>
    <cellStyle name="Normal 284 5 2" xfId="23893" xr:uid="{00000000-0005-0000-0000-0000555D0000}"/>
    <cellStyle name="Normal 284 5 2 2" xfId="23894" xr:uid="{00000000-0005-0000-0000-0000565D0000}"/>
    <cellStyle name="Normal 284 5 3" xfId="23895" xr:uid="{00000000-0005-0000-0000-0000575D0000}"/>
    <cellStyle name="Normal 284 6" xfId="23896" xr:uid="{00000000-0005-0000-0000-0000585D0000}"/>
    <cellStyle name="Normal 284 6 2" xfId="23897" xr:uid="{00000000-0005-0000-0000-0000595D0000}"/>
    <cellStyle name="Normal 284 6 2 2" xfId="23898" xr:uid="{00000000-0005-0000-0000-00005A5D0000}"/>
    <cellStyle name="Normal 284 6 3" xfId="23899" xr:uid="{00000000-0005-0000-0000-00005B5D0000}"/>
    <cellStyle name="Normal 284 7" xfId="23900" xr:uid="{00000000-0005-0000-0000-00005C5D0000}"/>
    <cellStyle name="Normal 285" xfId="23901" xr:uid="{00000000-0005-0000-0000-00005D5D0000}"/>
    <cellStyle name="Normal 285 2" xfId="23902" xr:uid="{00000000-0005-0000-0000-00005E5D0000}"/>
    <cellStyle name="Normal 285 2 2" xfId="23903" xr:uid="{00000000-0005-0000-0000-00005F5D0000}"/>
    <cellStyle name="Normal 285 2 2 2" xfId="23904" xr:uid="{00000000-0005-0000-0000-0000605D0000}"/>
    <cellStyle name="Normal 285 2 3" xfId="23905" xr:uid="{00000000-0005-0000-0000-0000615D0000}"/>
    <cellStyle name="Normal 285 2 3 2" xfId="23906" xr:uid="{00000000-0005-0000-0000-0000625D0000}"/>
    <cellStyle name="Normal 285 2 3 2 2" xfId="23907" xr:uid="{00000000-0005-0000-0000-0000635D0000}"/>
    <cellStyle name="Normal 285 2 3 3" xfId="23908" xr:uid="{00000000-0005-0000-0000-0000645D0000}"/>
    <cellStyle name="Normal 285 2 4" xfId="23909" xr:uid="{00000000-0005-0000-0000-0000655D0000}"/>
    <cellStyle name="Normal 285 2 4 2" xfId="23910" xr:uid="{00000000-0005-0000-0000-0000665D0000}"/>
    <cellStyle name="Normal 285 2 4 2 2" xfId="23911" xr:uid="{00000000-0005-0000-0000-0000675D0000}"/>
    <cellStyle name="Normal 285 2 4 3" xfId="23912" xr:uid="{00000000-0005-0000-0000-0000685D0000}"/>
    <cellStyle name="Normal 285 2 5" xfId="23913" xr:uid="{00000000-0005-0000-0000-0000695D0000}"/>
    <cellStyle name="Normal 285 3" xfId="23914" xr:uid="{00000000-0005-0000-0000-00006A5D0000}"/>
    <cellStyle name="Normal 285 3 2" xfId="23915" xr:uid="{00000000-0005-0000-0000-00006B5D0000}"/>
    <cellStyle name="Normal 285 3 2 2" xfId="23916" xr:uid="{00000000-0005-0000-0000-00006C5D0000}"/>
    <cellStyle name="Normal 285 3 2 2 2" xfId="23917" xr:uid="{00000000-0005-0000-0000-00006D5D0000}"/>
    <cellStyle name="Normal 285 3 2 3" xfId="23918" xr:uid="{00000000-0005-0000-0000-00006E5D0000}"/>
    <cellStyle name="Normal 285 3 2 3 2" xfId="23919" xr:uid="{00000000-0005-0000-0000-00006F5D0000}"/>
    <cellStyle name="Normal 285 3 2 3 2 2" xfId="23920" xr:uid="{00000000-0005-0000-0000-0000705D0000}"/>
    <cellStyle name="Normal 285 3 2 3 3" xfId="23921" xr:uid="{00000000-0005-0000-0000-0000715D0000}"/>
    <cellStyle name="Normal 285 3 2 4" xfId="23922" xr:uid="{00000000-0005-0000-0000-0000725D0000}"/>
    <cellStyle name="Normal 285 3 3" xfId="23923" xr:uid="{00000000-0005-0000-0000-0000735D0000}"/>
    <cellStyle name="Normal 285 3 3 2" xfId="23924" xr:uid="{00000000-0005-0000-0000-0000745D0000}"/>
    <cellStyle name="Normal 285 3 3 2 2" xfId="23925" xr:uid="{00000000-0005-0000-0000-0000755D0000}"/>
    <cellStyle name="Normal 285 3 3 3" xfId="23926" xr:uid="{00000000-0005-0000-0000-0000765D0000}"/>
    <cellStyle name="Normal 285 3 4" xfId="23927" xr:uid="{00000000-0005-0000-0000-0000775D0000}"/>
    <cellStyle name="Normal 285 3 4 2" xfId="23928" xr:uid="{00000000-0005-0000-0000-0000785D0000}"/>
    <cellStyle name="Normal 285 3 4 2 2" xfId="23929" xr:uid="{00000000-0005-0000-0000-0000795D0000}"/>
    <cellStyle name="Normal 285 3 4 3" xfId="23930" xr:uid="{00000000-0005-0000-0000-00007A5D0000}"/>
    <cellStyle name="Normal 285 3 5" xfId="23931" xr:uid="{00000000-0005-0000-0000-00007B5D0000}"/>
    <cellStyle name="Normal 285 3 5 2" xfId="23932" xr:uid="{00000000-0005-0000-0000-00007C5D0000}"/>
    <cellStyle name="Normal 285 3 5 2 2" xfId="23933" xr:uid="{00000000-0005-0000-0000-00007D5D0000}"/>
    <cellStyle name="Normal 285 3 5 3" xfId="23934" xr:uid="{00000000-0005-0000-0000-00007E5D0000}"/>
    <cellStyle name="Normal 285 3 6" xfId="23935" xr:uid="{00000000-0005-0000-0000-00007F5D0000}"/>
    <cellStyle name="Normal 285 4" xfId="23936" xr:uid="{00000000-0005-0000-0000-0000805D0000}"/>
    <cellStyle name="Normal 285 4 2" xfId="23937" xr:uid="{00000000-0005-0000-0000-0000815D0000}"/>
    <cellStyle name="Normal 285 4 2 2" xfId="23938" xr:uid="{00000000-0005-0000-0000-0000825D0000}"/>
    <cellStyle name="Normal 285 4 3" xfId="23939" xr:uid="{00000000-0005-0000-0000-0000835D0000}"/>
    <cellStyle name="Normal 285 5" xfId="23940" xr:uid="{00000000-0005-0000-0000-0000845D0000}"/>
    <cellStyle name="Normal 285 5 2" xfId="23941" xr:uid="{00000000-0005-0000-0000-0000855D0000}"/>
    <cellStyle name="Normal 285 5 2 2" xfId="23942" xr:uid="{00000000-0005-0000-0000-0000865D0000}"/>
    <cellStyle name="Normal 285 5 3" xfId="23943" xr:uid="{00000000-0005-0000-0000-0000875D0000}"/>
    <cellStyle name="Normal 285 6" xfId="23944" xr:uid="{00000000-0005-0000-0000-0000885D0000}"/>
    <cellStyle name="Normal 285 6 2" xfId="23945" xr:uid="{00000000-0005-0000-0000-0000895D0000}"/>
    <cellStyle name="Normal 285 6 2 2" xfId="23946" xr:uid="{00000000-0005-0000-0000-00008A5D0000}"/>
    <cellStyle name="Normal 285 6 3" xfId="23947" xr:uid="{00000000-0005-0000-0000-00008B5D0000}"/>
    <cellStyle name="Normal 285 7" xfId="23948" xr:uid="{00000000-0005-0000-0000-00008C5D0000}"/>
    <cellStyle name="Normal 286" xfId="23949" xr:uid="{00000000-0005-0000-0000-00008D5D0000}"/>
    <cellStyle name="Normal 286 2" xfId="23950" xr:uid="{00000000-0005-0000-0000-00008E5D0000}"/>
    <cellStyle name="Normal 286 2 2" xfId="23951" xr:uid="{00000000-0005-0000-0000-00008F5D0000}"/>
    <cellStyle name="Normal 286 2 2 2" xfId="23952" xr:uid="{00000000-0005-0000-0000-0000905D0000}"/>
    <cellStyle name="Normal 286 2 3" xfId="23953" xr:uid="{00000000-0005-0000-0000-0000915D0000}"/>
    <cellStyle name="Normal 286 2 3 2" xfId="23954" xr:uid="{00000000-0005-0000-0000-0000925D0000}"/>
    <cellStyle name="Normal 286 2 3 2 2" xfId="23955" xr:uid="{00000000-0005-0000-0000-0000935D0000}"/>
    <cellStyle name="Normal 286 2 3 3" xfId="23956" xr:uid="{00000000-0005-0000-0000-0000945D0000}"/>
    <cellStyle name="Normal 286 2 4" xfId="23957" xr:uid="{00000000-0005-0000-0000-0000955D0000}"/>
    <cellStyle name="Normal 286 2 4 2" xfId="23958" xr:uid="{00000000-0005-0000-0000-0000965D0000}"/>
    <cellStyle name="Normal 286 2 4 2 2" xfId="23959" xr:uid="{00000000-0005-0000-0000-0000975D0000}"/>
    <cellStyle name="Normal 286 2 4 3" xfId="23960" xr:uid="{00000000-0005-0000-0000-0000985D0000}"/>
    <cellStyle name="Normal 286 2 5" xfId="23961" xr:uid="{00000000-0005-0000-0000-0000995D0000}"/>
    <cellStyle name="Normal 286 3" xfId="23962" xr:uid="{00000000-0005-0000-0000-00009A5D0000}"/>
    <cellStyle name="Normal 286 3 2" xfId="23963" xr:uid="{00000000-0005-0000-0000-00009B5D0000}"/>
    <cellStyle name="Normal 286 3 2 2" xfId="23964" xr:uid="{00000000-0005-0000-0000-00009C5D0000}"/>
    <cellStyle name="Normal 286 3 2 2 2" xfId="23965" xr:uid="{00000000-0005-0000-0000-00009D5D0000}"/>
    <cellStyle name="Normal 286 3 2 3" xfId="23966" xr:uid="{00000000-0005-0000-0000-00009E5D0000}"/>
    <cellStyle name="Normal 286 3 2 3 2" xfId="23967" xr:uid="{00000000-0005-0000-0000-00009F5D0000}"/>
    <cellStyle name="Normal 286 3 2 3 2 2" xfId="23968" xr:uid="{00000000-0005-0000-0000-0000A05D0000}"/>
    <cellStyle name="Normal 286 3 2 3 3" xfId="23969" xr:uid="{00000000-0005-0000-0000-0000A15D0000}"/>
    <cellStyle name="Normal 286 3 2 4" xfId="23970" xr:uid="{00000000-0005-0000-0000-0000A25D0000}"/>
    <cellStyle name="Normal 286 3 3" xfId="23971" xr:uid="{00000000-0005-0000-0000-0000A35D0000}"/>
    <cellStyle name="Normal 286 3 3 2" xfId="23972" xr:uid="{00000000-0005-0000-0000-0000A45D0000}"/>
    <cellStyle name="Normal 286 3 3 2 2" xfId="23973" xr:uid="{00000000-0005-0000-0000-0000A55D0000}"/>
    <cellStyle name="Normal 286 3 3 3" xfId="23974" xr:uid="{00000000-0005-0000-0000-0000A65D0000}"/>
    <cellStyle name="Normal 286 3 4" xfId="23975" xr:uid="{00000000-0005-0000-0000-0000A75D0000}"/>
    <cellStyle name="Normal 286 3 4 2" xfId="23976" xr:uid="{00000000-0005-0000-0000-0000A85D0000}"/>
    <cellStyle name="Normal 286 3 4 2 2" xfId="23977" xr:uid="{00000000-0005-0000-0000-0000A95D0000}"/>
    <cellStyle name="Normal 286 3 4 3" xfId="23978" xr:uid="{00000000-0005-0000-0000-0000AA5D0000}"/>
    <cellStyle name="Normal 286 3 5" xfId="23979" xr:uid="{00000000-0005-0000-0000-0000AB5D0000}"/>
    <cellStyle name="Normal 286 3 5 2" xfId="23980" xr:uid="{00000000-0005-0000-0000-0000AC5D0000}"/>
    <cellStyle name="Normal 286 3 5 2 2" xfId="23981" xr:uid="{00000000-0005-0000-0000-0000AD5D0000}"/>
    <cellStyle name="Normal 286 3 5 3" xfId="23982" xr:uid="{00000000-0005-0000-0000-0000AE5D0000}"/>
    <cellStyle name="Normal 286 3 6" xfId="23983" xr:uid="{00000000-0005-0000-0000-0000AF5D0000}"/>
    <cellStyle name="Normal 286 4" xfId="23984" xr:uid="{00000000-0005-0000-0000-0000B05D0000}"/>
    <cellStyle name="Normal 286 4 2" xfId="23985" xr:uid="{00000000-0005-0000-0000-0000B15D0000}"/>
    <cellStyle name="Normal 286 4 2 2" xfId="23986" xr:uid="{00000000-0005-0000-0000-0000B25D0000}"/>
    <cellStyle name="Normal 286 4 3" xfId="23987" xr:uid="{00000000-0005-0000-0000-0000B35D0000}"/>
    <cellStyle name="Normal 286 5" xfId="23988" xr:uid="{00000000-0005-0000-0000-0000B45D0000}"/>
    <cellStyle name="Normal 286 5 2" xfId="23989" xr:uid="{00000000-0005-0000-0000-0000B55D0000}"/>
    <cellStyle name="Normal 286 5 2 2" xfId="23990" xr:uid="{00000000-0005-0000-0000-0000B65D0000}"/>
    <cellStyle name="Normal 286 5 3" xfId="23991" xr:uid="{00000000-0005-0000-0000-0000B75D0000}"/>
    <cellStyle name="Normal 286 6" xfId="23992" xr:uid="{00000000-0005-0000-0000-0000B85D0000}"/>
    <cellStyle name="Normal 286 6 2" xfId="23993" xr:uid="{00000000-0005-0000-0000-0000B95D0000}"/>
    <cellStyle name="Normal 286 6 2 2" xfId="23994" xr:uid="{00000000-0005-0000-0000-0000BA5D0000}"/>
    <cellStyle name="Normal 286 6 3" xfId="23995" xr:uid="{00000000-0005-0000-0000-0000BB5D0000}"/>
    <cellStyle name="Normal 286 7" xfId="23996" xr:uid="{00000000-0005-0000-0000-0000BC5D0000}"/>
    <cellStyle name="Normal 287" xfId="23997" xr:uid="{00000000-0005-0000-0000-0000BD5D0000}"/>
    <cellStyle name="Normal 287 2" xfId="23998" xr:uid="{00000000-0005-0000-0000-0000BE5D0000}"/>
    <cellStyle name="Normal 287 2 2" xfId="23999" xr:uid="{00000000-0005-0000-0000-0000BF5D0000}"/>
    <cellStyle name="Normal 287 2 2 2" xfId="24000" xr:uid="{00000000-0005-0000-0000-0000C05D0000}"/>
    <cellStyle name="Normal 287 2 3" xfId="24001" xr:uid="{00000000-0005-0000-0000-0000C15D0000}"/>
    <cellStyle name="Normal 287 2 3 2" xfId="24002" xr:uid="{00000000-0005-0000-0000-0000C25D0000}"/>
    <cellStyle name="Normal 287 2 3 2 2" xfId="24003" xr:uid="{00000000-0005-0000-0000-0000C35D0000}"/>
    <cellStyle name="Normal 287 2 3 3" xfId="24004" xr:uid="{00000000-0005-0000-0000-0000C45D0000}"/>
    <cellStyle name="Normal 287 2 4" xfId="24005" xr:uid="{00000000-0005-0000-0000-0000C55D0000}"/>
    <cellStyle name="Normal 287 2 4 2" xfId="24006" xr:uid="{00000000-0005-0000-0000-0000C65D0000}"/>
    <cellStyle name="Normal 287 2 4 2 2" xfId="24007" xr:uid="{00000000-0005-0000-0000-0000C75D0000}"/>
    <cellStyle name="Normal 287 2 4 3" xfId="24008" xr:uid="{00000000-0005-0000-0000-0000C85D0000}"/>
    <cellStyle name="Normal 287 2 5" xfId="24009" xr:uid="{00000000-0005-0000-0000-0000C95D0000}"/>
    <cellStyle name="Normal 287 3" xfId="24010" xr:uid="{00000000-0005-0000-0000-0000CA5D0000}"/>
    <cellStyle name="Normal 287 3 2" xfId="24011" xr:uid="{00000000-0005-0000-0000-0000CB5D0000}"/>
    <cellStyle name="Normal 287 3 2 2" xfId="24012" xr:uid="{00000000-0005-0000-0000-0000CC5D0000}"/>
    <cellStyle name="Normal 287 3 2 2 2" xfId="24013" xr:uid="{00000000-0005-0000-0000-0000CD5D0000}"/>
    <cellStyle name="Normal 287 3 2 3" xfId="24014" xr:uid="{00000000-0005-0000-0000-0000CE5D0000}"/>
    <cellStyle name="Normal 287 3 2 3 2" xfId="24015" xr:uid="{00000000-0005-0000-0000-0000CF5D0000}"/>
    <cellStyle name="Normal 287 3 2 3 2 2" xfId="24016" xr:uid="{00000000-0005-0000-0000-0000D05D0000}"/>
    <cellStyle name="Normal 287 3 2 3 3" xfId="24017" xr:uid="{00000000-0005-0000-0000-0000D15D0000}"/>
    <cellStyle name="Normal 287 3 2 4" xfId="24018" xr:uid="{00000000-0005-0000-0000-0000D25D0000}"/>
    <cellStyle name="Normal 287 3 3" xfId="24019" xr:uid="{00000000-0005-0000-0000-0000D35D0000}"/>
    <cellStyle name="Normal 287 3 3 2" xfId="24020" xr:uid="{00000000-0005-0000-0000-0000D45D0000}"/>
    <cellStyle name="Normal 287 3 3 2 2" xfId="24021" xr:uid="{00000000-0005-0000-0000-0000D55D0000}"/>
    <cellStyle name="Normal 287 3 3 3" xfId="24022" xr:uid="{00000000-0005-0000-0000-0000D65D0000}"/>
    <cellStyle name="Normal 287 3 4" xfId="24023" xr:uid="{00000000-0005-0000-0000-0000D75D0000}"/>
    <cellStyle name="Normal 287 3 4 2" xfId="24024" xr:uid="{00000000-0005-0000-0000-0000D85D0000}"/>
    <cellStyle name="Normal 287 3 4 2 2" xfId="24025" xr:uid="{00000000-0005-0000-0000-0000D95D0000}"/>
    <cellStyle name="Normal 287 3 4 3" xfId="24026" xr:uid="{00000000-0005-0000-0000-0000DA5D0000}"/>
    <cellStyle name="Normal 287 3 5" xfId="24027" xr:uid="{00000000-0005-0000-0000-0000DB5D0000}"/>
    <cellStyle name="Normal 287 3 5 2" xfId="24028" xr:uid="{00000000-0005-0000-0000-0000DC5D0000}"/>
    <cellStyle name="Normal 287 3 5 2 2" xfId="24029" xr:uid="{00000000-0005-0000-0000-0000DD5D0000}"/>
    <cellStyle name="Normal 287 3 5 3" xfId="24030" xr:uid="{00000000-0005-0000-0000-0000DE5D0000}"/>
    <cellStyle name="Normal 287 3 6" xfId="24031" xr:uid="{00000000-0005-0000-0000-0000DF5D0000}"/>
    <cellStyle name="Normal 287 4" xfId="24032" xr:uid="{00000000-0005-0000-0000-0000E05D0000}"/>
    <cellStyle name="Normal 287 4 2" xfId="24033" xr:uid="{00000000-0005-0000-0000-0000E15D0000}"/>
    <cellStyle name="Normal 287 4 2 2" xfId="24034" xr:uid="{00000000-0005-0000-0000-0000E25D0000}"/>
    <cellStyle name="Normal 287 4 3" xfId="24035" xr:uid="{00000000-0005-0000-0000-0000E35D0000}"/>
    <cellStyle name="Normal 287 5" xfId="24036" xr:uid="{00000000-0005-0000-0000-0000E45D0000}"/>
    <cellStyle name="Normal 287 5 2" xfId="24037" xr:uid="{00000000-0005-0000-0000-0000E55D0000}"/>
    <cellStyle name="Normal 287 5 2 2" xfId="24038" xr:uid="{00000000-0005-0000-0000-0000E65D0000}"/>
    <cellStyle name="Normal 287 5 3" xfId="24039" xr:uid="{00000000-0005-0000-0000-0000E75D0000}"/>
    <cellStyle name="Normal 287 6" xfId="24040" xr:uid="{00000000-0005-0000-0000-0000E85D0000}"/>
    <cellStyle name="Normal 287 6 2" xfId="24041" xr:uid="{00000000-0005-0000-0000-0000E95D0000}"/>
    <cellStyle name="Normal 287 6 2 2" xfId="24042" xr:uid="{00000000-0005-0000-0000-0000EA5D0000}"/>
    <cellStyle name="Normal 287 6 3" xfId="24043" xr:uid="{00000000-0005-0000-0000-0000EB5D0000}"/>
    <cellStyle name="Normal 287 7" xfId="24044" xr:uid="{00000000-0005-0000-0000-0000EC5D0000}"/>
    <cellStyle name="Normal 288" xfId="24045" xr:uid="{00000000-0005-0000-0000-0000ED5D0000}"/>
    <cellStyle name="Normal 288 2" xfId="24046" xr:uid="{00000000-0005-0000-0000-0000EE5D0000}"/>
    <cellStyle name="Normal 288 2 2" xfId="24047" xr:uid="{00000000-0005-0000-0000-0000EF5D0000}"/>
    <cellStyle name="Normal 288 2 2 2" xfId="24048" xr:uid="{00000000-0005-0000-0000-0000F05D0000}"/>
    <cellStyle name="Normal 288 2 3" xfId="24049" xr:uid="{00000000-0005-0000-0000-0000F15D0000}"/>
    <cellStyle name="Normal 288 2 3 2" xfId="24050" xr:uid="{00000000-0005-0000-0000-0000F25D0000}"/>
    <cellStyle name="Normal 288 2 3 2 2" xfId="24051" xr:uid="{00000000-0005-0000-0000-0000F35D0000}"/>
    <cellStyle name="Normal 288 2 3 3" xfId="24052" xr:uid="{00000000-0005-0000-0000-0000F45D0000}"/>
    <cellStyle name="Normal 288 2 4" xfId="24053" xr:uid="{00000000-0005-0000-0000-0000F55D0000}"/>
    <cellStyle name="Normal 288 2 4 2" xfId="24054" xr:uid="{00000000-0005-0000-0000-0000F65D0000}"/>
    <cellStyle name="Normal 288 2 4 2 2" xfId="24055" xr:uid="{00000000-0005-0000-0000-0000F75D0000}"/>
    <cellStyle name="Normal 288 2 4 3" xfId="24056" xr:uid="{00000000-0005-0000-0000-0000F85D0000}"/>
    <cellStyle name="Normal 288 2 5" xfId="24057" xr:uid="{00000000-0005-0000-0000-0000F95D0000}"/>
    <cellStyle name="Normal 288 3" xfId="24058" xr:uid="{00000000-0005-0000-0000-0000FA5D0000}"/>
    <cellStyle name="Normal 288 3 2" xfId="24059" xr:uid="{00000000-0005-0000-0000-0000FB5D0000}"/>
    <cellStyle name="Normal 288 3 2 2" xfId="24060" xr:uid="{00000000-0005-0000-0000-0000FC5D0000}"/>
    <cellStyle name="Normal 288 3 2 2 2" xfId="24061" xr:uid="{00000000-0005-0000-0000-0000FD5D0000}"/>
    <cellStyle name="Normal 288 3 2 3" xfId="24062" xr:uid="{00000000-0005-0000-0000-0000FE5D0000}"/>
    <cellStyle name="Normal 288 3 2 3 2" xfId="24063" xr:uid="{00000000-0005-0000-0000-0000FF5D0000}"/>
    <cellStyle name="Normal 288 3 2 3 2 2" xfId="24064" xr:uid="{00000000-0005-0000-0000-0000005E0000}"/>
    <cellStyle name="Normal 288 3 2 3 3" xfId="24065" xr:uid="{00000000-0005-0000-0000-0000015E0000}"/>
    <cellStyle name="Normal 288 3 2 4" xfId="24066" xr:uid="{00000000-0005-0000-0000-0000025E0000}"/>
    <cellStyle name="Normal 288 3 3" xfId="24067" xr:uid="{00000000-0005-0000-0000-0000035E0000}"/>
    <cellStyle name="Normal 288 3 3 2" xfId="24068" xr:uid="{00000000-0005-0000-0000-0000045E0000}"/>
    <cellStyle name="Normal 288 3 3 2 2" xfId="24069" xr:uid="{00000000-0005-0000-0000-0000055E0000}"/>
    <cellStyle name="Normal 288 3 3 3" xfId="24070" xr:uid="{00000000-0005-0000-0000-0000065E0000}"/>
    <cellStyle name="Normal 288 3 4" xfId="24071" xr:uid="{00000000-0005-0000-0000-0000075E0000}"/>
    <cellStyle name="Normal 288 3 4 2" xfId="24072" xr:uid="{00000000-0005-0000-0000-0000085E0000}"/>
    <cellStyle name="Normal 288 3 4 2 2" xfId="24073" xr:uid="{00000000-0005-0000-0000-0000095E0000}"/>
    <cellStyle name="Normal 288 3 4 3" xfId="24074" xr:uid="{00000000-0005-0000-0000-00000A5E0000}"/>
    <cellStyle name="Normal 288 3 5" xfId="24075" xr:uid="{00000000-0005-0000-0000-00000B5E0000}"/>
    <cellStyle name="Normal 288 3 5 2" xfId="24076" xr:uid="{00000000-0005-0000-0000-00000C5E0000}"/>
    <cellStyle name="Normal 288 3 5 2 2" xfId="24077" xr:uid="{00000000-0005-0000-0000-00000D5E0000}"/>
    <cellStyle name="Normal 288 3 5 3" xfId="24078" xr:uid="{00000000-0005-0000-0000-00000E5E0000}"/>
    <cellStyle name="Normal 288 3 6" xfId="24079" xr:uid="{00000000-0005-0000-0000-00000F5E0000}"/>
    <cellStyle name="Normal 288 4" xfId="24080" xr:uid="{00000000-0005-0000-0000-0000105E0000}"/>
    <cellStyle name="Normal 288 4 2" xfId="24081" xr:uid="{00000000-0005-0000-0000-0000115E0000}"/>
    <cellStyle name="Normal 288 4 2 2" xfId="24082" xr:uid="{00000000-0005-0000-0000-0000125E0000}"/>
    <cellStyle name="Normal 288 4 3" xfId="24083" xr:uid="{00000000-0005-0000-0000-0000135E0000}"/>
    <cellStyle name="Normal 288 5" xfId="24084" xr:uid="{00000000-0005-0000-0000-0000145E0000}"/>
    <cellStyle name="Normal 288 5 2" xfId="24085" xr:uid="{00000000-0005-0000-0000-0000155E0000}"/>
    <cellStyle name="Normal 288 5 2 2" xfId="24086" xr:uid="{00000000-0005-0000-0000-0000165E0000}"/>
    <cellStyle name="Normal 288 5 3" xfId="24087" xr:uid="{00000000-0005-0000-0000-0000175E0000}"/>
    <cellStyle name="Normal 288 6" xfId="24088" xr:uid="{00000000-0005-0000-0000-0000185E0000}"/>
    <cellStyle name="Normal 288 6 2" xfId="24089" xr:uid="{00000000-0005-0000-0000-0000195E0000}"/>
    <cellStyle name="Normal 288 6 2 2" xfId="24090" xr:uid="{00000000-0005-0000-0000-00001A5E0000}"/>
    <cellStyle name="Normal 288 6 3" xfId="24091" xr:uid="{00000000-0005-0000-0000-00001B5E0000}"/>
    <cellStyle name="Normal 288 7" xfId="24092" xr:uid="{00000000-0005-0000-0000-00001C5E0000}"/>
    <cellStyle name="Normal 289" xfId="24093" xr:uid="{00000000-0005-0000-0000-00001D5E0000}"/>
    <cellStyle name="Normal 289 2" xfId="24094" xr:uid="{00000000-0005-0000-0000-00001E5E0000}"/>
    <cellStyle name="Normal 289 2 2" xfId="24095" xr:uid="{00000000-0005-0000-0000-00001F5E0000}"/>
    <cellStyle name="Normal 289 2 2 2" xfId="24096" xr:uid="{00000000-0005-0000-0000-0000205E0000}"/>
    <cellStyle name="Normal 289 2 3" xfId="24097" xr:uid="{00000000-0005-0000-0000-0000215E0000}"/>
    <cellStyle name="Normal 289 2 3 2" xfId="24098" xr:uid="{00000000-0005-0000-0000-0000225E0000}"/>
    <cellStyle name="Normal 289 2 3 2 2" xfId="24099" xr:uid="{00000000-0005-0000-0000-0000235E0000}"/>
    <cellStyle name="Normal 289 2 3 3" xfId="24100" xr:uid="{00000000-0005-0000-0000-0000245E0000}"/>
    <cellStyle name="Normal 289 2 4" xfId="24101" xr:uid="{00000000-0005-0000-0000-0000255E0000}"/>
    <cellStyle name="Normal 289 2 4 2" xfId="24102" xr:uid="{00000000-0005-0000-0000-0000265E0000}"/>
    <cellStyle name="Normal 289 2 4 2 2" xfId="24103" xr:uid="{00000000-0005-0000-0000-0000275E0000}"/>
    <cellStyle name="Normal 289 2 4 3" xfId="24104" xr:uid="{00000000-0005-0000-0000-0000285E0000}"/>
    <cellStyle name="Normal 289 2 5" xfId="24105" xr:uid="{00000000-0005-0000-0000-0000295E0000}"/>
    <cellStyle name="Normal 289 3" xfId="24106" xr:uid="{00000000-0005-0000-0000-00002A5E0000}"/>
    <cellStyle name="Normal 289 3 2" xfId="24107" xr:uid="{00000000-0005-0000-0000-00002B5E0000}"/>
    <cellStyle name="Normal 289 3 2 2" xfId="24108" xr:uid="{00000000-0005-0000-0000-00002C5E0000}"/>
    <cellStyle name="Normal 289 3 2 2 2" xfId="24109" xr:uid="{00000000-0005-0000-0000-00002D5E0000}"/>
    <cellStyle name="Normal 289 3 2 3" xfId="24110" xr:uid="{00000000-0005-0000-0000-00002E5E0000}"/>
    <cellStyle name="Normal 289 3 2 3 2" xfId="24111" xr:uid="{00000000-0005-0000-0000-00002F5E0000}"/>
    <cellStyle name="Normal 289 3 2 3 2 2" xfId="24112" xr:uid="{00000000-0005-0000-0000-0000305E0000}"/>
    <cellStyle name="Normal 289 3 2 3 3" xfId="24113" xr:uid="{00000000-0005-0000-0000-0000315E0000}"/>
    <cellStyle name="Normal 289 3 2 4" xfId="24114" xr:uid="{00000000-0005-0000-0000-0000325E0000}"/>
    <cellStyle name="Normal 289 3 3" xfId="24115" xr:uid="{00000000-0005-0000-0000-0000335E0000}"/>
    <cellStyle name="Normal 289 3 3 2" xfId="24116" xr:uid="{00000000-0005-0000-0000-0000345E0000}"/>
    <cellStyle name="Normal 289 3 3 2 2" xfId="24117" xr:uid="{00000000-0005-0000-0000-0000355E0000}"/>
    <cellStyle name="Normal 289 3 3 3" xfId="24118" xr:uid="{00000000-0005-0000-0000-0000365E0000}"/>
    <cellStyle name="Normal 289 3 4" xfId="24119" xr:uid="{00000000-0005-0000-0000-0000375E0000}"/>
    <cellStyle name="Normal 289 3 4 2" xfId="24120" xr:uid="{00000000-0005-0000-0000-0000385E0000}"/>
    <cellStyle name="Normal 289 3 4 2 2" xfId="24121" xr:uid="{00000000-0005-0000-0000-0000395E0000}"/>
    <cellStyle name="Normal 289 3 4 3" xfId="24122" xr:uid="{00000000-0005-0000-0000-00003A5E0000}"/>
    <cellStyle name="Normal 289 3 5" xfId="24123" xr:uid="{00000000-0005-0000-0000-00003B5E0000}"/>
    <cellStyle name="Normal 289 3 5 2" xfId="24124" xr:uid="{00000000-0005-0000-0000-00003C5E0000}"/>
    <cellStyle name="Normal 289 3 5 2 2" xfId="24125" xr:uid="{00000000-0005-0000-0000-00003D5E0000}"/>
    <cellStyle name="Normal 289 3 5 3" xfId="24126" xr:uid="{00000000-0005-0000-0000-00003E5E0000}"/>
    <cellStyle name="Normal 289 3 6" xfId="24127" xr:uid="{00000000-0005-0000-0000-00003F5E0000}"/>
    <cellStyle name="Normal 289 4" xfId="24128" xr:uid="{00000000-0005-0000-0000-0000405E0000}"/>
    <cellStyle name="Normal 289 4 2" xfId="24129" xr:uid="{00000000-0005-0000-0000-0000415E0000}"/>
    <cellStyle name="Normal 289 4 2 2" xfId="24130" xr:uid="{00000000-0005-0000-0000-0000425E0000}"/>
    <cellStyle name="Normal 289 4 3" xfId="24131" xr:uid="{00000000-0005-0000-0000-0000435E0000}"/>
    <cellStyle name="Normal 289 5" xfId="24132" xr:uid="{00000000-0005-0000-0000-0000445E0000}"/>
    <cellStyle name="Normal 289 5 2" xfId="24133" xr:uid="{00000000-0005-0000-0000-0000455E0000}"/>
    <cellStyle name="Normal 289 5 2 2" xfId="24134" xr:uid="{00000000-0005-0000-0000-0000465E0000}"/>
    <cellStyle name="Normal 289 5 3" xfId="24135" xr:uid="{00000000-0005-0000-0000-0000475E0000}"/>
    <cellStyle name="Normal 289 6" xfId="24136" xr:uid="{00000000-0005-0000-0000-0000485E0000}"/>
    <cellStyle name="Normal 289 6 2" xfId="24137" xr:uid="{00000000-0005-0000-0000-0000495E0000}"/>
    <cellStyle name="Normal 289 6 2 2" xfId="24138" xr:uid="{00000000-0005-0000-0000-00004A5E0000}"/>
    <cellStyle name="Normal 289 6 3" xfId="24139" xr:uid="{00000000-0005-0000-0000-00004B5E0000}"/>
    <cellStyle name="Normal 289 7" xfId="24140" xr:uid="{00000000-0005-0000-0000-00004C5E0000}"/>
    <cellStyle name="Normal 29" xfId="24141" xr:uid="{00000000-0005-0000-0000-00004D5E0000}"/>
    <cellStyle name="Normal 29 2" xfId="24142" xr:uid="{00000000-0005-0000-0000-00004E5E0000}"/>
    <cellStyle name="Normal 29 2 2" xfId="24143" xr:uid="{00000000-0005-0000-0000-00004F5E0000}"/>
    <cellStyle name="Normal 29 2 2 2" xfId="24144" xr:uid="{00000000-0005-0000-0000-0000505E0000}"/>
    <cellStyle name="Normal 29 2 2 2 2" xfId="24145" xr:uid="{00000000-0005-0000-0000-0000515E0000}"/>
    <cellStyle name="Normal 29 2 2 3" xfId="24146" xr:uid="{00000000-0005-0000-0000-0000525E0000}"/>
    <cellStyle name="Normal 29 2 2 3 2" xfId="24147" xr:uid="{00000000-0005-0000-0000-0000535E0000}"/>
    <cellStyle name="Normal 29 2 2 3 2 2" xfId="24148" xr:uid="{00000000-0005-0000-0000-0000545E0000}"/>
    <cellStyle name="Normal 29 2 2 3 3" xfId="24149" xr:uid="{00000000-0005-0000-0000-0000555E0000}"/>
    <cellStyle name="Normal 29 2 2 4" xfId="24150" xr:uid="{00000000-0005-0000-0000-0000565E0000}"/>
    <cellStyle name="Normal 29 2 2 4 2" xfId="24151" xr:uid="{00000000-0005-0000-0000-0000575E0000}"/>
    <cellStyle name="Normal 29 2 2 4 2 2" xfId="24152" xr:uid="{00000000-0005-0000-0000-0000585E0000}"/>
    <cellStyle name="Normal 29 2 2 4 3" xfId="24153" xr:uid="{00000000-0005-0000-0000-0000595E0000}"/>
    <cellStyle name="Normal 29 2 2 5" xfId="24154" xr:uid="{00000000-0005-0000-0000-00005A5E0000}"/>
    <cellStyle name="Normal 29 2 3" xfId="24155" xr:uid="{00000000-0005-0000-0000-00005B5E0000}"/>
    <cellStyle name="Normal 29 2 3 2" xfId="24156" xr:uid="{00000000-0005-0000-0000-00005C5E0000}"/>
    <cellStyle name="Normal 29 2 3 2 2" xfId="24157" xr:uid="{00000000-0005-0000-0000-00005D5E0000}"/>
    <cellStyle name="Normal 29 2 3 3" xfId="24158" xr:uid="{00000000-0005-0000-0000-00005E5E0000}"/>
    <cellStyle name="Normal 29 2 4" xfId="24159" xr:uid="{00000000-0005-0000-0000-00005F5E0000}"/>
    <cellStyle name="Normal 29 2 4 2" xfId="24160" xr:uid="{00000000-0005-0000-0000-0000605E0000}"/>
    <cellStyle name="Normal 29 2 4 2 2" xfId="24161" xr:uid="{00000000-0005-0000-0000-0000615E0000}"/>
    <cellStyle name="Normal 29 2 4 3" xfId="24162" xr:uid="{00000000-0005-0000-0000-0000625E0000}"/>
    <cellStyle name="Normal 29 2 5" xfId="24163" xr:uid="{00000000-0005-0000-0000-0000635E0000}"/>
    <cellStyle name="Normal 29 2 5 2" xfId="24164" xr:uid="{00000000-0005-0000-0000-0000645E0000}"/>
    <cellStyle name="Normal 29 2 5 2 2" xfId="24165" xr:uid="{00000000-0005-0000-0000-0000655E0000}"/>
    <cellStyle name="Normal 29 2 5 3" xfId="24166" xr:uid="{00000000-0005-0000-0000-0000665E0000}"/>
    <cellStyle name="Normal 29 2 6" xfId="24167" xr:uid="{00000000-0005-0000-0000-0000675E0000}"/>
    <cellStyle name="Normal 29 3" xfId="24168" xr:uid="{00000000-0005-0000-0000-0000685E0000}"/>
    <cellStyle name="Normal 29 3 2" xfId="24169" xr:uid="{00000000-0005-0000-0000-0000695E0000}"/>
    <cellStyle name="Normal 29 3 2 2" xfId="24170" xr:uid="{00000000-0005-0000-0000-00006A5E0000}"/>
    <cellStyle name="Normal 29 3 3" xfId="24171" xr:uid="{00000000-0005-0000-0000-00006B5E0000}"/>
    <cellStyle name="Normal 29 3 3 2" xfId="24172" xr:uid="{00000000-0005-0000-0000-00006C5E0000}"/>
    <cellStyle name="Normal 29 3 3 2 2" xfId="24173" xr:uid="{00000000-0005-0000-0000-00006D5E0000}"/>
    <cellStyle name="Normal 29 3 3 3" xfId="24174" xr:uid="{00000000-0005-0000-0000-00006E5E0000}"/>
    <cellStyle name="Normal 29 3 4" xfId="24175" xr:uid="{00000000-0005-0000-0000-00006F5E0000}"/>
    <cellStyle name="Normal 29 3 4 2" xfId="24176" xr:uid="{00000000-0005-0000-0000-0000705E0000}"/>
    <cellStyle name="Normal 29 3 4 2 2" xfId="24177" xr:uid="{00000000-0005-0000-0000-0000715E0000}"/>
    <cellStyle name="Normal 29 3 4 3" xfId="24178" xr:uid="{00000000-0005-0000-0000-0000725E0000}"/>
    <cellStyle name="Normal 29 3 5" xfId="24179" xr:uid="{00000000-0005-0000-0000-0000735E0000}"/>
    <cellStyle name="Normal 29 4" xfId="24180" xr:uid="{00000000-0005-0000-0000-0000745E0000}"/>
    <cellStyle name="Normal 29 4 2" xfId="24181" xr:uid="{00000000-0005-0000-0000-0000755E0000}"/>
    <cellStyle name="Normal 29 4 2 2" xfId="24182" xr:uid="{00000000-0005-0000-0000-0000765E0000}"/>
    <cellStyle name="Normal 29 4 3" xfId="24183" xr:uid="{00000000-0005-0000-0000-0000775E0000}"/>
    <cellStyle name="Normal 29 5" xfId="24184" xr:uid="{00000000-0005-0000-0000-0000785E0000}"/>
    <cellStyle name="Normal 29 5 2" xfId="24185" xr:uid="{00000000-0005-0000-0000-0000795E0000}"/>
    <cellStyle name="Normal 29 5 2 2" xfId="24186" xr:uid="{00000000-0005-0000-0000-00007A5E0000}"/>
    <cellStyle name="Normal 29 5 3" xfId="24187" xr:uid="{00000000-0005-0000-0000-00007B5E0000}"/>
    <cellStyle name="Normal 29 6" xfId="24188" xr:uid="{00000000-0005-0000-0000-00007C5E0000}"/>
    <cellStyle name="Normal 29 6 2" xfId="24189" xr:uid="{00000000-0005-0000-0000-00007D5E0000}"/>
    <cellStyle name="Normal 29 6 2 2" xfId="24190" xr:uid="{00000000-0005-0000-0000-00007E5E0000}"/>
    <cellStyle name="Normal 29 6 3" xfId="24191" xr:uid="{00000000-0005-0000-0000-00007F5E0000}"/>
    <cellStyle name="Normal 29 7" xfId="24192" xr:uid="{00000000-0005-0000-0000-0000805E0000}"/>
    <cellStyle name="Normal 290" xfId="24193" xr:uid="{00000000-0005-0000-0000-0000815E0000}"/>
    <cellStyle name="Normal 290 2" xfId="24194" xr:uid="{00000000-0005-0000-0000-0000825E0000}"/>
    <cellStyle name="Normal 290 2 2" xfId="24195" xr:uid="{00000000-0005-0000-0000-0000835E0000}"/>
    <cellStyle name="Normal 290 2 2 2" xfId="24196" xr:uid="{00000000-0005-0000-0000-0000845E0000}"/>
    <cellStyle name="Normal 290 2 3" xfId="24197" xr:uid="{00000000-0005-0000-0000-0000855E0000}"/>
    <cellStyle name="Normal 290 2 3 2" xfId="24198" xr:uid="{00000000-0005-0000-0000-0000865E0000}"/>
    <cellStyle name="Normal 290 2 3 2 2" xfId="24199" xr:uid="{00000000-0005-0000-0000-0000875E0000}"/>
    <cellStyle name="Normal 290 2 3 3" xfId="24200" xr:uid="{00000000-0005-0000-0000-0000885E0000}"/>
    <cellStyle name="Normal 290 2 4" xfId="24201" xr:uid="{00000000-0005-0000-0000-0000895E0000}"/>
    <cellStyle name="Normal 290 2 4 2" xfId="24202" xr:uid="{00000000-0005-0000-0000-00008A5E0000}"/>
    <cellStyle name="Normal 290 2 4 2 2" xfId="24203" xr:uid="{00000000-0005-0000-0000-00008B5E0000}"/>
    <cellStyle name="Normal 290 2 4 3" xfId="24204" xr:uid="{00000000-0005-0000-0000-00008C5E0000}"/>
    <cellStyle name="Normal 290 2 5" xfId="24205" xr:uid="{00000000-0005-0000-0000-00008D5E0000}"/>
    <cellStyle name="Normal 290 3" xfId="24206" xr:uid="{00000000-0005-0000-0000-00008E5E0000}"/>
    <cellStyle name="Normal 290 3 2" xfId="24207" xr:uid="{00000000-0005-0000-0000-00008F5E0000}"/>
    <cellStyle name="Normal 290 3 2 2" xfId="24208" xr:uid="{00000000-0005-0000-0000-0000905E0000}"/>
    <cellStyle name="Normal 290 3 2 2 2" xfId="24209" xr:uid="{00000000-0005-0000-0000-0000915E0000}"/>
    <cellStyle name="Normal 290 3 2 3" xfId="24210" xr:uid="{00000000-0005-0000-0000-0000925E0000}"/>
    <cellStyle name="Normal 290 3 2 3 2" xfId="24211" xr:uid="{00000000-0005-0000-0000-0000935E0000}"/>
    <cellStyle name="Normal 290 3 2 3 2 2" xfId="24212" xr:uid="{00000000-0005-0000-0000-0000945E0000}"/>
    <cellStyle name="Normal 290 3 2 3 3" xfId="24213" xr:uid="{00000000-0005-0000-0000-0000955E0000}"/>
    <cellStyle name="Normal 290 3 2 4" xfId="24214" xr:uid="{00000000-0005-0000-0000-0000965E0000}"/>
    <cellStyle name="Normal 290 3 3" xfId="24215" xr:uid="{00000000-0005-0000-0000-0000975E0000}"/>
    <cellStyle name="Normal 290 3 3 2" xfId="24216" xr:uid="{00000000-0005-0000-0000-0000985E0000}"/>
    <cellStyle name="Normal 290 3 3 2 2" xfId="24217" xr:uid="{00000000-0005-0000-0000-0000995E0000}"/>
    <cellStyle name="Normal 290 3 3 3" xfId="24218" xr:uid="{00000000-0005-0000-0000-00009A5E0000}"/>
    <cellStyle name="Normal 290 3 4" xfId="24219" xr:uid="{00000000-0005-0000-0000-00009B5E0000}"/>
    <cellStyle name="Normal 290 3 4 2" xfId="24220" xr:uid="{00000000-0005-0000-0000-00009C5E0000}"/>
    <cellStyle name="Normal 290 3 4 2 2" xfId="24221" xr:uid="{00000000-0005-0000-0000-00009D5E0000}"/>
    <cellStyle name="Normal 290 3 4 3" xfId="24222" xr:uid="{00000000-0005-0000-0000-00009E5E0000}"/>
    <cellStyle name="Normal 290 3 5" xfId="24223" xr:uid="{00000000-0005-0000-0000-00009F5E0000}"/>
    <cellStyle name="Normal 290 3 5 2" xfId="24224" xr:uid="{00000000-0005-0000-0000-0000A05E0000}"/>
    <cellStyle name="Normal 290 3 5 2 2" xfId="24225" xr:uid="{00000000-0005-0000-0000-0000A15E0000}"/>
    <cellStyle name="Normal 290 3 5 3" xfId="24226" xr:uid="{00000000-0005-0000-0000-0000A25E0000}"/>
    <cellStyle name="Normal 290 3 6" xfId="24227" xr:uid="{00000000-0005-0000-0000-0000A35E0000}"/>
    <cellStyle name="Normal 290 4" xfId="24228" xr:uid="{00000000-0005-0000-0000-0000A45E0000}"/>
    <cellStyle name="Normal 290 4 2" xfId="24229" xr:uid="{00000000-0005-0000-0000-0000A55E0000}"/>
    <cellStyle name="Normal 290 4 2 2" xfId="24230" xr:uid="{00000000-0005-0000-0000-0000A65E0000}"/>
    <cellStyle name="Normal 290 4 3" xfId="24231" xr:uid="{00000000-0005-0000-0000-0000A75E0000}"/>
    <cellStyle name="Normal 290 5" xfId="24232" xr:uid="{00000000-0005-0000-0000-0000A85E0000}"/>
    <cellStyle name="Normal 290 5 2" xfId="24233" xr:uid="{00000000-0005-0000-0000-0000A95E0000}"/>
    <cellStyle name="Normal 290 5 2 2" xfId="24234" xr:uid="{00000000-0005-0000-0000-0000AA5E0000}"/>
    <cellStyle name="Normal 290 5 3" xfId="24235" xr:uid="{00000000-0005-0000-0000-0000AB5E0000}"/>
    <cellStyle name="Normal 290 6" xfId="24236" xr:uid="{00000000-0005-0000-0000-0000AC5E0000}"/>
    <cellStyle name="Normal 290 6 2" xfId="24237" xr:uid="{00000000-0005-0000-0000-0000AD5E0000}"/>
    <cellStyle name="Normal 290 6 2 2" xfId="24238" xr:uid="{00000000-0005-0000-0000-0000AE5E0000}"/>
    <cellStyle name="Normal 290 6 3" xfId="24239" xr:uid="{00000000-0005-0000-0000-0000AF5E0000}"/>
    <cellStyle name="Normal 290 7" xfId="24240" xr:uid="{00000000-0005-0000-0000-0000B05E0000}"/>
    <cellStyle name="Normal 291" xfId="24241" xr:uid="{00000000-0005-0000-0000-0000B15E0000}"/>
    <cellStyle name="Normal 291 2" xfId="24242" xr:uid="{00000000-0005-0000-0000-0000B25E0000}"/>
    <cellStyle name="Normal 291 2 2" xfId="24243" xr:uid="{00000000-0005-0000-0000-0000B35E0000}"/>
    <cellStyle name="Normal 291 2 2 2" xfId="24244" xr:uid="{00000000-0005-0000-0000-0000B45E0000}"/>
    <cellStyle name="Normal 291 2 3" xfId="24245" xr:uid="{00000000-0005-0000-0000-0000B55E0000}"/>
    <cellStyle name="Normal 291 2 3 2" xfId="24246" xr:uid="{00000000-0005-0000-0000-0000B65E0000}"/>
    <cellStyle name="Normal 291 2 3 2 2" xfId="24247" xr:uid="{00000000-0005-0000-0000-0000B75E0000}"/>
    <cellStyle name="Normal 291 2 3 3" xfId="24248" xr:uid="{00000000-0005-0000-0000-0000B85E0000}"/>
    <cellStyle name="Normal 291 2 4" xfId="24249" xr:uid="{00000000-0005-0000-0000-0000B95E0000}"/>
    <cellStyle name="Normal 291 2 4 2" xfId="24250" xr:uid="{00000000-0005-0000-0000-0000BA5E0000}"/>
    <cellStyle name="Normal 291 2 4 2 2" xfId="24251" xr:uid="{00000000-0005-0000-0000-0000BB5E0000}"/>
    <cellStyle name="Normal 291 2 4 3" xfId="24252" xr:uid="{00000000-0005-0000-0000-0000BC5E0000}"/>
    <cellStyle name="Normal 291 2 5" xfId="24253" xr:uid="{00000000-0005-0000-0000-0000BD5E0000}"/>
    <cellStyle name="Normal 291 3" xfId="24254" xr:uid="{00000000-0005-0000-0000-0000BE5E0000}"/>
    <cellStyle name="Normal 291 3 2" xfId="24255" xr:uid="{00000000-0005-0000-0000-0000BF5E0000}"/>
    <cellStyle name="Normal 291 3 2 2" xfId="24256" xr:uid="{00000000-0005-0000-0000-0000C05E0000}"/>
    <cellStyle name="Normal 291 3 2 2 2" xfId="24257" xr:uid="{00000000-0005-0000-0000-0000C15E0000}"/>
    <cellStyle name="Normal 291 3 2 3" xfId="24258" xr:uid="{00000000-0005-0000-0000-0000C25E0000}"/>
    <cellStyle name="Normal 291 3 2 3 2" xfId="24259" xr:uid="{00000000-0005-0000-0000-0000C35E0000}"/>
    <cellStyle name="Normal 291 3 2 3 2 2" xfId="24260" xr:uid="{00000000-0005-0000-0000-0000C45E0000}"/>
    <cellStyle name="Normal 291 3 2 3 3" xfId="24261" xr:uid="{00000000-0005-0000-0000-0000C55E0000}"/>
    <cellStyle name="Normal 291 3 2 4" xfId="24262" xr:uid="{00000000-0005-0000-0000-0000C65E0000}"/>
    <cellStyle name="Normal 291 3 3" xfId="24263" xr:uid="{00000000-0005-0000-0000-0000C75E0000}"/>
    <cellStyle name="Normal 291 3 3 2" xfId="24264" xr:uid="{00000000-0005-0000-0000-0000C85E0000}"/>
    <cellStyle name="Normal 291 3 3 2 2" xfId="24265" xr:uid="{00000000-0005-0000-0000-0000C95E0000}"/>
    <cellStyle name="Normal 291 3 3 3" xfId="24266" xr:uid="{00000000-0005-0000-0000-0000CA5E0000}"/>
    <cellStyle name="Normal 291 3 4" xfId="24267" xr:uid="{00000000-0005-0000-0000-0000CB5E0000}"/>
    <cellStyle name="Normal 291 3 4 2" xfId="24268" xr:uid="{00000000-0005-0000-0000-0000CC5E0000}"/>
    <cellStyle name="Normal 291 3 4 2 2" xfId="24269" xr:uid="{00000000-0005-0000-0000-0000CD5E0000}"/>
    <cellStyle name="Normal 291 3 4 3" xfId="24270" xr:uid="{00000000-0005-0000-0000-0000CE5E0000}"/>
    <cellStyle name="Normal 291 3 5" xfId="24271" xr:uid="{00000000-0005-0000-0000-0000CF5E0000}"/>
    <cellStyle name="Normal 291 3 5 2" xfId="24272" xr:uid="{00000000-0005-0000-0000-0000D05E0000}"/>
    <cellStyle name="Normal 291 3 5 2 2" xfId="24273" xr:uid="{00000000-0005-0000-0000-0000D15E0000}"/>
    <cellStyle name="Normal 291 3 5 3" xfId="24274" xr:uid="{00000000-0005-0000-0000-0000D25E0000}"/>
    <cellStyle name="Normal 291 3 6" xfId="24275" xr:uid="{00000000-0005-0000-0000-0000D35E0000}"/>
    <cellStyle name="Normal 291 4" xfId="24276" xr:uid="{00000000-0005-0000-0000-0000D45E0000}"/>
    <cellStyle name="Normal 291 4 2" xfId="24277" xr:uid="{00000000-0005-0000-0000-0000D55E0000}"/>
    <cellStyle name="Normal 291 4 2 2" xfId="24278" xr:uid="{00000000-0005-0000-0000-0000D65E0000}"/>
    <cellStyle name="Normal 291 4 3" xfId="24279" xr:uid="{00000000-0005-0000-0000-0000D75E0000}"/>
    <cellStyle name="Normal 291 5" xfId="24280" xr:uid="{00000000-0005-0000-0000-0000D85E0000}"/>
    <cellStyle name="Normal 291 5 2" xfId="24281" xr:uid="{00000000-0005-0000-0000-0000D95E0000}"/>
    <cellStyle name="Normal 291 5 2 2" xfId="24282" xr:uid="{00000000-0005-0000-0000-0000DA5E0000}"/>
    <cellStyle name="Normal 291 5 3" xfId="24283" xr:uid="{00000000-0005-0000-0000-0000DB5E0000}"/>
    <cellStyle name="Normal 291 6" xfId="24284" xr:uid="{00000000-0005-0000-0000-0000DC5E0000}"/>
    <cellStyle name="Normal 291 6 2" xfId="24285" xr:uid="{00000000-0005-0000-0000-0000DD5E0000}"/>
    <cellStyle name="Normal 291 6 2 2" xfId="24286" xr:uid="{00000000-0005-0000-0000-0000DE5E0000}"/>
    <cellStyle name="Normal 291 6 3" xfId="24287" xr:uid="{00000000-0005-0000-0000-0000DF5E0000}"/>
    <cellStyle name="Normal 291 7" xfId="24288" xr:uid="{00000000-0005-0000-0000-0000E05E0000}"/>
    <cellStyle name="Normal 292" xfId="24289" xr:uid="{00000000-0005-0000-0000-0000E15E0000}"/>
    <cellStyle name="Normal 292 2" xfId="24290" xr:uid="{00000000-0005-0000-0000-0000E25E0000}"/>
    <cellStyle name="Normal 292 2 2" xfId="24291" xr:uid="{00000000-0005-0000-0000-0000E35E0000}"/>
    <cellStyle name="Normal 292 2 2 2" xfId="24292" xr:uid="{00000000-0005-0000-0000-0000E45E0000}"/>
    <cellStyle name="Normal 292 2 3" xfId="24293" xr:uid="{00000000-0005-0000-0000-0000E55E0000}"/>
    <cellStyle name="Normal 292 2 3 2" xfId="24294" xr:uid="{00000000-0005-0000-0000-0000E65E0000}"/>
    <cellStyle name="Normal 292 2 3 2 2" xfId="24295" xr:uid="{00000000-0005-0000-0000-0000E75E0000}"/>
    <cellStyle name="Normal 292 2 3 3" xfId="24296" xr:uid="{00000000-0005-0000-0000-0000E85E0000}"/>
    <cellStyle name="Normal 292 2 4" xfId="24297" xr:uid="{00000000-0005-0000-0000-0000E95E0000}"/>
    <cellStyle name="Normal 292 2 4 2" xfId="24298" xr:uid="{00000000-0005-0000-0000-0000EA5E0000}"/>
    <cellStyle name="Normal 292 2 4 2 2" xfId="24299" xr:uid="{00000000-0005-0000-0000-0000EB5E0000}"/>
    <cellStyle name="Normal 292 2 4 3" xfId="24300" xr:uid="{00000000-0005-0000-0000-0000EC5E0000}"/>
    <cellStyle name="Normal 292 2 5" xfId="24301" xr:uid="{00000000-0005-0000-0000-0000ED5E0000}"/>
    <cellStyle name="Normal 292 3" xfId="24302" xr:uid="{00000000-0005-0000-0000-0000EE5E0000}"/>
    <cellStyle name="Normal 292 3 2" xfId="24303" xr:uid="{00000000-0005-0000-0000-0000EF5E0000}"/>
    <cellStyle name="Normal 292 3 2 2" xfId="24304" xr:uid="{00000000-0005-0000-0000-0000F05E0000}"/>
    <cellStyle name="Normal 292 3 2 2 2" xfId="24305" xr:uid="{00000000-0005-0000-0000-0000F15E0000}"/>
    <cellStyle name="Normal 292 3 2 3" xfId="24306" xr:uid="{00000000-0005-0000-0000-0000F25E0000}"/>
    <cellStyle name="Normal 292 3 2 3 2" xfId="24307" xr:uid="{00000000-0005-0000-0000-0000F35E0000}"/>
    <cellStyle name="Normal 292 3 2 3 2 2" xfId="24308" xr:uid="{00000000-0005-0000-0000-0000F45E0000}"/>
    <cellStyle name="Normal 292 3 2 3 3" xfId="24309" xr:uid="{00000000-0005-0000-0000-0000F55E0000}"/>
    <cellStyle name="Normal 292 3 2 4" xfId="24310" xr:uid="{00000000-0005-0000-0000-0000F65E0000}"/>
    <cellStyle name="Normal 292 3 3" xfId="24311" xr:uid="{00000000-0005-0000-0000-0000F75E0000}"/>
    <cellStyle name="Normal 292 3 3 2" xfId="24312" xr:uid="{00000000-0005-0000-0000-0000F85E0000}"/>
    <cellStyle name="Normal 292 3 3 2 2" xfId="24313" xr:uid="{00000000-0005-0000-0000-0000F95E0000}"/>
    <cellStyle name="Normal 292 3 3 3" xfId="24314" xr:uid="{00000000-0005-0000-0000-0000FA5E0000}"/>
    <cellStyle name="Normal 292 3 4" xfId="24315" xr:uid="{00000000-0005-0000-0000-0000FB5E0000}"/>
    <cellStyle name="Normal 292 3 4 2" xfId="24316" xr:uid="{00000000-0005-0000-0000-0000FC5E0000}"/>
    <cellStyle name="Normal 292 3 4 2 2" xfId="24317" xr:uid="{00000000-0005-0000-0000-0000FD5E0000}"/>
    <cellStyle name="Normal 292 3 4 3" xfId="24318" xr:uid="{00000000-0005-0000-0000-0000FE5E0000}"/>
    <cellStyle name="Normal 292 3 5" xfId="24319" xr:uid="{00000000-0005-0000-0000-0000FF5E0000}"/>
    <cellStyle name="Normal 292 3 5 2" xfId="24320" xr:uid="{00000000-0005-0000-0000-0000005F0000}"/>
    <cellStyle name="Normal 292 3 5 2 2" xfId="24321" xr:uid="{00000000-0005-0000-0000-0000015F0000}"/>
    <cellStyle name="Normal 292 3 5 3" xfId="24322" xr:uid="{00000000-0005-0000-0000-0000025F0000}"/>
    <cellStyle name="Normal 292 3 6" xfId="24323" xr:uid="{00000000-0005-0000-0000-0000035F0000}"/>
    <cellStyle name="Normal 292 4" xfId="24324" xr:uid="{00000000-0005-0000-0000-0000045F0000}"/>
    <cellStyle name="Normal 292 4 2" xfId="24325" xr:uid="{00000000-0005-0000-0000-0000055F0000}"/>
    <cellStyle name="Normal 292 4 2 2" xfId="24326" xr:uid="{00000000-0005-0000-0000-0000065F0000}"/>
    <cellStyle name="Normal 292 4 3" xfId="24327" xr:uid="{00000000-0005-0000-0000-0000075F0000}"/>
    <cellStyle name="Normal 292 5" xfId="24328" xr:uid="{00000000-0005-0000-0000-0000085F0000}"/>
    <cellStyle name="Normal 292 5 2" xfId="24329" xr:uid="{00000000-0005-0000-0000-0000095F0000}"/>
    <cellStyle name="Normal 292 5 2 2" xfId="24330" xr:uid="{00000000-0005-0000-0000-00000A5F0000}"/>
    <cellStyle name="Normal 292 5 3" xfId="24331" xr:uid="{00000000-0005-0000-0000-00000B5F0000}"/>
    <cellStyle name="Normal 292 6" xfId="24332" xr:uid="{00000000-0005-0000-0000-00000C5F0000}"/>
    <cellStyle name="Normal 292 6 2" xfId="24333" xr:uid="{00000000-0005-0000-0000-00000D5F0000}"/>
    <cellStyle name="Normal 292 6 2 2" xfId="24334" xr:uid="{00000000-0005-0000-0000-00000E5F0000}"/>
    <cellStyle name="Normal 292 6 3" xfId="24335" xr:uid="{00000000-0005-0000-0000-00000F5F0000}"/>
    <cellStyle name="Normal 292 7" xfId="24336" xr:uid="{00000000-0005-0000-0000-0000105F0000}"/>
    <cellStyle name="Normal 293" xfId="24337" xr:uid="{00000000-0005-0000-0000-0000115F0000}"/>
    <cellStyle name="Normal 293 2" xfId="24338" xr:uid="{00000000-0005-0000-0000-0000125F0000}"/>
    <cellStyle name="Normal 293 2 2" xfId="24339" xr:uid="{00000000-0005-0000-0000-0000135F0000}"/>
    <cellStyle name="Normal 293 2 2 2" xfId="24340" xr:uid="{00000000-0005-0000-0000-0000145F0000}"/>
    <cellStyle name="Normal 293 2 3" xfId="24341" xr:uid="{00000000-0005-0000-0000-0000155F0000}"/>
    <cellStyle name="Normal 293 2 3 2" xfId="24342" xr:uid="{00000000-0005-0000-0000-0000165F0000}"/>
    <cellStyle name="Normal 293 2 3 2 2" xfId="24343" xr:uid="{00000000-0005-0000-0000-0000175F0000}"/>
    <cellStyle name="Normal 293 2 3 3" xfId="24344" xr:uid="{00000000-0005-0000-0000-0000185F0000}"/>
    <cellStyle name="Normal 293 2 4" xfId="24345" xr:uid="{00000000-0005-0000-0000-0000195F0000}"/>
    <cellStyle name="Normal 293 2 4 2" xfId="24346" xr:uid="{00000000-0005-0000-0000-00001A5F0000}"/>
    <cellStyle name="Normal 293 2 4 2 2" xfId="24347" xr:uid="{00000000-0005-0000-0000-00001B5F0000}"/>
    <cellStyle name="Normal 293 2 4 3" xfId="24348" xr:uid="{00000000-0005-0000-0000-00001C5F0000}"/>
    <cellStyle name="Normal 293 2 5" xfId="24349" xr:uid="{00000000-0005-0000-0000-00001D5F0000}"/>
    <cellStyle name="Normal 293 3" xfId="24350" xr:uid="{00000000-0005-0000-0000-00001E5F0000}"/>
    <cellStyle name="Normal 293 3 2" xfId="24351" xr:uid="{00000000-0005-0000-0000-00001F5F0000}"/>
    <cellStyle name="Normal 293 3 2 2" xfId="24352" xr:uid="{00000000-0005-0000-0000-0000205F0000}"/>
    <cellStyle name="Normal 293 3 2 2 2" xfId="24353" xr:uid="{00000000-0005-0000-0000-0000215F0000}"/>
    <cellStyle name="Normal 293 3 2 3" xfId="24354" xr:uid="{00000000-0005-0000-0000-0000225F0000}"/>
    <cellStyle name="Normal 293 3 2 3 2" xfId="24355" xr:uid="{00000000-0005-0000-0000-0000235F0000}"/>
    <cellStyle name="Normal 293 3 2 3 2 2" xfId="24356" xr:uid="{00000000-0005-0000-0000-0000245F0000}"/>
    <cellStyle name="Normal 293 3 2 3 3" xfId="24357" xr:uid="{00000000-0005-0000-0000-0000255F0000}"/>
    <cellStyle name="Normal 293 3 2 4" xfId="24358" xr:uid="{00000000-0005-0000-0000-0000265F0000}"/>
    <cellStyle name="Normal 293 3 3" xfId="24359" xr:uid="{00000000-0005-0000-0000-0000275F0000}"/>
    <cellStyle name="Normal 293 3 3 2" xfId="24360" xr:uid="{00000000-0005-0000-0000-0000285F0000}"/>
    <cellStyle name="Normal 293 3 3 2 2" xfId="24361" xr:uid="{00000000-0005-0000-0000-0000295F0000}"/>
    <cellStyle name="Normal 293 3 3 3" xfId="24362" xr:uid="{00000000-0005-0000-0000-00002A5F0000}"/>
    <cellStyle name="Normal 293 3 4" xfId="24363" xr:uid="{00000000-0005-0000-0000-00002B5F0000}"/>
    <cellStyle name="Normal 293 3 4 2" xfId="24364" xr:uid="{00000000-0005-0000-0000-00002C5F0000}"/>
    <cellStyle name="Normal 293 3 4 2 2" xfId="24365" xr:uid="{00000000-0005-0000-0000-00002D5F0000}"/>
    <cellStyle name="Normal 293 3 4 3" xfId="24366" xr:uid="{00000000-0005-0000-0000-00002E5F0000}"/>
    <cellStyle name="Normal 293 3 5" xfId="24367" xr:uid="{00000000-0005-0000-0000-00002F5F0000}"/>
    <cellStyle name="Normal 293 3 5 2" xfId="24368" xr:uid="{00000000-0005-0000-0000-0000305F0000}"/>
    <cellStyle name="Normal 293 3 5 2 2" xfId="24369" xr:uid="{00000000-0005-0000-0000-0000315F0000}"/>
    <cellStyle name="Normal 293 3 5 3" xfId="24370" xr:uid="{00000000-0005-0000-0000-0000325F0000}"/>
    <cellStyle name="Normal 293 3 6" xfId="24371" xr:uid="{00000000-0005-0000-0000-0000335F0000}"/>
    <cellStyle name="Normal 293 4" xfId="24372" xr:uid="{00000000-0005-0000-0000-0000345F0000}"/>
    <cellStyle name="Normal 293 4 2" xfId="24373" xr:uid="{00000000-0005-0000-0000-0000355F0000}"/>
    <cellStyle name="Normal 293 4 2 2" xfId="24374" xr:uid="{00000000-0005-0000-0000-0000365F0000}"/>
    <cellStyle name="Normal 293 4 3" xfId="24375" xr:uid="{00000000-0005-0000-0000-0000375F0000}"/>
    <cellStyle name="Normal 293 5" xfId="24376" xr:uid="{00000000-0005-0000-0000-0000385F0000}"/>
    <cellStyle name="Normal 293 5 2" xfId="24377" xr:uid="{00000000-0005-0000-0000-0000395F0000}"/>
    <cellStyle name="Normal 293 5 2 2" xfId="24378" xr:uid="{00000000-0005-0000-0000-00003A5F0000}"/>
    <cellStyle name="Normal 293 5 3" xfId="24379" xr:uid="{00000000-0005-0000-0000-00003B5F0000}"/>
    <cellStyle name="Normal 293 6" xfId="24380" xr:uid="{00000000-0005-0000-0000-00003C5F0000}"/>
    <cellStyle name="Normal 293 6 2" xfId="24381" xr:uid="{00000000-0005-0000-0000-00003D5F0000}"/>
    <cellStyle name="Normal 293 6 2 2" xfId="24382" xr:uid="{00000000-0005-0000-0000-00003E5F0000}"/>
    <cellStyle name="Normal 293 6 3" xfId="24383" xr:uid="{00000000-0005-0000-0000-00003F5F0000}"/>
    <cellStyle name="Normal 293 7" xfId="24384" xr:uid="{00000000-0005-0000-0000-0000405F0000}"/>
    <cellStyle name="Normal 294" xfId="24385" xr:uid="{00000000-0005-0000-0000-0000415F0000}"/>
    <cellStyle name="Normal 294 2" xfId="24386" xr:uid="{00000000-0005-0000-0000-0000425F0000}"/>
    <cellStyle name="Normal 294 2 2" xfId="24387" xr:uid="{00000000-0005-0000-0000-0000435F0000}"/>
    <cellStyle name="Normal 294 2 2 2" xfId="24388" xr:uid="{00000000-0005-0000-0000-0000445F0000}"/>
    <cellStyle name="Normal 294 2 3" xfId="24389" xr:uid="{00000000-0005-0000-0000-0000455F0000}"/>
    <cellStyle name="Normal 294 2 3 2" xfId="24390" xr:uid="{00000000-0005-0000-0000-0000465F0000}"/>
    <cellStyle name="Normal 294 2 3 2 2" xfId="24391" xr:uid="{00000000-0005-0000-0000-0000475F0000}"/>
    <cellStyle name="Normal 294 2 3 3" xfId="24392" xr:uid="{00000000-0005-0000-0000-0000485F0000}"/>
    <cellStyle name="Normal 294 2 4" xfId="24393" xr:uid="{00000000-0005-0000-0000-0000495F0000}"/>
    <cellStyle name="Normal 294 2 4 2" xfId="24394" xr:uid="{00000000-0005-0000-0000-00004A5F0000}"/>
    <cellStyle name="Normal 294 2 4 2 2" xfId="24395" xr:uid="{00000000-0005-0000-0000-00004B5F0000}"/>
    <cellStyle name="Normal 294 2 4 3" xfId="24396" xr:uid="{00000000-0005-0000-0000-00004C5F0000}"/>
    <cellStyle name="Normal 294 2 5" xfId="24397" xr:uid="{00000000-0005-0000-0000-00004D5F0000}"/>
    <cellStyle name="Normal 294 3" xfId="24398" xr:uid="{00000000-0005-0000-0000-00004E5F0000}"/>
    <cellStyle name="Normal 294 3 2" xfId="24399" xr:uid="{00000000-0005-0000-0000-00004F5F0000}"/>
    <cellStyle name="Normal 294 3 2 2" xfId="24400" xr:uid="{00000000-0005-0000-0000-0000505F0000}"/>
    <cellStyle name="Normal 294 3 2 2 2" xfId="24401" xr:uid="{00000000-0005-0000-0000-0000515F0000}"/>
    <cellStyle name="Normal 294 3 2 3" xfId="24402" xr:uid="{00000000-0005-0000-0000-0000525F0000}"/>
    <cellStyle name="Normal 294 3 2 3 2" xfId="24403" xr:uid="{00000000-0005-0000-0000-0000535F0000}"/>
    <cellStyle name="Normal 294 3 2 3 2 2" xfId="24404" xr:uid="{00000000-0005-0000-0000-0000545F0000}"/>
    <cellStyle name="Normal 294 3 2 3 3" xfId="24405" xr:uid="{00000000-0005-0000-0000-0000555F0000}"/>
    <cellStyle name="Normal 294 3 2 4" xfId="24406" xr:uid="{00000000-0005-0000-0000-0000565F0000}"/>
    <cellStyle name="Normal 294 3 3" xfId="24407" xr:uid="{00000000-0005-0000-0000-0000575F0000}"/>
    <cellStyle name="Normal 294 3 3 2" xfId="24408" xr:uid="{00000000-0005-0000-0000-0000585F0000}"/>
    <cellStyle name="Normal 294 3 3 2 2" xfId="24409" xr:uid="{00000000-0005-0000-0000-0000595F0000}"/>
    <cellStyle name="Normal 294 3 3 3" xfId="24410" xr:uid="{00000000-0005-0000-0000-00005A5F0000}"/>
    <cellStyle name="Normal 294 3 4" xfId="24411" xr:uid="{00000000-0005-0000-0000-00005B5F0000}"/>
    <cellStyle name="Normal 294 3 4 2" xfId="24412" xr:uid="{00000000-0005-0000-0000-00005C5F0000}"/>
    <cellStyle name="Normal 294 3 4 2 2" xfId="24413" xr:uid="{00000000-0005-0000-0000-00005D5F0000}"/>
    <cellStyle name="Normal 294 3 4 3" xfId="24414" xr:uid="{00000000-0005-0000-0000-00005E5F0000}"/>
    <cellStyle name="Normal 294 3 5" xfId="24415" xr:uid="{00000000-0005-0000-0000-00005F5F0000}"/>
    <cellStyle name="Normal 294 3 5 2" xfId="24416" xr:uid="{00000000-0005-0000-0000-0000605F0000}"/>
    <cellStyle name="Normal 294 3 5 2 2" xfId="24417" xr:uid="{00000000-0005-0000-0000-0000615F0000}"/>
    <cellStyle name="Normal 294 3 5 3" xfId="24418" xr:uid="{00000000-0005-0000-0000-0000625F0000}"/>
    <cellStyle name="Normal 294 3 6" xfId="24419" xr:uid="{00000000-0005-0000-0000-0000635F0000}"/>
    <cellStyle name="Normal 294 4" xfId="24420" xr:uid="{00000000-0005-0000-0000-0000645F0000}"/>
    <cellStyle name="Normal 294 4 2" xfId="24421" xr:uid="{00000000-0005-0000-0000-0000655F0000}"/>
    <cellStyle name="Normal 294 4 2 2" xfId="24422" xr:uid="{00000000-0005-0000-0000-0000665F0000}"/>
    <cellStyle name="Normal 294 4 3" xfId="24423" xr:uid="{00000000-0005-0000-0000-0000675F0000}"/>
    <cellStyle name="Normal 294 5" xfId="24424" xr:uid="{00000000-0005-0000-0000-0000685F0000}"/>
    <cellStyle name="Normal 294 5 2" xfId="24425" xr:uid="{00000000-0005-0000-0000-0000695F0000}"/>
    <cellStyle name="Normal 294 5 2 2" xfId="24426" xr:uid="{00000000-0005-0000-0000-00006A5F0000}"/>
    <cellStyle name="Normal 294 5 3" xfId="24427" xr:uid="{00000000-0005-0000-0000-00006B5F0000}"/>
    <cellStyle name="Normal 294 6" xfId="24428" xr:uid="{00000000-0005-0000-0000-00006C5F0000}"/>
    <cellStyle name="Normal 294 6 2" xfId="24429" xr:uid="{00000000-0005-0000-0000-00006D5F0000}"/>
    <cellStyle name="Normal 294 6 2 2" xfId="24430" xr:uid="{00000000-0005-0000-0000-00006E5F0000}"/>
    <cellStyle name="Normal 294 6 3" xfId="24431" xr:uid="{00000000-0005-0000-0000-00006F5F0000}"/>
    <cellStyle name="Normal 294 7" xfId="24432" xr:uid="{00000000-0005-0000-0000-0000705F0000}"/>
    <cellStyle name="Normal 295" xfId="24433" xr:uid="{00000000-0005-0000-0000-0000715F0000}"/>
    <cellStyle name="Normal 295 2" xfId="24434" xr:uid="{00000000-0005-0000-0000-0000725F0000}"/>
    <cellStyle name="Normal 295 2 2" xfId="24435" xr:uid="{00000000-0005-0000-0000-0000735F0000}"/>
    <cellStyle name="Normal 295 2 2 2" xfId="24436" xr:uid="{00000000-0005-0000-0000-0000745F0000}"/>
    <cellStyle name="Normal 295 2 3" xfId="24437" xr:uid="{00000000-0005-0000-0000-0000755F0000}"/>
    <cellStyle name="Normal 295 2 3 2" xfId="24438" xr:uid="{00000000-0005-0000-0000-0000765F0000}"/>
    <cellStyle name="Normal 295 2 3 2 2" xfId="24439" xr:uid="{00000000-0005-0000-0000-0000775F0000}"/>
    <cellStyle name="Normal 295 2 3 3" xfId="24440" xr:uid="{00000000-0005-0000-0000-0000785F0000}"/>
    <cellStyle name="Normal 295 2 4" xfId="24441" xr:uid="{00000000-0005-0000-0000-0000795F0000}"/>
    <cellStyle name="Normal 295 2 4 2" xfId="24442" xr:uid="{00000000-0005-0000-0000-00007A5F0000}"/>
    <cellStyle name="Normal 295 2 4 2 2" xfId="24443" xr:uid="{00000000-0005-0000-0000-00007B5F0000}"/>
    <cellStyle name="Normal 295 2 4 3" xfId="24444" xr:uid="{00000000-0005-0000-0000-00007C5F0000}"/>
    <cellStyle name="Normal 295 2 5" xfId="24445" xr:uid="{00000000-0005-0000-0000-00007D5F0000}"/>
    <cellStyle name="Normal 295 3" xfId="24446" xr:uid="{00000000-0005-0000-0000-00007E5F0000}"/>
    <cellStyle name="Normal 295 3 2" xfId="24447" xr:uid="{00000000-0005-0000-0000-00007F5F0000}"/>
    <cellStyle name="Normal 295 3 2 2" xfId="24448" xr:uid="{00000000-0005-0000-0000-0000805F0000}"/>
    <cellStyle name="Normal 295 3 2 2 2" xfId="24449" xr:uid="{00000000-0005-0000-0000-0000815F0000}"/>
    <cellStyle name="Normal 295 3 2 3" xfId="24450" xr:uid="{00000000-0005-0000-0000-0000825F0000}"/>
    <cellStyle name="Normal 295 3 2 3 2" xfId="24451" xr:uid="{00000000-0005-0000-0000-0000835F0000}"/>
    <cellStyle name="Normal 295 3 2 3 2 2" xfId="24452" xr:uid="{00000000-0005-0000-0000-0000845F0000}"/>
    <cellStyle name="Normal 295 3 2 3 3" xfId="24453" xr:uid="{00000000-0005-0000-0000-0000855F0000}"/>
    <cellStyle name="Normal 295 3 2 4" xfId="24454" xr:uid="{00000000-0005-0000-0000-0000865F0000}"/>
    <cellStyle name="Normal 295 3 3" xfId="24455" xr:uid="{00000000-0005-0000-0000-0000875F0000}"/>
    <cellStyle name="Normal 295 3 3 2" xfId="24456" xr:uid="{00000000-0005-0000-0000-0000885F0000}"/>
    <cellStyle name="Normal 295 3 3 2 2" xfId="24457" xr:uid="{00000000-0005-0000-0000-0000895F0000}"/>
    <cellStyle name="Normal 295 3 3 3" xfId="24458" xr:uid="{00000000-0005-0000-0000-00008A5F0000}"/>
    <cellStyle name="Normal 295 3 4" xfId="24459" xr:uid="{00000000-0005-0000-0000-00008B5F0000}"/>
    <cellStyle name="Normal 295 3 4 2" xfId="24460" xr:uid="{00000000-0005-0000-0000-00008C5F0000}"/>
    <cellStyle name="Normal 295 3 4 2 2" xfId="24461" xr:uid="{00000000-0005-0000-0000-00008D5F0000}"/>
    <cellStyle name="Normal 295 3 4 3" xfId="24462" xr:uid="{00000000-0005-0000-0000-00008E5F0000}"/>
    <cellStyle name="Normal 295 3 5" xfId="24463" xr:uid="{00000000-0005-0000-0000-00008F5F0000}"/>
    <cellStyle name="Normal 295 3 5 2" xfId="24464" xr:uid="{00000000-0005-0000-0000-0000905F0000}"/>
    <cellStyle name="Normal 295 3 5 2 2" xfId="24465" xr:uid="{00000000-0005-0000-0000-0000915F0000}"/>
    <cellStyle name="Normal 295 3 5 3" xfId="24466" xr:uid="{00000000-0005-0000-0000-0000925F0000}"/>
    <cellStyle name="Normal 295 3 6" xfId="24467" xr:uid="{00000000-0005-0000-0000-0000935F0000}"/>
    <cellStyle name="Normal 295 4" xfId="24468" xr:uid="{00000000-0005-0000-0000-0000945F0000}"/>
    <cellStyle name="Normal 295 4 2" xfId="24469" xr:uid="{00000000-0005-0000-0000-0000955F0000}"/>
    <cellStyle name="Normal 295 4 2 2" xfId="24470" xr:uid="{00000000-0005-0000-0000-0000965F0000}"/>
    <cellStyle name="Normal 295 4 3" xfId="24471" xr:uid="{00000000-0005-0000-0000-0000975F0000}"/>
    <cellStyle name="Normal 295 5" xfId="24472" xr:uid="{00000000-0005-0000-0000-0000985F0000}"/>
    <cellStyle name="Normal 295 5 2" xfId="24473" xr:uid="{00000000-0005-0000-0000-0000995F0000}"/>
    <cellStyle name="Normal 295 5 2 2" xfId="24474" xr:uid="{00000000-0005-0000-0000-00009A5F0000}"/>
    <cellStyle name="Normal 295 5 3" xfId="24475" xr:uid="{00000000-0005-0000-0000-00009B5F0000}"/>
    <cellStyle name="Normal 295 6" xfId="24476" xr:uid="{00000000-0005-0000-0000-00009C5F0000}"/>
    <cellStyle name="Normal 295 6 2" xfId="24477" xr:uid="{00000000-0005-0000-0000-00009D5F0000}"/>
    <cellStyle name="Normal 295 6 2 2" xfId="24478" xr:uid="{00000000-0005-0000-0000-00009E5F0000}"/>
    <cellStyle name="Normal 295 6 3" xfId="24479" xr:uid="{00000000-0005-0000-0000-00009F5F0000}"/>
    <cellStyle name="Normal 295 7" xfId="24480" xr:uid="{00000000-0005-0000-0000-0000A05F0000}"/>
    <cellStyle name="Normal 296" xfId="24481" xr:uid="{00000000-0005-0000-0000-0000A15F0000}"/>
    <cellStyle name="Normal 296 2" xfId="24482" xr:uid="{00000000-0005-0000-0000-0000A25F0000}"/>
    <cellStyle name="Normal 296 2 2" xfId="24483" xr:uid="{00000000-0005-0000-0000-0000A35F0000}"/>
    <cellStyle name="Normal 296 2 2 2" xfId="24484" xr:uid="{00000000-0005-0000-0000-0000A45F0000}"/>
    <cellStyle name="Normal 296 2 3" xfId="24485" xr:uid="{00000000-0005-0000-0000-0000A55F0000}"/>
    <cellStyle name="Normal 296 2 3 2" xfId="24486" xr:uid="{00000000-0005-0000-0000-0000A65F0000}"/>
    <cellStyle name="Normal 296 2 3 2 2" xfId="24487" xr:uid="{00000000-0005-0000-0000-0000A75F0000}"/>
    <cellStyle name="Normal 296 2 3 3" xfId="24488" xr:uid="{00000000-0005-0000-0000-0000A85F0000}"/>
    <cellStyle name="Normal 296 2 4" xfId="24489" xr:uid="{00000000-0005-0000-0000-0000A95F0000}"/>
    <cellStyle name="Normal 296 2 4 2" xfId="24490" xr:uid="{00000000-0005-0000-0000-0000AA5F0000}"/>
    <cellStyle name="Normal 296 2 4 2 2" xfId="24491" xr:uid="{00000000-0005-0000-0000-0000AB5F0000}"/>
    <cellStyle name="Normal 296 2 4 3" xfId="24492" xr:uid="{00000000-0005-0000-0000-0000AC5F0000}"/>
    <cellStyle name="Normal 296 2 5" xfId="24493" xr:uid="{00000000-0005-0000-0000-0000AD5F0000}"/>
    <cellStyle name="Normal 296 3" xfId="24494" xr:uid="{00000000-0005-0000-0000-0000AE5F0000}"/>
    <cellStyle name="Normal 296 3 2" xfId="24495" xr:uid="{00000000-0005-0000-0000-0000AF5F0000}"/>
    <cellStyle name="Normal 296 3 2 2" xfId="24496" xr:uid="{00000000-0005-0000-0000-0000B05F0000}"/>
    <cellStyle name="Normal 296 3 2 2 2" xfId="24497" xr:uid="{00000000-0005-0000-0000-0000B15F0000}"/>
    <cellStyle name="Normal 296 3 2 3" xfId="24498" xr:uid="{00000000-0005-0000-0000-0000B25F0000}"/>
    <cellStyle name="Normal 296 3 2 3 2" xfId="24499" xr:uid="{00000000-0005-0000-0000-0000B35F0000}"/>
    <cellStyle name="Normal 296 3 2 3 2 2" xfId="24500" xr:uid="{00000000-0005-0000-0000-0000B45F0000}"/>
    <cellStyle name="Normal 296 3 2 3 3" xfId="24501" xr:uid="{00000000-0005-0000-0000-0000B55F0000}"/>
    <cellStyle name="Normal 296 3 2 4" xfId="24502" xr:uid="{00000000-0005-0000-0000-0000B65F0000}"/>
    <cellStyle name="Normal 296 3 3" xfId="24503" xr:uid="{00000000-0005-0000-0000-0000B75F0000}"/>
    <cellStyle name="Normal 296 3 3 2" xfId="24504" xr:uid="{00000000-0005-0000-0000-0000B85F0000}"/>
    <cellStyle name="Normal 296 3 3 2 2" xfId="24505" xr:uid="{00000000-0005-0000-0000-0000B95F0000}"/>
    <cellStyle name="Normal 296 3 3 3" xfId="24506" xr:uid="{00000000-0005-0000-0000-0000BA5F0000}"/>
    <cellStyle name="Normal 296 3 4" xfId="24507" xr:uid="{00000000-0005-0000-0000-0000BB5F0000}"/>
    <cellStyle name="Normal 296 3 4 2" xfId="24508" xr:uid="{00000000-0005-0000-0000-0000BC5F0000}"/>
    <cellStyle name="Normal 296 3 4 2 2" xfId="24509" xr:uid="{00000000-0005-0000-0000-0000BD5F0000}"/>
    <cellStyle name="Normal 296 3 4 3" xfId="24510" xr:uid="{00000000-0005-0000-0000-0000BE5F0000}"/>
    <cellStyle name="Normal 296 3 5" xfId="24511" xr:uid="{00000000-0005-0000-0000-0000BF5F0000}"/>
    <cellStyle name="Normal 296 3 5 2" xfId="24512" xr:uid="{00000000-0005-0000-0000-0000C05F0000}"/>
    <cellStyle name="Normal 296 3 5 2 2" xfId="24513" xr:uid="{00000000-0005-0000-0000-0000C15F0000}"/>
    <cellStyle name="Normal 296 3 5 3" xfId="24514" xr:uid="{00000000-0005-0000-0000-0000C25F0000}"/>
    <cellStyle name="Normal 296 3 6" xfId="24515" xr:uid="{00000000-0005-0000-0000-0000C35F0000}"/>
    <cellStyle name="Normal 296 4" xfId="24516" xr:uid="{00000000-0005-0000-0000-0000C45F0000}"/>
    <cellStyle name="Normal 296 4 2" xfId="24517" xr:uid="{00000000-0005-0000-0000-0000C55F0000}"/>
    <cellStyle name="Normal 296 4 2 2" xfId="24518" xr:uid="{00000000-0005-0000-0000-0000C65F0000}"/>
    <cellStyle name="Normal 296 4 3" xfId="24519" xr:uid="{00000000-0005-0000-0000-0000C75F0000}"/>
    <cellStyle name="Normal 296 5" xfId="24520" xr:uid="{00000000-0005-0000-0000-0000C85F0000}"/>
    <cellStyle name="Normal 296 5 2" xfId="24521" xr:uid="{00000000-0005-0000-0000-0000C95F0000}"/>
    <cellStyle name="Normal 296 5 2 2" xfId="24522" xr:uid="{00000000-0005-0000-0000-0000CA5F0000}"/>
    <cellStyle name="Normal 296 5 3" xfId="24523" xr:uid="{00000000-0005-0000-0000-0000CB5F0000}"/>
    <cellStyle name="Normal 296 6" xfId="24524" xr:uid="{00000000-0005-0000-0000-0000CC5F0000}"/>
    <cellStyle name="Normal 296 6 2" xfId="24525" xr:uid="{00000000-0005-0000-0000-0000CD5F0000}"/>
    <cellStyle name="Normal 296 6 2 2" xfId="24526" xr:uid="{00000000-0005-0000-0000-0000CE5F0000}"/>
    <cellStyle name="Normal 296 6 3" xfId="24527" xr:uid="{00000000-0005-0000-0000-0000CF5F0000}"/>
    <cellStyle name="Normal 296 7" xfId="24528" xr:uid="{00000000-0005-0000-0000-0000D05F0000}"/>
    <cellStyle name="Normal 297" xfId="24529" xr:uid="{00000000-0005-0000-0000-0000D15F0000}"/>
    <cellStyle name="Normal 297 2" xfId="24530" xr:uid="{00000000-0005-0000-0000-0000D25F0000}"/>
    <cellStyle name="Normal 297 2 2" xfId="24531" xr:uid="{00000000-0005-0000-0000-0000D35F0000}"/>
    <cellStyle name="Normal 297 2 2 2" xfId="24532" xr:uid="{00000000-0005-0000-0000-0000D45F0000}"/>
    <cellStyle name="Normal 297 2 3" xfId="24533" xr:uid="{00000000-0005-0000-0000-0000D55F0000}"/>
    <cellStyle name="Normal 297 2 3 2" xfId="24534" xr:uid="{00000000-0005-0000-0000-0000D65F0000}"/>
    <cellStyle name="Normal 297 2 3 2 2" xfId="24535" xr:uid="{00000000-0005-0000-0000-0000D75F0000}"/>
    <cellStyle name="Normal 297 2 3 3" xfId="24536" xr:uid="{00000000-0005-0000-0000-0000D85F0000}"/>
    <cellStyle name="Normal 297 2 4" xfId="24537" xr:uid="{00000000-0005-0000-0000-0000D95F0000}"/>
    <cellStyle name="Normal 297 2 4 2" xfId="24538" xr:uid="{00000000-0005-0000-0000-0000DA5F0000}"/>
    <cellStyle name="Normal 297 2 4 2 2" xfId="24539" xr:uid="{00000000-0005-0000-0000-0000DB5F0000}"/>
    <cellStyle name="Normal 297 2 4 3" xfId="24540" xr:uid="{00000000-0005-0000-0000-0000DC5F0000}"/>
    <cellStyle name="Normal 297 2 5" xfId="24541" xr:uid="{00000000-0005-0000-0000-0000DD5F0000}"/>
    <cellStyle name="Normal 297 3" xfId="24542" xr:uid="{00000000-0005-0000-0000-0000DE5F0000}"/>
    <cellStyle name="Normal 297 3 2" xfId="24543" xr:uid="{00000000-0005-0000-0000-0000DF5F0000}"/>
    <cellStyle name="Normal 297 3 2 2" xfId="24544" xr:uid="{00000000-0005-0000-0000-0000E05F0000}"/>
    <cellStyle name="Normal 297 3 2 2 2" xfId="24545" xr:uid="{00000000-0005-0000-0000-0000E15F0000}"/>
    <cellStyle name="Normal 297 3 2 3" xfId="24546" xr:uid="{00000000-0005-0000-0000-0000E25F0000}"/>
    <cellStyle name="Normal 297 3 2 3 2" xfId="24547" xr:uid="{00000000-0005-0000-0000-0000E35F0000}"/>
    <cellStyle name="Normal 297 3 2 3 2 2" xfId="24548" xr:uid="{00000000-0005-0000-0000-0000E45F0000}"/>
    <cellStyle name="Normal 297 3 2 3 3" xfId="24549" xr:uid="{00000000-0005-0000-0000-0000E55F0000}"/>
    <cellStyle name="Normal 297 3 2 4" xfId="24550" xr:uid="{00000000-0005-0000-0000-0000E65F0000}"/>
    <cellStyle name="Normal 297 3 3" xfId="24551" xr:uid="{00000000-0005-0000-0000-0000E75F0000}"/>
    <cellStyle name="Normal 297 3 3 2" xfId="24552" xr:uid="{00000000-0005-0000-0000-0000E85F0000}"/>
    <cellStyle name="Normal 297 3 3 2 2" xfId="24553" xr:uid="{00000000-0005-0000-0000-0000E95F0000}"/>
    <cellStyle name="Normal 297 3 3 3" xfId="24554" xr:uid="{00000000-0005-0000-0000-0000EA5F0000}"/>
    <cellStyle name="Normal 297 3 4" xfId="24555" xr:uid="{00000000-0005-0000-0000-0000EB5F0000}"/>
    <cellStyle name="Normal 297 3 4 2" xfId="24556" xr:uid="{00000000-0005-0000-0000-0000EC5F0000}"/>
    <cellStyle name="Normal 297 3 4 2 2" xfId="24557" xr:uid="{00000000-0005-0000-0000-0000ED5F0000}"/>
    <cellStyle name="Normal 297 3 4 3" xfId="24558" xr:uid="{00000000-0005-0000-0000-0000EE5F0000}"/>
    <cellStyle name="Normal 297 3 5" xfId="24559" xr:uid="{00000000-0005-0000-0000-0000EF5F0000}"/>
    <cellStyle name="Normal 297 3 5 2" xfId="24560" xr:uid="{00000000-0005-0000-0000-0000F05F0000}"/>
    <cellStyle name="Normal 297 3 5 2 2" xfId="24561" xr:uid="{00000000-0005-0000-0000-0000F15F0000}"/>
    <cellStyle name="Normal 297 3 5 3" xfId="24562" xr:uid="{00000000-0005-0000-0000-0000F25F0000}"/>
    <cellStyle name="Normal 297 3 6" xfId="24563" xr:uid="{00000000-0005-0000-0000-0000F35F0000}"/>
    <cellStyle name="Normal 297 4" xfId="24564" xr:uid="{00000000-0005-0000-0000-0000F45F0000}"/>
    <cellStyle name="Normal 297 4 2" xfId="24565" xr:uid="{00000000-0005-0000-0000-0000F55F0000}"/>
    <cellStyle name="Normal 297 4 2 2" xfId="24566" xr:uid="{00000000-0005-0000-0000-0000F65F0000}"/>
    <cellStyle name="Normal 297 4 3" xfId="24567" xr:uid="{00000000-0005-0000-0000-0000F75F0000}"/>
    <cellStyle name="Normal 297 5" xfId="24568" xr:uid="{00000000-0005-0000-0000-0000F85F0000}"/>
    <cellStyle name="Normal 297 5 2" xfId="24569" xr:uid="{00000000-0005-0000-0000-0000F95F0000}"/>
    <cellStyle name="Normal 297 5 2 2" xfId="24570" xr:uid="{00000000-0005-0000-0000-0000FA5F0000}"/>
    <cellStyle name="Normal 297 5 3" xfId="24571" xr:uid="{00000000-0005-0000-0000-0000FB5F0000}"/>
    <cellStyle name="Normal 297 6" xfId="24572" xr:uid="{00000000-0005-0000-0000-0000FC5F0000}"/>
    <cellStyle name="Normal 297 6 2" xfId="24573" xr:uid="{00000000-0005-0000-0000-0000FD5F0000}"/>
    <cellStyle name="Normal 297 6 2 2" xfId="24574" xr:uid="{00000000-0005-0000-0000-0000FE5F0000}"/>
    <cellStyle name="Normal 297 6 3" xfId="24575" xr:uid="{00000000-0005-0000-0000-0000FF5F0000}"/>
    <cellStyle name="Normal 297 7" xfId="24576" xr:uid="{00000000-0005-0000-0000-000000600000}"/>
    <cellStyle name="Normal 298" xfId="24577" xr:uid="{00000000-0005-0000-0000-000001600000}"/>
    <cellStyle name="Normal 298 2" xfId="24578" xr:uid="{00000000-0005-0000-0000-000002600000}"/>
    <cellStyle name="Normal 298 2 2" xfId="24579" xr:uid="{00000000-0005-0000-0000-000003600000}"/>
    <cellStyle name="Normal 298 2 2 2" xfId="24580" xr:uid="{00000000-0005-0000-0000-000004600000}"/>
    <cellStyle name="Normal 298 2 3" xfId="24581" xr:uid="{00000000-0005-0000-0000-000005600000}"/>
    <cellStyle name="Normal 298 2 3 2" xfId="24582" xr:uid="{00000000-0005-0000-0000-000006600000}"/>
    <cellStyle name="Normal 298 2 3 2 2" xfId="24583" xr:uid="{00000000-0005-0000-0000-000007600000}"/>
    <cellStyle name="Normal 298 2 3 3" xfId="24584" xr:uid="{00000000-0005-0000-0000-000008600000}"/>
    <cellStyle name="Normal 298 2 4" xfId="24585" xr:uid="{00000000-0005-0000-0000-000009600000}"/>
    <cellStyle name="Normal 298 2 4 2" xfId="24586" xr:uid="{00000000-0005-0000-0000-00000A600000}"/>
    <cellStyle name="Normal 298 2 4 2 2" xfId="24587" xr:uid="{00000000-0005-0000-0000-00000B600000}"/>
    <cellStyle name="Normal 298 2 4 3" xfId="24588" xr:uid="{00000000-0005-0000-0000-00000C600000}"/>
    <cellStyle name="Normal 298 2 5" xfId="24589" xr:uid="{00000000-0005-0000-0000-00000D600000}"/>
    <cellStyle name="Normal 298 3" xfId="24590" xr:uid="{00000000-0005-0000-0000-00000E600000}"/>
    <cellStyle name="Normal 298 3 2" xfId="24591" xr:uid="{00000000-0005-0000-0000-00000F600000}"/>
    <cellStyle name="Normal 298 3 2 2" xfId="24592" xr:uid="{00000000-0005-0000-0000-000010600000}"/>
    <cellStyle name="Normal 298 3 2 2 2" xfId="24593" xr:uid="{00000000-0005-0000-0000-000011600000}"/>
    <cellStyle name="Normal 298 3 2 3" xfId="24594" xr:uid="{00000000-0005-0000-0000-000012600000}"/>
    <cellStyle name="Normal 298 3 2 3 2" xfId="24595" xr:uid="{00000000-0005-0000-0000-000013600000}"/>
    <cellStyle name="Normal 298 3 2 3 2 2" xfId="24596" xr:uid="{00000000-0005-0000-0000-000014600000}"/>
    <cellStyle name="Normal 298 3 2 3 3" xfId="24597" xr:uid="{00000000-0005-0000-0000-000015600000}"/>
    <cellStyle name="Normal 298 3 2 4" xfId="24598" xr:uid="{00000000-0005-0000-0000-000016600000}"/>
    <cellStyle name="Normal 298 3 3" xfId="24599" xr:uid="{00000000-0005-0000-0000-000017600000}"/>
    <cellStyle name="Normal 298 3 3 2" xfId="24600" xr:uid="{00000000-0005-0000-0000-000018600000}"/>
    <cellStyle name="Normal 298 3 3 2 2" xfId="24601" xr:uid="{00000000-0005-0000-0000-000019600000}"/>
    <cellStyle name="Normal 298 3 3 3" xfId="24602" xr:uid="{00000000-0005-0000-0000-00001A600000}"/>
    <cellStyle name="Normal 298 3 4" xfId="24603" xr:uid="{00000000-0005-0000-0000-00001B600000}"/>
    <cellStyle name="Normal 298 3 4 2" xfId="24604" xr:uid="{00000000-0005-0000-0000-00001C600000}"/>
    <cellStyle name="Normal 298 3 4 2 2" xfId="24605" xr:uid="{00000000-0005-0000-0000-00001D600000}"/>
    <cellStyle name="Normal 298 3 4 3" xfId="24606" xr:uid="{00000000-0005-0000-0000-00001E600000}"/>
    <cellStyle name="Normal 298 3 5" xfId="24607" xr:uid="{00000000-0005-0000-0000-00001F600000}"/>
    <cellStyle name="Normal 298 3 5 2" xfId="24608" xr:uid="{00000000-0005-0000-0000-000020600000}"/>
    <cellStyle name="Normal 298 3 5 2 2" xfId="24609" xr:uid="{00000000-0005-0000-0000-000021600000}"/>
    <cellStyle name="Normal 298 3 5 3" xfId="24610" xr:uid="{00000000-0005-0000-0000-000022600000}"/>
    <cellStyle name="Normal 298 3 6" xfId="24611" xr:uid="{00000000-0005-0000-0000-000023600000}"/>
    <cellStyle name="Normal 298 4" xfId="24612" xr:uid="{00000000-0005-0000-0000-000024600000}"/>
    <cellStyle name="Normal 298 4 2" xfId="24613" xr:uid="{00000000-0005-0000-0000-000025600000}"/>
    <cellStyle name="Normal 298 4 2 2" xfId="24614" xr:uid="{00000000-0005-0000-0000-000026600000}"/>
    <cellStyle name="Normal 298 4 3" xfId="24615" xr:uid="{00000000-0005-0000-0000-000027600000}"/>
    <cellStyle name="Normal 298 5" xfId="24616" xr:uid="{00000000-0005-0000-0000-000028600000}"/>
    <cellStyle name="Normal 298 5 2" xfId="24617" xr:uid="{00000000-0005-0000-0000-000029600000}"/>
    <cellStyle name="Normal 298 5 2 2" xfId="24618" xr:uid="{00000000-0005-0000-0000-00002A600000}"/>
    <cellStyle name="Normal 298 5 3" xfId="24619" xr:uid="{00000000-0005-0000-0000-00002B600000}"/>
    <cellStyle name="Normal 298 6" xfId="24620" xr:uid="{00000000-0005-0000-0000-00002C600000}"/>
    <cellStyle name="Normal 298 6 2" xfId="24621" xr:uid="{00000000-0005-0000-0000-00002D600000}"/>
    <cellStyle name="Normal 298 6 2 2" xfId="24622" xr:uid="{00000000-0005-0000-0000-00002E600000}"/>
    <cellStyle name="Normal 298 6 3" xfId="24623" xr:uid="{00000000-0005-0000-0000-00002F600000}"/>
    <cellStyle name="Normal 298 7" xfId="24624" xr:uid="{00000000-0005-0000-0000-000030600000}"/>
    <cellStyle name="Normal 299" xfId="24625" xr:uid="{00000000-0005-0000-0000-000031600000}"/>
    <cellStyle name="Normal 299 2" xfId="24626" xr:uid="{00000000-0005-0000-0000-000032600000}"/>
    <cellStyle name="Normal 299 2 2" xfId="24627" xr:uid="{00000000-0005-0000-0000-000033600000}"/>
    <cellStyle name="Normal 299 2 2 2" xfId="24628" xr:uid="{00000000-0005-0000-0000-000034600000}"/>
    <cellStyle name="Normal 299 2 3" xfId="24629" xr:uid="{00000000-0005-0000-0000-000035600000}"/>
    <cellStyle name="Normal 299 2 3 2" xfId="24630" xr:uid="{00000000-0005-0000-0000-000036600000}"/>
    <cellStyle name="Normal 299 2 3 2 2" xfId="24631" xr:uid="{00000000-0005-0000-0000-000037600000}"/>
    <cellStyle name="Normal 299 2 3 3" xfId="24632" xr:uid="{00000000-0005-0000-0000-000038600000}"/>
    <cellStyle name="Normal 299 2 4" xfId="24633" xr:uid="{00000000-0005-0000-0000-000039600000}"/>
    <cellStyle name="Normal 299 2 4 2" xfId="24634" xr:uid="{00000000-0005-0000-0000-00003A600000}"/>
    <cellStyle name="Normal 299 2 4 2 2" xfId="24635" xr:uid="{00000000-0005-0000-0000-00003B600000}"/>
    <cellStyle name="Normal 299 2 4 3" xfId="24636" xr:uid="{00000000-0005-0000-0000-00003C600000}"/>
    <cellStyle name="Normal 299 2 5" xfId="24637" xr:uid="{00000000-0005-0000-0000-00003D600000}"/>
    <cellStyle name="Normal 299 3" xfId="24638" xr:uid="{00000000-0005-0000-0000-00003E600000}"/>
    <cellStyle name="Normal 299 3 2" xfId="24639" xr:uid="{00000000-0005-0000-0000-00003F600000}"/>
    <cellStyle name="Normal 299 3 2 2" xfId="24640" xr:uid="{00000000-0005-0000-0000-000040600000}"/>
    <cellStyle name="Normal 299 3 2 2 2" xfId="24641" xr:uid="{00000000-0005-0000-0000-000041600000}"/>
    <cellStyle name="Normal 299 3 2 3" xfId="24642" xr:uid="{00000000-0005-0000-0000-000042600000}"/>
    <cellStyle name="Normal 299 3 2 3 2" xfId="24643" xr:uid="{00000000-0005-0000-0000-000043600000}"/>
    <cellStyle name="Normal 299 3 2 3 2 2" xfId="24644" xr:uid="{00000000-0005-0000-0000-000044600000}"/>
    <cellStyle name="Normal 299 3 2 3 3" xfId="24645" xr:uid="{00000000-0005-0000-0000-000045600000}"/>
    <cellStyle name="Normal 299 3 2 4" xfId="24646" xr:uid="{00000000-0005-0000-0000-000046600000}"/>
    <cellStyle name="Normal 299 3 3" xfId="24647" xr:uid="{00000000-0005-0000-0000-000047600000}"/>
    <cellStyle name="Normal 299 3 3 2" xfId="24648" xr:uid="{00000000-0005-0000-0000-000048600000}"/>
    <cellStyle name="Normal 299 3 3 2 2" xfId="24649" xr:uid="{00000000-0005-0000-0000-000049600000}"/>
    <cellStyle name="Normal 299 3 3 3" xfId="24650" xr:uid="{00000000-0005-0000-0000-00004A600000}"/>
    <cellStyle name="Normal 299 3 4" xfId="24651" xr:uid="{00000000-0005-0000-0000-00004B600000}"/>
    <cellStyle name="Normal 299 3 4 2" xfId="24652" xr:uid="{00000000-0005-0000-0000-00004C600000}"/>
    <cellStyle name="Normal 299 3 4 2 2" xfId="24653" xr:uid="{00000000-0005-0000-0000-00004D600000}"/>
    <cellStyle name="Normal 299 3 4 3" xfId="24654" xr:uid="{00000000-0005-0000-0000-00004E600000}"/>
    <cellStyle name="Normal 299 3 5" xfId="24655" xr:uid="{00000000-0005-0000-0000-00004F600000}"/>
    <cellStyle name="Normal 299 3 5 2" xfId="24656" xr:uid="{00000000-0005-0000-0000-000050600000}"/>
    <cellStyle name="Normal 299 3 5 2 2" xfId="24657" xr:uid="{00000000-0005-0000-0000-000051600000}"/>
    <cellStyle name="Normal 299 3 5 3" xfId="24658" xr:uid="{00000000-0005-0000-0000-000052600000}"/>
    <cellStyle name="Normal 299 3 6" xfId="24659" xr:uid="{00000000-0005-0000-0000-000053600000}"/>
    <cellStyle name="Normal 299 4" xfId="24660" xr:uid="{00000000-0005-0000-0000-000054600000}"/>
    <cellStyle name="Normal 299 4 2" xfId="24661" xr:uid="{00000000-0005-0000-0000-000055600000}"/>
    <cellStyle name="Normal 299 4 2 2" xfId="24662" xr:uid="{00000000-0005-0000-0000-000056600000}"/>
    <cellStyle name="Normal 299 4 3" xfId="24663" xr:uid="{00000000-0005-0000-0000-000057600000}"/>
    <cellStyle name="Normal 299 5" xfId="24664" xr:uid="{00000000-0005-0000-0000-000058600000}"/>
    <cellStyle name="Normal 299 5 2" xfId="24665" xr:uid="{00000000-0005-0000-0000-000059600000}"/>
    <cellStyle name="Normal 299 5 2 2" xfId="24666" xr:uid="{00000000-0005-0000-0000-00005A600000}"/>
    <cellStyle name="Normal 299 5 3" xfId="24667" xr:uid="{00000000-0005-0000-0000-00005B600000}"/>
    <cellStyle name="Normal 299 6" xfId="24668" xr:uid="{00000000-0005-0000-0000-00005C600000}"/>
    <cellStyle name="Normal 299 6 2" xfId="24669" xr:uid="{00000000-0005-0000-0000-00005D600000}"/>
    <cellStyle name="Normal 299 6 2 2" xfId="24670" xr:uid="{00000000-0005-0000-0000-00005E600000}"/>
    <cellStyle name="Normal 299 6 3" xfId="24671" xr:uid="{00000000-0005-0000-0000-00005F600000}"/>
    <cellStyle name="Normal 299 7" xfId="24672" xr:uid="{00000000-0005-0000-0000-000060600000}"/>
    <cellStyle name="Normal 3" xfId="24673" xr:uid="{00000000-0005-0000-0000-000061600000}"/>
    <cellStyle name="Normal 3 10" xfId="24674" xr:uid="{00000000-0005-0000-0000-000062600000}"/>
    <cellStyle name="Normal 3 11" xfId="24675" xr:uid="{00000000-0005-0000-0000-000063600000}"/>
    <cellStyle name="Normal 3 12" xfId="24676" xr:uid="{00000000-0005-0000-0000-000064600000}"/>
    <cellStyle name="Normal 3 2" xfId="24677" xr:uid="{00000000-0005-0000-0000-000065600000}"/>
    <cellStyle name="Normal 3 2 2" xfId="24678" xr:uid="{00000000-0005-0000-0000-000066600000}"/>
    <cellStyle name="Normal 3 2 2 2" xfId="24679" xr:uid="{00000000-0005-0000-0000-000067600000}"/>
    <cellStyle name="Normal 3 2 2 2 2" xfId="24680" xr:uid="{00000000-0005-0000-0000-000068600000}"/>
    <cellStyle name="Normal 3 2 2 2 2 2" xfId="24681" xr:uid="{00000000-0005-0000-0000-000069600000}"/>
    <cellStyle name="Normal 3 2 2 2 3" xfId="24682" xr:uid="{00000000-0005-0000-0000-00006A600000}"/>
    <cellStyle name="Normal 3 2 2 2 3 2" xfId="24683" xr:uid="{00000000-0005-0000-0000-00006B600000}"/>
    <cellStyle name="Normal 3 2 2 2 3 2 2" xfId="24684" xr:uid="{00000000-0005-0000-0000-00006C600000}"/>
    <cellStyle name="Normal 3 2 2 2 3 3" xfId="24685" xr:uid="{00000000-0005-0000-0000-00006D600000}"/>
    <cellStyle name="Normal 3 2 2 2 4" xfId="24686" xr:uid="{00000000-0005-0000-0000-00006E600000}"/>
    <cellStyle name="Normal 3 2 2 2 4 2" xfId="24687" xr:uid="{00000000-0005-0000-0000-00006F600000}"/>
    <cellStyle name="Normal 3 2 2 2 4 2 2" xfId="24688" xr:uid="{00000000-0005-0000-0000-000070600000}"/>
    <cellStyle name="Normal 3 2 2 2 4 3" xfId="24689" xr:uid="{00000000-0005-0000-0000-000071600000}"/>
    <cellStyle name="Normal 3 2 2 2 5" xfId="24690" xr:uid="{00000000-0005-0000-0000-000072600000}"/>
    <cellStyle name="Normal 3 2 2 3" xfId="24691" xr:uid="{00000000-0005-0000-0000-000073600000}"/>
    <cellStyle name="Normal 3 2 2 3 2" xfId="24692" xr:uid="{00000000-0005-0000-0000-000074600000}"/>
    <cellStyle name="Normal 3 2 2 3 2 2" xfId="24693" xr:uid="{00000000-0005-0000-0000-000075600000}"/>
    <cellStyle name="Normal 3 2 2 3 2 2 2" xfId="24694" xr:uid="{00000000-0005-0000-0000-000076600000}"/>
    <cellStyle name="Normal 3 2 2 3 2 3" xfId="24695" xr:uid="{00000000-0005-0000-0000-000077600000}"/>
    <cellStyle name="Normal 3 2 2 3 2 3 2" xfId="24696" xr:uid="{00000000-0005-0000-0000-000078600000}"/>
    <cellStyle name="Normal 3 2 2 3 2 3 2 2" xfId="24697" xr:uid="{00000000-0005-0000-0000-000079600000}"/>
    <cellStyle name="Normal 3 2 2 3 2 3 3" xfId="24698" xr:uid="{00000000-0005-0000-0000-00007A600000}"/>
    <cellStyle name="Normal 3 2 2 3 2 4" xfId="24699" xr:uid="{00000000-0005-0000-0000-00007B600000}"/>
    <cellStyle name="Normal 3 2 2 3 3" xfId="24700" xr:uid="{00000000-0005-0000-0000-00007C600000}"/>
    <cellStyle name="Normal 3 2 2 3 3 2" xfId="24701" xr:uid="{00000000-0005-0000-0000-00007D600000}"/>
    <cellStyle name="Normal 3 2 2 3 3 2 2" xfId="24702" xr:uid="{00000000-0005-0000-0000-00007E600000}"/>
    <cellStyle name="Normal 3 2 2 3 3 3" xfId="24703" xr:uid="{00000000-0005-0000-0000-00007F600000}"/>
    <cellStyle name="Normal 3 2 2 3 4" xfId="24704" xr:uid="{00000000-0005-0000-0000-000080600000}"/>
    <cellStyle name="Normal 3 2 2 3 4 2" xfId="24705" xr:uid="{00000000-0005-0000-0000-000081600000}"/>
    <cellStyle name="Normal 3 2 2 3 4 2 2" xfId="24706" xr:uid="{00000000-0005-0000-0000-000082600000}"/>
    <cellStyle name="Normal 3 2 2 3 4 3" xfId="24707" xr:uid="{00000000-0005-0000-0000-000083600000}"/>
    <cellStyle name="Normal 3 2 2 3 5" xfId="24708" xr:uid="{00000000-0005-0000-0000-000084600000}"/>
    <cellStyle name="Normal 3 2 2 3 5 2" xfId="24709" xr:uid="{00000000-0005-0000-0000-000085600000}"/>
    <cellStyle name="Normal 3 2 2 3 5 2 2" xfId="24710" xr:uid="{00000000-0005-0000-0000-000086600000}"/>
    <cellStyle name="Normal 3 2 2 3 5 3" xfId="24711" xr:uid="{00000000-0005-0000-0000-000087600000}"/>
    <cellStyle name="Normal 3 2 2 3 6" xfId="24712" xr:uid="{00000000-0005-0000-0000-000088600000}"/>
    <cellStyle name="Normal 3 2 2 4" xfId="24713" xr:uid="{00000000-0005-0000-0000-000089600000}"/>
    <cellStyle name="Normal 3 2 2 5" xfId="24714" xr:uid="{00000000-0005-0000-0000-00008A600000}"/>
    <cellStyle name="Normal 3 2 3" xfId="24715" xr:uid="{00000000-0005-0000-0000-00008B600000}"/>
    <cellStyle name="Normal 3 2 3 2" xfId="24716" xr:uid="{00000000-0005-0000-0000-00008C600000}"/>
    <cellStyle name="Normal 3 2 3 2 2" xfId="24717" xr:uid="{00000000-0005-0000-0000-00008D600000}"/>
    <cellStyle name="Normal 3 2 3 3" xfId="24718" xr:uid="{00000000-0005-0000-0000-00008E600000}"/>
    <cellStyle name="Normal 3 2 3 3 2" xfId="24719" xr:uid="{00000000-0005-0000-0000-00008F600000}"/>
    <cellStyle name="Normal 3 2 3 3 2 2" xfId="24720" xr:uid="{00000000-0005-0000-0000-000090600000}"/>
    <cellStyle name="Normal 3 2 3 3 3" xfId="24721" xr:uid="{00000000-0005-0000-0000-000091600000}"/>
    <cellStyle name="Normal 3 2 3 4" xfId="24722" xr:uid="{00000000-0005-0000-0000-000092600000}"/>
    <cellStyle name="Normal 3 2 3 4 2" xfId="24723" xr:uid="{00000000-0005-0000-0000-000093600000}"/>
    <cellStyle name="Normal 3 2 3 4 2 2" xfId="24724" xr:uid="{00000000-0005-0000-0000-000094600000}"/>
    <cellStyle name="Normal 3 2 3 4 3" xfId="24725" xr:uid="{00000000-0005-0000-0000-000095600000}"/>
    <cellStyle name="Normal 3 2 3 5" xfId="24726" xr:uid="{00000000-0005-0000-0000-000096600000}"/>
    <cellStyle name="Normal 3 2 4" xfId="24727" xr:uid="{00000000-0005-0000-0000-000097600000}"/>
    <cellStyle name="Normal 3 2 4 2" xfId="24728" xr:uid="{00000000-0005-0000-0000-000098600000}"/>
    <cellStyle name="Normal 3 2 4 2 2" xfId="24729" xr:uid="{00000000-0005-0000-0000-000099600000}"/>
    <cellStyle name="Normal 3 2 4 2 2 2" xfId="24730" xr:uid="{00000000-0005-0000-0000-00009A600000}"/>
    <cellStyle name="Normal 3 2 4 2 3" xfId="24731" xr:uid="{00000000-0005-0000-0000-00009B600000}"/>
    <cellStyle name="Normal 3 2 4 2 3 2" xfId="24732" xr:uid="{00000000-0005-0000-0000-00009C600000}"/>
    <cellStyle name="Normal 3 2 4 2 3 2 2" xfId="24733" xr:uid="{00000000-0005-0000-0000-00009D600000}"/>
    <cellStyle name="Normal 3 2 4 2 3 3" xfId="24734" xr:uid="{00000000-0005-0000-0000-00009E600000}"/>
    <cellStyle name="Normal 3 2 4 2 4" xfId="24735" xr:uid="{00000000-0005-0000-0000-00009F600000}"/>
    <cellStyle name="Normal 3 2 4 3" xfId="24736" xr:uid="{00000000-0005-0000-0000-0000A0600000}"/>
    <cellStyle name="Normal 3 2 4 3 2" xfId="24737" xr:uid="{00000000-0005-0000-0000-0000A1600000}"/>
    <cellStyle name="Normal 3 2 4 3 2 2" xfId="24738" xr:uid="{00000000-0005-0000-0000-0000A2600000}"/>
    <cellStyle name="Normal 3 2 4 3 3" xfId="24739" xr:uid="{00000000-0005-0000-0000-0000A3600000}"/>
    <cellStyle name="Normal 3 2 4 4" xfId="24740" xr:uid="{00000000-0005-0000-0000-0000A4600000}"/>
    <cellStyle name="Normal 3 2 4 4 2" xfId="24741" xr:uid="{00000000-0005-0000-0000-0000A5600000}"/>
    <cellStyle name="Normal 3 2 4 4 2 2" xfId="24742" xr:uid="{00000000-0005-0000-0000-0000A6600000}"/>
    <cellStyle name="Normal 3 2 4 4 3" xfId="24743" xr:uid="{00000000-0005-0000-0000-0000A7600000}"/>
    <cellStyle name="Normal 3 2 4 5" xfId="24744" xr:uid="{00000000-0005-0000-0000-0000A8600000}"/>
    <cellStyle name="Normal 3 2 4 5 2" xfId="24745" xr:uid="{00000000-0005-0000-0000-0000A9600000}"/>
    <cellStyle name="Normal 3 2 4 5 2 2" xfId="24746" xr:uid="{00000000-0005-0000-0000-0000AA600000}"/>
    <cellStyle name="Normal 3 2 4 5 3" xfId="24747" xr:uid="{00000000-0005-0000-0000-0000AB600000}"/>
    <cellStyle name="Normal 3 2 4 6" xfId="24748" xr:uid="{00000000-0005-0000-0000-0000AC600000}"/>
    <cellStyle name="Normal 3 2 5" xfId="24749" xr:uid="{00000000-0005-0000-0000-0000AD600000}"/>
    <cellStyle name="Normal 3 2 5 2" xfId="24750" xr:uid="{00000000-0005-0000-0000-0000AE600000}"/>
    <cellStyle name="Normal 3 2 5 2 2" xfId="24751" xr:uid="{00000000-0005-0000-0000-0000AF600000}"/>
    <cellStyle name="Normal 3 2 5 3" xfId="24752" xr:uid="{00000000-0005-0000-0000-0000B0600000}"/>
    <cellStyle name="Normal 3 2 6" xfId="24753" xr:uid="{00000000-0005-0000-0000-0000B1600000}"/>
    <cellStyle name="Normal 3 2 7" xfId="24754" xr:uid="{00000000-0005-0000-0000-0000B2600000}"/>
    <cellStyle name="Normal 3 3" xfId="24755" xr:uid="{00000000-0005-0000-0000-0000B3600000}"/>
    <cellStyle name="Normal 3 3 2" xfId="24756" xr:uid="{00000000-0005-0000-0000-0000B4600000}"/>
    <cellStyle name="Normal 3 3 2 2" xfId="24757" xr:uid="{00000000-0005-0000-0000-0000B5600000}"/>
    <cellStyle name="Normal 3 3 2 2 2" xfId="24758" xr:uid="{00000000-0005-0000-0000-0000B6600000}"/>
    <cellStyle name="Normal 3 3 2 2 2 2" xfId="24759" xr:uid="{00000000-0005-0000-0000-0000B7600000}"/>
    <cellStyle name="Normal 3 3 2 2 3" xfId="24760" xr:uid="{00000000-0005-0000-0000-0000B8600000}"/>
    <cellStyle name="Normal 3 3 2 2 3 2" xfId="24761" xr:uid="{00000000-0005-0000-0000-0000B9600000}"/>
    <cellStyle name="Normal 3 3 2 2 3 2 2" xfId="24762" xr:uid="{00000000-0005-0000-0000-0000BA600000}"/>
    <cellStyle name="Normal 3 3 2 2 3 3" xfId="24763" xr:uid="{00000000-0005-0000-0000-0000BB600000}"/>
    <cellStyle name="Normal 3 3 2 2 4" xfId="24764" xr:uid="{00000000-0005-0000-0000-0000BC600000}"/>
    <cellStyle name="Normal 3 3 2 2 4 2" xfId="24765" xr:uid="{00000000-0005-0000-0000-0000BD600000}"/>
    <cellStyle name="Normal 3 3 2 2 4 2 2" xfId="24766" xr:uid="{00000000-0005-0000-0000-0000BE600000}"/>
    <cellStyle name="Normal 3 3 2 2 4 3" xfId="24767" xr:uid="{00000000-0005-0000-0000-0000BF600000}"/>
    <cellStyle name="Normal 3 3 2 2 5" xfId="24768" xr:uid="{00000000-0005-0000-0000-0000C0600000}"/>
    <cellStyle name="Normal 3 3 2 3" xfId="24769" xr:uid="{00000000-0005-0000-0000-0000C1600000}"/>
    <cellStyle name="Normal 3 3 2 3 2" xfId="24770" xr:uid="{00000000-0005-0000-0000-0000C2600000}"/>
    <cellStyle name="Normal 3 3 2 3 2 2" xfId="24771" xr:uid="{00000000-0005-0000-0000-0000C3600000}"/>
    <cellStyle name="Normal 3 3 2 3 3" xfId="24772" xr:uid="{00000000-0005-0000-0000-0000C4600000}"/>
    <cellStyle name="Normal 3 3 2 4" xfId="24773" xr:uid="{00000000-0005-0000-0000-0000C5600000}"/>
    <cellStyle name="Normal 3 3 2 4 2" xfId="24774" xr:uid="{00000000-0005-0000-0000-0000C6600000}"/>
    <cellStyle name="Normal 3 3 2 4 2 2" xfId="24775" xr:uid="{00000000-0005-0000-0000-0000C7600000}"/>
    <cellStyle name="Normal 3 3 2 4 3" xfId="24776" xr:uid="{00000000-0005-0000-0000-0000C8600000}"/>
    <cellStyle name="Normal 3 3 2 5" xfId="24777" xr:uid="{00000000-0005-0000-0000-0000C9600000}"/>
    <cellStyle name="Normal 3 3 2 5 2" xfId="24778" xr:uid="{00000000-0005-0000-0000-0000CA600000}"/>
    <cellStyle name="Normal 3 3 2 5 2 2" xfId="24779" xr:uid="{00000000-0005-0000-0000-0000CB600000}"/>
    <cellStyle name="Normal 3 3 2 5 3" xfId="24780" xr:uid="{00000000-0005-0000-0000-0000CC600000}"/>
    <cellStyle name="Normal 3 3 2 6" xfId="24781" xr:uid="{00000000-0005-0000-0000-0000CD600000}"/>
    <cellStyle name="Normal 3 3 3" xfId="24782" xr:uid="{00000000-0005-0000-0000-0000CE600000}"/>
    <cellStyle name="Normal 3 3 3 2" xfId="24783" xr:uid="{00000000-0005-0000-0000-0000CF600000}"/>
    <cellStyle name="Normal 3 3 3 2 2" xfId="24784" xr:uid="{00000000-0005-0000-0000-0000D0600000}"/>
    <cellStyle name="Normal 3 3 3 3" xfId="24785" xr:uid="{00000000-0005-0000-0000-0000D1600000}"/>
    <cellStyle name="Normal 3 3 3 3 2" xfId="24786" xr:uid="{00000000-0005-0000-0000-0000D2600000}"/>
    <cellStyle name="Normal 3 3 3 3 2 2" xfId="24787" xr:uid="{00000000-0005-0000-0000-0000D3600000}"/>
    <cellStyle name="Normal 3 3 3 3 3" xfId="24788" xr:uid="{00000000-0005-0000-0000-0000D4600000}"/>
    <cellStyle name="Normal 3 3 3 4" xfId="24789" xr:uid="{00000000-0005-0000-0000-0000D5600000}"/>
    <cellStyle name="Normal 3 3 3 4 2" xfId="24790" xr:uid="{00000000-0005-0000-0000-0000D6600000}"/>
    <cellStyle name="Normal 3 3 3 4 2 2" xfId="24791" xr:uid="{00000000-0005-0000-0000-0000D7600000}"/>
    <cellStyle name="Normal 3 3 3 4 3" xfId="24792" xr:uid="{00000000-0005-0000-0000-0000D8600000}"/>
    <cellStyle name="Normal 3 3 3 5" xfId="24793" xr:uid="{00000000-0005-0000-0000-0000D9600000}"/>
    <cellStyle name="Normal 3 3 4" xfId="24794" xr:uid="{00000000-0005-0000-0000-0000DA600000}"/>
    <cellStyle name="Normal 3 3 4 2" xfId="24795" xr:uid="{00000000-0005-0000-0000-0000DB600000}"/>
    <cellStyle name="Normal 3 3 4 2 2" xfId="24796" xr:uid="{00000000-0005-0000-0000-0000DC600000}"/>
    <cellStyle name="Normal 3 3 4 2 2 2" xfId="24797" xr:uid="{00000000-0005-0000-0000-0000DD600000}"/>
    <cellStyle name="Normal 3 3 4 2 3" xfId="24798" xr:uid="{00000000-0005-0000-0000-0000DE600000}"/>
    <cellStyle name="Normal 3 3 4 2 3 2" xfId="24799" xr:uid="{00000000-0005-0000-0000-0000DF600000}"/>
    <cellStyle name="Normal 3 3 4 2 3 2 2" xfId="24800" xr:uid="{00000000-0005-0000-0000-0000E0600000}"/>
    <cellStyle name="Normal 3 3 4 2 3 3" xfId="24801" xr:uid="{00000000-0005-0000-0000-0000E1600000}"/>
    <cellStyle name="Normal 3 3 4 2 4" xfId="24802" xr:uid="{00000000-0005-0000-0000-0000E2600000}"/>
    <cellStyle name="Normal 3 3 4 3" xfId="24803" xr:uid="{00000000-0005-0000-0000-0000E3600000}"/>
    <cellStyle name="Normal 3 3 4 3 2" xfId="24804" xr:uid="{00000000-0005-0000-0000-0000E4600000}"/>
    <cellStyle name="Normal 3 3 4 3 2 2" xfId="24805" xr:uid="{00000000-0005-0000-0000-0000E5600000}"/>
    <cellStyle name="Normal 3 3 4 3 3" xfId="24806" xr:uid="{00000000-0005-0000-0000-0000E6600000}"/>
    <cellStyle name="Normal 3 3 4 4" xfId="24807" xr:uid="{00000000-0005-0000-0000-0000E7600000}"/>
    <cellStyle name="Normal 3 3 4 4 2" xfId="24808" xr:uid="{00000000-0005-0000-0000-0000E8600000}"/>
    <cellStyle name="Normal 3 3 4 4 2 2" xfId="24809" xr:uid="{00000000-0005-0000-0000-0000E9600000}"/>
    <cellStyle name="Normal 3 3 4 4 3" xfId="24810" xr:uid="{00000000-0005-0000-0000-0000EA600000}"/>
    <cellStyle name="Normal 3 3 4 5" xfId="24811" xr:uid="{00000000-0005-0000-0000-0000EB600000}"/>
    <cellStyle name="Normal 3 3 4 5 2" xfId="24812" xr:uid="{00000000-0005-0000-0000-0000EC600000}"/>
    <cellStyle name="Normal 3 3 4 5 2 2" xfId="24813" xr:uid="{00000000-0005-0000-0000-0000ED600000}"/>
    <cellStyle name="Normal 3 3 4 5 3" xfId="24814" xr:uid="{00000000-0005-0000-0000-0000EE600000}"/>
    <cellStyle name="Normal 3 3 4 6" xfId="24815" xr:uid="{00000000-0005-0000-0000-0000EF600000}"/>
    <cellStyle name="Normal 3 3 5" xfId="24816" xr:uid="{00000000-0005-0000-0000-0000F0600000}"/>
    <cellStyle name="Normal 3 3 5 2" xfId="24817" xr:uid="{00000000-0005-0000-0000-0000F1600000}"/>
    <cellStyle name="Normal 3 3 5 2 2" xfId="24818" xr:uid="{00000000-0005-0000-0000-0000F2600000}"/>
    <cellStyle name="Normal 3 3 5 3" xfId="24819" xr:uid="{00000000-0005-0000-0000-0000F3600000}"/>
    <cellStyle name="Normal 3 3 6" xfId="24820" xr:uid="{00000000-0005-0000-0000-0000F4600000}"/>
    <cellStyle name="Normal 3 3 6 2" xfId="24821" xr:uid="{00000000-0005-0000-0000-0000F5600000}"/>
    <cellStyle name="Normal 3 3 6 2 2" xfId="24822" xr:uid="{00000000-0005-0000-0000-0000F6600000}"/>
    <cellStyle name="Normal 3 3 6 3" xfId="24823" xr:uid="{00000000-0005-0000-0000-0000F7600000}"/>
    <cellStyle name="Normal 3 3 7" xfId="24824" xr:uid="{00000000-0005-0000-0000-0000F8600000}"/>
    <cellStyle name="Normal 3 3 7 2" xfId="24825" xr:uid="{00000000-0005-0000-0000-0000F9600000}"/>
    <cellStyle name="Normal 3 3 7 2 2" xfId="24826" xr:uid="{00000000-0005-0000-0000-0000FA600000}"/>
    <cellStyle name="Normal 3 3 7 3" xfId="24827" xr:uid="{00000000-0005-0000-0000-0000FB600000}"/>
    <cellStyle name="Normal 3 3 8" xfId="24828" xr:uid="{00000000-0005-0000-0000-0000FC600000}"/>
    <cellStyle name="Normal 3 4" xfId="24829" xr:uid="{00000000-0005-0000-0000-0000FD600000}"/>
    <cellStyle name="Normal 3 4 2" xfId="24830" xr:uid="{00000000-0005-0000-0000-0000FE600000}"/>
    <cellStyle name="Normal 3 4 2 2" xfId="24831" xr:uid="{00000000-0005-0000-0000-0000FF600000}"/>
    <cellStyle name="Normal 3 4 2 2 2" xfId="24832" xr:uid="{00000000-0005-0000-0000-000000610000}"/>
    <cellStyle name="Normal 3 4 2 3" xfId="24833" xr:uid="{00000000-0005-0000-0000-000001610000}"/>
    <cellStyle name="Normal 3 4 2 3 2" xfId="24834" xr:uid="{00000000-0005-0000-0000-000002610000}"/>
    <cellStyle name="Normal 3 4 2 3 2 2" xfId="24835" xr:uid="{00000000-0005-0000-0000-000003610000}"/>
    <cellStyle name="Normal 3 4 2 3 3" xfId="24836" xr:uid="{00000000-0005-0000-0000-000004610000}"/>
    <cellStyle name="Normal 3 4 2 4" xfId="24837" xr:uid="{00000000-0005-0000-0000-000005610000}"/>
    <cellStyle name="Normal 3 4 2 4 2" xfId="24838" xr:uid="{00000000-0005-0000-0000-000006610000}"/>
    <cellStyle name="Normal 3 4 2 4 2 2" xfId="24839" xr:uid="{00000000-0005-0000-0000-000007610000}"/>
    <cellStyle name="Normal 3 4 2 4 3" xfId="24840" xr:uid="{00000000-0005-0000-0000-000008610000}"/>
    <cellStyle name="Normal 3 4 2 5" xfId="24841" xr:uid="{00000000-0005-0000-0000-000009610000}"/>
    <cellStyle name="Normal 3 4 3" xfId="24842" xr:uid="{00000000-0005-0000-0000-00000A610000}"/>
    <cellStyle name="Normal 3 4 3 2" xfId="24843" xr:uid="{00000000-0005-0000-0000-00000B610000}"/>
    <cellStyle name="Normal 3 4 3 2 2" xfId="24844" xr:uid="{00000000-0005-0000-0000-00000C610000}"/>
    <cellStyle name="Normal 3 4 3 3" xfId="24845" xr:uid="{00000000-0005-0000-0000-00000D610000}"/>
    <cellStyle name="Normal 3 4 4" xfId="24846" xr:uid="{00000000-0005-0000-0000-00000E610000}"/>
    <cellStyle name="Normal 3 4 4 2" xfId="24847" xr:uid="{00000000-0005-0000-0000-00000F610000}"/>
    <cellStyle name="Normal 3 4 4 2 2" xfId="24848" xr:uid="{00000000-0005-0000-0000-000010610000}"/>
    <cellStyle name="Normal 3 4 4 3" xfId="24849" xr:uid="{00000000-0005-0000-0000-000011610000}"/>
    <cellStyle name="Normal 3 4 5" xfId="24850" xr:uid="{00000000-0005-0000-0000-000012610000}"/>
    <cellStyle name="Normal 3 4 5 2" xfId="24851" xr:uid="{00000000-0005-0000-0000-000013610000}"/>
    <cellStyle name="Normal 3 4 5 2 2" xfId="24852" xr:uid="{00000000-0005-0000-0000-000014610000}"/>
    <cellStyle name="Normal 3 4 5 3" xfId="24853" xr:uid="{00000000-0005-0000-0000-000015610000}"/>
    <cellStyle name="Normal 3 4 6" xfId="24854" xr:uid="{00000000-0005-0000-0000-000016610000}"/>
    <cellStyle name="Normal 3 5" xfId="24855" xr:uid="{00000000-0005-0000-0000-000017610000}"/>
    <cellStyle name="Normal 3 5 2" xfId="24856" xr:uid="{00000000-0005-0000-0000-000018610000}"/>
    <cellStyle name="Normal 3 5 2 2" xfId="24857" xr:uid="{00000000-0005-0000-0000-000019610000}"/>
    <cellStyle name="Normal 3 5 2 2 2" xfId="24858" xr:uid="{00000000-0005-0000-0000-00001A610000}"/>
    <cellStyle name="Normal 3 5 2 3" xfId="24859" xr:uid="{00000000-0005-0000-0000-00001B610000}"/>
    <cellStyle name="Normal 3 5 2 3 2" xfId="24860" xr:uid="{00000000-0005-0000-0000-00001C610000}"/>
    <cellStyle name="Normal 3 5 2 3 2 2" xfId="24861" xr:uid="{00000000-0005-0000-0000-00001D610000}"/>
    <cellStyle name="Normal 3 5 2 3 3" xfId="24862" xr:uid="{00000000-0005-0000-0000-00001E610000}"/>
    <cellStyle name="Normal 3 5 2 4" xfId="24863" xr:uid="{00000000-0005-0000-0000-00001F610000}"/>
    <cellStyle name="Normal 3 5 2 4 2" xfId="24864" xr:uid="{00000000-0005-0000-0000-000020610000}"/>
    <cellStyle name="Normal 3 5 2 4 2 2" xfId="24865" xr:uid="{00000000-0005-0000-0000-000021610000}"/>
    <cellStyle name="Normal 3 5 2 4 3" xfId="24866" xr:uid="{00000000-0005-0000-0000-000022610000}"/>
    <cellStyle name="Normal 3 5 2 5" xfId="24867" xr:uid="{00000000-0005-0000-0000-000023610000}"/>
    <cellStyle name="Normal 3 5 3" xfId="24868" xr:uid="{00000000-0005-0000-0000-000024610000}"/>
    <cellStyle name="Normal 3 5 3 2" xfId="24869" xr:uid="{00000000-0005-0000-0000-000025610000}"/>
    <cellStyle name="Normal 3 5 3 2 2" xfId="24870" xr:uid="{00000000-0005-0000-0000-000026610000}"/>
    <cellStyle name="Normal 3 5 3 3" xfId="24871" xr:uid="{00000000-0005-0000-0000-000027610000}"/>
    <cellStyle name="Normal 3 5 4" xfId="24872" xr:uid="{00000000-0005-0000-0000-000028610000}"/>
    <cellStyle name="Normal 3 5 4 2" xfId="24873" xr:uid="{00000000-0005-0000-0000-000029610000}"/>
    <cellStyle name="Normal 3 5 4 2 2" xfId="24874" xr:uid="{00000000-0005-0000-0000-00002A610000}"/>
    <cellStyle name="Normal 3 5 4 3" xfId="24875" xr:uid="{00000000-0005-0000-0000-00002B610000}"/>
    <cellStyle name="Normal 3 5 5" xfId="24876" xr:uid="{00000000-0005-0000-0000-00002C610000}"/>
    <cellStyle name="Normal 3 5 5 2" xfId="24877" xr:uid="{00000000-0005-0000-0000-00002D610000}"/>
    <cellStyle name="Normal 3 5 5 2 2" xfId="24878" xr:uid="{00000000-0005-0000-0000-00002E610000}"/>
    <cellStyle name="Normal 3 5 5 3" xfId="24879" xr:uid="{00000000-0005-0000-0000-00002F610000}"/>
    <cellStyle name="Normal 3 5 6" xfId="24880" xr:uid="{00000000-0005-0000-0000-000030610000}"/>
    <cellStyle name="Normal 3 6" xfId="24881" xr:uid="{00000000-0005-0000-0000-000031610000}"/>
    <cellStyle name="Normal 3 6 2" xfId="24882" xr:uid="{00000000-0005-0000-0000-000032610000}"/>
    <cellStyle name="Normal 3 6 2 2" xfId="24883" xr:uid="{00000000-0005-0000-0000-000033610000}"/>
    <cellStyle name="Normal 3 6 2 2 2" xfId="24884" xr:uid="{00000000-0005-0000-0000-000034610000}"/>
    <cellStyle name="Normal 3 6 2 2 2 2" xfId="24885" xr:uid="{00000000-0005-0000-0000-000035610000}"/>
    <cellStyle name="Normal 3 6 2 2 3" xfId="24886" xr:uid="{00000000-0005-0000-0000-000036610000}"/>
    <cellStyle name="Normal 3 6 2 2 3 2" xfId="24887" xr:uid="{00000000-0005-0000-0000-000037610000}"/>
    <cellStyle name="Normal 3 6 2 2 3 2 2" xfId="24888" xr:uid="{00000000-0005-0000-0000-000038610000}"/>
    <cellStyle name="Normal 3 6 2 2 3 3" xfId="24889" xr:uid="{00000000-0005-0000-0000-000039610000}"/>
    <cellStyle name="Normal 3 6 2 2 4" xfId="24890" xr:uid="{00000000-0005-0000-0000-00003A610000}"/>
    <cellStyle name="Normal 3 6 2 3" xfId="24891" xr:uid="{00000000-0005-0000-0000-00003B610000}"/>
    <cellStyle name="Normal 3 6 2 3 2" xfId="24892" xr:uid="{00000000-0005-0000-0000-00003C610000}"/>
    <cellStyle name="Normal 3 6 2 3 2 2" xfId="24893" xr:uid="{00000000-0005-0000-0000-00003D610000}"/>
    <cellStyle name="Normal 3 6 2 3 3" xfId="24894" xr:uid="{00000000-0005-0000-0000-00003E610000}"/>
    <cellStyle name="Normal 3 6 2 4" xfId="24895" xr:uid="{00000000-0005-0000-0000-00003F610000}"/>
    <cellStyle name="Normal 3 6 2 4 2" xfId="24896" xr:uid="{00000000-0005-0000-0000-000040610000}"/>
    <cellStyle name="Normal 3 6 2 4 2 2" xfId="24897" xr:uid="{00000000-0005-0000-0000-000041610000}"/>
    <cellStyle name="Normal 3 6 2 4 3" xfId="24898" xr:uid="{00000000-0005-0000-0000-000042610000}"/>
    <cellStyle name="Normal 3 6 2 5" xfId="24899" xr:uid="{00000000-0005-0000-0000-000043610000}"/>
    <cellStyle name="Normal 3 6 3" xfId="24900" xr:uid="{00000000-0005-0000-0000-000044610000}"/>
    <cellStyle name="Normal 3 6 3 2" xfId="24901" xr:uid="{00000000-0005-0000-0000-000045610000}"/>
    <cellStyle name="Normal 3 6 4" xfId="24902" xr:uid="{00000000-0005-0000-0000-000046610000}"/>
    <cellStyle name="Normal 3 6 4 2" xfId="24903" xr:uid="{00000000-0005-0000-0000-000047610000}"/>
    <cellStyle name="Normal 3 6 4 2 2" xfId="24904" xr:uid="{00000000-0005-0000-0000-000048610000}"/>
    <cellStyle name="Normal 3 6 4 3" xfId="24905" xr:uid="{00000000-0005-0000-0000-000049610000}"/>
    <cellStyle name="Normal 3 6 5" xfId="24906" xr:uid="{00000000-0005-0000-0000-00004A610000}"/>
    <cellStyle name="Normal 3 6 5 2" xfId="24907" xr:uid="{00000000-0005-0000-0000-00004B610000}"/>
    <cellStyle name="Normal 3 6 5 2 2" xfId="24908" xr:uid="{00000000-0005-0000-0000-00004C610000}"/>
    <cellStyle name="Normal 3 6 5 3" xfId="24909" xr:uid="{00000000-0005-0000-0000-00004D610000}"/>
    <cellStyle name="Normal 3 6 6" xfId="24910" xr:uid="{00000000-0005-0000-0000-00004E610000}"/>
    <cellStyle name="Normal 3 7" xfId="24911" xr:uid="{00000000-0005-0000-0000-00004F610000}"/>
    <cellStyle name="Normal 3 7 2" xfId="24912" xr:uid="{00000000-0005-0000-0000-000050610000}"/>
    <cellStyle name="Normal 3 7 2 2" xfId="24913" xr:uid="{00000000-0005-0000-0000-000051610000}"/>
    <cellStyle name="Normal 3 7 2 2 2" xfId="24914" xr:uid="{00000000-0005-0000-0000-000052610000}"/>
    <cellStyle name="Normal 3 7 2 3" xfId="24915" xr:uid="{00000000-0005-0000-0000-000053610000}"/>
    <cellStyle name="Normal 3 7 2 3 2" xfId="24916" xr:uid="{00000000-0005-0000-0000-000054610000}"/>
    <cellStyle name="Normal 3 7 2 3 2 2" xfId="24917" xr:uid="{00000000-0005-0000-0000-000055610000}"/>
    <cellStyle name="Normal 3 7 2 3 3" xfId="24918" xr:uid="{00000000-0005-0000-0000-000056610000}"/>
    <cellStyle name="Normal 3 7 2 4" xfId="24919" xr:uid="{00000000-0005-0000-0000-000057610000}"/>
    <cellStyle name="Normal 3 7 3" xfId="24920" xr:uid="{00000000-0005-0000-0000-000058610000}"/>
    <cellStyle name="Normal 3 7 3 2" xfId="24921" xr:uid="{00000000-0005-0000-0000-000059610000}"/>
    <cellStyle name="Normal 3 7 3 2 2" xfId="24922" xr:uid="{00000000-0005-0000-0000-00005A610000}"/>
    <cellStyle name="Normal 3 7 3 3" xfId="24923" xr:uid="{00000000-0005-0000-0000-00005B610000}"/>
    <cellStyle name="Normal 3 7 4" xfId="24924" xr:uid="{00000000-0005-0000-0000-00005C610000}"/>
    <cellStyle name="Normal 3 7 4 2" xfId="24925" xr:uid="{00000000-0005-0000-0000-00005D610000}"/>
    <cellStyle name="Normal 3 7 4 2 2" xfId="24926" xr:uid="{00000000-0005-0000-0000-00005E610000}"/>
    <cellStyle name="Normal 3 7 4 3" xfId="24927" xr:uid="{00000000-0005-0000-0000-00005F610000}"/>
    <cellStyle name="Normal 3 7 5" xfId="24928" xr:uid="{00000000-0005-0000-0000-000060610000}"/>
    <cellStyle name="Normal 3 7 6" xfId="31688" xr:uid="{DA169398-488B-48BB-943C-FC154FCFC6B9}"/>
    <cellStyle name="Normal 3 8" xfId="24929" xr:uid="{00000000-0005-0000-0000-000061610000}"/>
    <cellStyle name="Normal 3 8 2" xfId="24930" xr:uid="{00000000-0005-0000-0000-000062610000}"/>
    <cellStyle name="Normal 3 8 2 2" xfId="24931" xr:uid="{00000000-0005-0000-0000-000063610000}"/>
    <cellStyle name="Normal 3 8 3" xfId="24932" xr:uid="{00000000-0005-0000-0000-000064610000}"/>
    <cellStyle name="Normal 3 9" xfId="24933" xr:uid="{00000000-0005-0000-0000-000065610000}"/>
    <cellStyle name="Normal 3 9 2" xfId="24934" xr:uid="{00000000-0005-0000-0000-000066610000}"/>
    <cellStyle name="Normal 30" xfId="24935" xr:uid="{00000000-0005-0000-0000-000067610000}"/>
    <cellStyle name="Normal 30 2" xfId="24936" xr:uid="{00000000-0005-0000-0000-000068610000}"/>
    <cellStyle name="Normal 30 2 2" xfId="24937" xr:uid="{00000000-0005-0000-0000-000069610000}"/>
    <cellStyle name="Normal 30 2 2 2" xfId="24938" xr:uid="{00000000-0005-0000-0000-00006A610000}"/>
    <cellStyle name="Normal 30 2 2 2 2" xfId="24939" xr:uid="{00000000-0005-0000-0000-00006B610000}"/>
    <cellStyle name="Normal 30 2 2 3" xfId="24940" xr:uid="{00000000-0005-0000-0000-00006C610000}"/>
    <cellStyle name="Normal 30 2 2 3 2" xfId="24941" xr:uid="{00000000-0005-0000-0000-00006D610000}"/>
    <cellStyle name="Normal 30 2 2 3 2 2" xfId="24942" xr:uid="{00000000-0005-0000-0000-00006E610000}"/>
    <cellStyle name="Normal 30 2 2 3 3" xfId="24943" xr:uid="{00000000-0005-0000-0000-00006F610000}"/>
    <cellStyle name="Normal 30 2 2 4" xfId="24944" xr:uid="{00000000-0005-0000-0000-000070610000}"/>
    <cellStyle name="Normal 30 2 2 4 2" xfId="24945" xr:uid="{00000000-0005-0000-0000-000071610000}"/>
    <cellStyle name="Normal 30 2 2 4 2 2" xfId="24946" xr:uid="{00000000-0005-0000-0000-000072610000}"/>
    <cellStyle name="Normal 30 2 2 4 3" xfId="24947" xr:uid="{00000000-0005-0000-0000-000073610000}"/>
    <cellStyle name="Normal 30 2 2 5" xfId="24948" xr:uid="{00000000-0005-0000-0000-000074610000}"/>
    <cellStyle name="Normal 30 2 3" xfId="24949" xr:uid="{00000000-0005-0000-0000-000075610000}"/>
    <cellStyle name="Normal 30 2 3 2" xfId="24950" xr:uid="{00000000-0005-0000-0000-000076610000}"/>
    <cellStyle name="Normal 30 2 3 2 2" xfId="24951" xr:uid="{00000000-0005-0000-0000-000077610000}"/>
    <cellStyle name="Normal 30 2 3 3" xfId="24952" xr:uid="{00000000-0005-0000-0000-000078610000}"/>
    <cellStyle name="Normal 30 2 4" xfId="24953" xr:uid="{00000000-0005-0000-0000-000079610000}"/>
    <cellStyle name="Normal 30 2 4 2" xfId="24954" xr:uid="{00000000-0005-0000-0000-00007A610000}"/>
    <cellStyle name="Normal 30 2 4 2 2" xfId="24955" xr:uid="{00000000-0005-0000-0000-00007B610000}"/>
    <cellStyle name="Normal 30 2 4 3" xfId="24956" xr:uid="{00000000-0005-0000-0000-00007C610000}"/>
    <cellStyle name="Normal 30 2 5" xfId="24957" xr:uid="{00000000-0005-0000-0000-00007D610000}"/>
    <cellStyle name="Normal 30 2 5 2" xfId="24958" xr:uid="{00000000-0005-0000-0000-00007E610000}"/>
    <cellStyle name="Normal 30 2 5 2 2" xfId="24959" xr:uid="{00000000-0005-0000-0000-00007F610000}"/>
    <cellStyle name="Normal 30 2 5 3" xfId="24960" xr:uid="{00000000-0005-0000-0000-000080610000}"/>
    <cellStyle name="Normal 30 2 6" xfId="24961" xr:uid="{00000000-0005-0000-0000-000081610000}"/>
    <cellStyle name="Normal 30 3" xfId="24962" xr:uid="{00000000-0005-0000-0000-000082610000}"/>
    <cellStyle name="Normal 30 3 2" xfId="24963" xr:uid="{00000000-0005-0000-0000-000083610000}"/>
    <cellStyle name="Normal 30 3 2 2" xfId="24964" xr:uid="{00000000-0005-0000-0000-000084610000}"/>
    <cellStyle name="Normal 30 3 3" xfId="24965" xr:uid="{00000000-0005-0000-0000-000085610000}"/>
    <cellStyle name="Normal 30 3 3 2" xfId="24966" xr:uid="{00000000-0005-0000-0000-000086610000}"/>
    <cellStyle name="Normal 30 3 3 2 2" xfId="24967" xr:uid="{00000000-0005-0000-0000-000087610000}"/>
    <cellStyle name="Normal 30 3 3 3" xfId="24968" xr:uid="{00000000-0005-0000-0000-000088610000}"/>
    <cellStyle name="Normal 30 3 4" xfId="24969" xr:uid="{00000000-0005-0000-0000-000089610000}"/>
    <cellStyle name="Normal 30 3 4 2" xfId="24970" xr:uid="{00000000-0005-0000-0000-00008A610000}"/>
    <cellStyle name="Normal 30 3 4 2 2" xfId="24971" xr:uid="{00000000-0005-0000-0000-00008B610000}"/>
    <cellStyle name="Normal 30 3 4 3" xfId="24972" xr:uid="{00000000-0005-0000-0000-00008C610000}"/>
    <cellStyle name="Normal 30 3 5" xfId="24973" xr:uid="{00000000-0005-0000-0000-00008D610000}"/>
    <cellStyle name="Normal 30 4" xfId="24974" xr:uid="{00000000-0005-0000-0000-00008E610000}"/>
    <cellStyle name="Normal 30 4 2" xfId="24975" xr:uid="{00000000-0005-0000-0000-00008F610000}"/>
    <cellStyle name="Normal 30 4 2 2" xfId="24976" xr:uid="{00000000-0005-0000-0000-000090610000}"/>
    <cellStyle name="Normal 30 4 3" xfId="24977" xr:uid="{00000000-0005-0000-0000-000091610000}"/>
    <cellStyle name="Normal 30 5" xfId="24978" xr:uid="{00000000-0005-0000-0000-000092610000}"/>
    <cellStyle name="Normal 30 5 2" xfId="24979" xr:uid="{00000000-0005-0000-0000-000093610000}"/>
    <cellStyle name="Normal 30 5 2 2" xfId="24980" xr:uid="{00000000-0005-0000-0000-000094610000}"/>
    <cellStyle name="Normal 30 5 3" xfId="24981" xr:uid="{00000000-0005-0000-0000-000095610000}"/>
    <cellStyle name="Normal 30 6" xfId="24982" xr:uid="{00000000-0005-0000-0000-000096610000}"/>
    <cellStyle name="Normal 30 6 2" xfId="24983" xr:uid="{00000000-0005-0000-0000-000097610000}"/>
    <cellStyle name="Normal 30 6 2 2" xfId="24984" xr:uid="{00000000-0005-0000-0000-000098610000}"/>
    <cellStyle name="Normal 30 6 3" xfId="24985" xr:uid="{00000000-0005-0000-0000-000099610000}"/>
    <cellStyle name="Normal 30 7" xfId="24986" xr:uid="{00000000-0005-0000-0000-00009A610000}"/>
    <cellStyle name="Normal 300" xfId="24987" xr:uid="{00000000-0005-0000-0000-00009B610000}"/>
    <cellStyle name="Normal 300 2" xfId="24988" xr:uid="{00000000-0005-0000-0000-00009C610000}"/>
    <cellStyle name="Normal 300 2 2" xfId="24989" xr:uid="{00000000-0005-0000-0000-00009D610000}"/>
    <cellStyle name="Normal 300 2 2 2" xfId="24990" xr:uid="{00000000-0005-0000-0000-00009E610000}"/>
    <cellStyle name="Normal 300 2 3" xfId="24991" xr:uid="{00000000-0005-0000-0000-00009F610000}"/>
    <cellStyle name="Normal 300 2 3 2" xfId="24992" xr:uid="{00000000-0005-0000-0000-0000A0610000}"/>
    <cellStyle name="Normal 300 2 3 2 2" xfId="24993" xr:uid="{00000000-0005-0000-0000-0000A1610000}"/>
    <cellStyle name="Normal 300 2 3 3" xfId="24994" xr:uid="{00000000-0005-0000-0000-0000A2610000}"/>
    <cellStyle name="Normal 300 2 4" xfId="24995" xr:uid="{00000000-0005-0000-0000-0000A3610000}"/>
    <cellStyle name="Normal 300 2 4 2" xfId="24996" xr:uid="{00000000-0005-0000-0000-0000A4610000}"/>
    <cellStyle name="Normal 300 2 4 2 2" xfId="24997" xr:uid="{00000000-0005-0000-0000-0000A5610000}"/>
    <cellStyle name="Normal 300 2 4 3" xfId="24998" xr:uid="{00000000-0005-0000-0000-0000A6610000}"/>
    <cellStyle name="Normal 300 2 5" xfId="24999" xr:uid="{00000000-0005-0000-0000-0000A7610000}"/>
    <cellStyle name="Normal 300 3" xfId="25000" xr:uid="{00000000-0005-0000-0000-0000A8610000}"/>
    <cellStyle name="Normal 300 3 2" xfId="25001" xr:uid="{00000000-0005-0000-0000-0000A9610000}"/>
    <cellStyle name="Normal 300 3 2 2" xfId="25002" xr:uid="{00000000-0005-0000-0000-0000AA610000}"/>
    <cellStyle name="Normal 300 3 2 2 2" xfId="25003" xr:uid="{00000000-0005-0000-0000-0000AB610000}"/>
    <cellStyle name="Normal 300 3 2 3" xfId="25004" xr:uid="{00000000-0005-0000-0000-0000AC610000}"/>
    <cellStyle name="Normal 300 3 2 3 2" xfId="25005" xr:uid="{00000000-0005-0000-0000-0000AD610000}"/>
    <cellStyle name="Normal 300 3 2 3 2 2" xfId="25006" xr:uid="{00000000-0005-0000-0000-0000AE610000}"/>
    <cellStyle name="Normal 300 3 2 3 3" xfId="25007" xr:uid="{00000000-0005-0000-0000-0000AF610000}"/>
    <cellStyle name="Normal 300 3 2 4" xfId="25008" xr:uid="{00000000-0005-0000-0000-0000B0610000}"/>
    <cellStyle name="Normal 300 3 3" xfId="25009" xr:uid="{00000000-0005-0000-0000-0000B1610000}"/>
    <cellStyle name="Normal 300 3 3 2" xfId="25010" xr:uid="{00000000-0005-0000-0000-0000B2610000}"/>
    <cellStyle name="Normal 300 3 3 2 2" xfId="25011" xr:uid="{00000000-0005-0000-0000-0000B3610000}"/>
    <cellStyle name="Normal 300 3 3 3" xfId="25012" xr:uid="{00000000-0005-0000-0000-0000B4610000}"/>
    <cellStyle name="Normal 300 3 4" xfId="25013" xr:uid="{00000000-0005-0000-0000-0000B5610000}"/>
    <cellStyle name="Normal 300 3 4 2" xfId="25014" xr:uid="{00000000-0005-0000-0000-0000B6610000}"/>
    <cellStyle name="Normal 300 3 4 2 2" xfId="25015" xr:uid="{00000000-0005-0000-0000-0000B7610000}"/>
    <cellStyle name="Normal 300 3 4 3" xfId="25016" xr:uid="{00000000-0005-0000-0000-0000B8610000}"/>
    <cellStyle name="Normal 300 3 5" xfId="25017" xr:uid="{00000000-0005-0000-0000-0000B9610000}"/>
    <cellStyle name="Normal 300 3 5 2" xfId="25018" xr:uid="{00000000-0005-0000-0000-0000BA610000}"/>
    <cellStyle name="Normal 300 3 5 2 2" xfId="25019" xr:uid="{00000000-0005-0000-0000-0000BB610000}"/>
    <cellStyle name="Normal 300 3 5 3" xfId="25020" xr:uid="{00000000-0005-0000-0000-0000BC610000}"/>
    <cellStyle name="Normal 300 3 6" xfId="25021" xr:uid="{00000000-0005-0000-0000-0000BD610000}"/>
    <cellStyle name="Normal 300 4" xfId="25022" xr:uid="{00000000-0005-0000-0000-0000BE610000}"/>
    <cellStyle name="Normal 300 4 2" xfId="25023" xr:uid="{00000000-0005-0000-0000-0000BF610000}"/>
    <cellStyle name="Normal 300 4 2 2" xfId="25024" xr:uid="{00000000-0005-0000-0000-0000C0610000}"/>
    <cellStyle name="Normal 300 4 3" xfId="25025" xr:uid="{00000000-0005-0000-0000-0000C1610000}"/>
    <cellStyle name="Normal 300 5" xfId="25026" xr:uid="{00000000-0005-0000-0000-0000C2610000}"/>
    <cellStyle name="Normal 300 5 2" xfId="25027" xr:uid="{00000000-0005-0000-0000-0000C3610000}"/>
    <cellStyle name="Normal 300 5 2 2" xfId="25028" xr:uid="{00000000-0005-0000-0000-0000C4610000}"/>
    <cellStyle name="Normal 300 5 3" xfId="25029" xr:uid="{00000000-0005-0000-0000-0000C5610000}"/>
    <cellStyle name="Normal 300 6" xfId="25030" xr:uid="{00000000-0005-0000-0000-0000C6610000}"/>
    <cellStyle name="Normal 300 6 2" xfId="25031" xr:uid="{00000000-0005-0000-0000-0000C7610000}"/>
    <cellStyle name="Normal 300 6 2 2" xfId="25032" xr:uid="{00000000-0005-0000-0000-0000C8610000}"/>
    <cellStyle name="Normal 300 6 3" xfId="25033" xr:uid="{00000000-0005-0000-0000-0000C9610000}"/>
    <cellStyle name="Normal 300 7" xfId="25034" xr:uid="{00000000-0005-0000-0000-0000CA610000}"/>
    <cellStyle name="Normal 301" xfId="25035" xr:uid="{00000000-0005-0000-0000-0000CB610000}"/>
    <cellStyle name="Normal 301 2" xfId="25036" xr:uid="{00000000-0005-0000-0000-0000CC610000}"/>
    <cellStyle name="Normal 301 2 2" xfId="25037" xr:uid="{00000000-0005-0000-0000-0000CD610000}"/>
    <cellStyle name="Normal 301 2 2 2" xfId="25038" xr:uid="{00000000-0005-0000-0000-0000CE610000}"/>
    <cellStyle name="Normal 301 2 3" xfId="25039" xr:uid="{00000000-0005-0000-0000-0000CF610000}"/>
    <cellStyle name="Normal 301 2 3 2" xfId="25040" xr:uid="{00000000-0005-0000-0000-0000D0610000}"/>
    <cellStyle name="Normal 301 2 3 2 2" xfId="25041" xr:uid="{00000000-0005-0000-0000-0000D1610000}"/>
    <cellStyle name="Normal 301 2 3 3" xfId="25042" xr:uid="{00000000-0005-0000-0000-0000D2610000}"/>
    <cellStyle name="Normal 301 2 4" xfId="25043" xr:uid="{00000000-0005-0000-0000-0000D3610000}"/>
    <cellStyle name="Normal 301 2 4 2" xfId="25044" xr:uid="{00000000-0005-0000-0000-0000D4610000}"/>
    <cellStyle name="Normal 301 2 4 2 2" xfId="25045" xr:uid="{00000000-0005-0000-0000-0000D5610000}"/>
    <cellStyle name="Normal 301 2 4 3" xfId="25046" xr:uid="{00000000-0005-0000-0000-0000D6610000}"/>
    <cellStyle name="Normal 301 2 5" xfId="25047" xr:uid="{00000000-0005-0000-0000-0000D7610000}"/>
    <cellStyle name="Normal 301 3" xfId="25048" xr:uid="{00000000-0005-0000-0000-0000D8610000}"/>
    <cellStyle name="Normal 301 3 2" xfId="25049" xr:uid="{00000000-0005-0000-0000-0000D9610000}"/>
    <cellStyle name="Normal 301 3 2 2" xfId="25050" xr:uid="{00000000-0005-0000-0000-0000DA610000}"/>
    <cellStyle name="Normal 301 3 2 2 2" xfId="25051" xr:uid="{00000000-0005-0000-0000-0000DB610000}"/>
    <cellStyle name="Normal 301 3 2 3" xfId="25052" xr:uid="{00000000-0005-0000-0000-0000DC610000}"/>
    <cellStyle name="Normal 301 3 2 3 2" xfId="25053" xr:uid="{00000000-0005-0000-0000-0000DD610000}"/>
    <cellStyle name="Normal 301 3 2 3 2 2" xfId="25054" xr:uid="{00000000-0005-0000-0000-0000DE610000}"/>
    <cellStyle name="Normal 301 3 2 3 3" xfId="25055" xr:uid="{00000000-0005-0000-0000-0000DF610000}"/>
    <cellStyle name="Normal 301 3 2 4" xfId="25056" xr:uid="{00000000-0005-0000-0000-0000E0610000}"/>
    <cellStyle name="Normal 301 3 3" xfId="25057" xr:uid="{00000000-0005-0000-0000-0000E1610000}"/>
    <cellStyle name="Normal 301 3 3 2" xfId="25058" xr:uid="{00000000-0005-0000-0000-0000E2610000}"/>
    <cellStyle name="Normal 301 3 3 2 2" xfId="25059" xr:uid="{00000000-0005-0000-0000-0000E3610000}"/>
    <cellStyle name="Normal 301 3 3 3" xfId="25060" xr:uid="{00000000-0005-0000-0000-0000E4610000}"/>
    <cellStyle name="Normal 301 3 4" xfId="25061" xr:uid="{00000000-0005-0000-0000-0000E5610000}"/>
    <cellStyle name="Normal 301 3 4 2" xfId="25062" xr:uid="{00000000-0005-0000-0000-0000E6610000}"/>
    <cellStyle name="Normal 301 3 4 2 2" xfId="25063" xr:uid="{00000000-0005-0000-0000-0000E7610000}"/>
    <cellStyle name="Normal 301 3 4 3" xfId="25064" xr:uid="{00000000-0005-0000-0000-0000E8610000}"/>
    <cellStyle name="Normal 301 3 5" xfId="25065" xr:uid="{00000000-0005-0000-0000-0000E9610000}"/>
    <cellStyle name="Normal 301 3 5 2" xfId="25066" xr:uid="{00000000-0005-0000-0000-0000EA610000}"/>
    <cellStyle name="Normal 301 3 5 2 2" xfId="25067" xr:uid="{00000000-0005-0000-0000-0000EB610000}"/>
    <cellStyle name="Normal 301 3 5 3" xfId="25068" xr:uid="{00000000-0005-0000-0000-0000EC610000}"/>
    <cellStyle name="Normal 301 3 6" xfId="25069" xr:uid="{00000000-0005-0000-0000-0000ED610000}"/>
    <cellStyle name="Normal 301 4" xfId="25070" xr:uid="{00000000-0005-0000-0000-0000EE610000}"/>
    <cellStyle name="Normal 301 4 2" xfId="25071" xr:uid="{00000000-0005-0000-0000-0000EF610000}"/>
    <cellStyle name="Normal 301 4 2 2" xfId="25072" xr:uid="{00000000-0005-0000-0000-0000F0610000}"/>
    <cellStyle name="Normal 301 4 3" xfId="25073" xr:uid="{00000000-0005-0000-0000-0000F1610000}"/>
    <cellStyle name="Normal 301 5" xfId="25074" xr:uid="{00000000-0005-0000-0000-0000F2610000}"/>
    <cellStyle name="Normal 301 5 2" xfId="25075" xr:uid="{00000000-0005-0000-0000-0000F3610000}"/>
    <cellStyle name="Normal 301 5 2 2" xfId="25076" xr:uid="{00000000-0005-0000-0000-0000F4610000}"/>
    <cellStyle name="Normal 301 5 3" xfId="25077" xr:uid="{00000000-0005-0000-0000-0000F5610000}"/>
    <cellStyle name="Normal 301 6" xfId="25078" xr:uid="{00000000-0005-0000-0000-0000F6610000}"/>
    <cellStyle name="Normal 301 6 2" xfId="25079" xr:uid="{00000000-0005-0000-0000-0000F7610000}"/>
    <cellStyle name="Normal 301 6 2 2" xfId="25080" xr:uid="{00000000-0005-0000-0000-0000F8610000}"/>
    <cellStyle name="Normal 301 6 3" xfId="25081" xr:uid="{00000000-0005-0000-0000-0000F9610000}"/>
    <cellStyle name="Normal 301 7" xfId="25082" xr:uid="{00000000-0005-0000-0000-0000FA610000}"/>
    <cellStyle name="Normal 302" xfId="25083" xr:uid="{00000000-0005-0000-0000-0000FB610000}"/>
    <cellStyle name="Normal 302 2" xfId="25084" xr:uid="{00000000-0005-0000-0000-0000FC610000}"/>
    <cellStyle name="Normal 302 2 2" xfId="25085" xr:uid="{00000000-0005-0000-0000-0000FD610000}"/>
    <cellStyle name="Normal 302 2 2 2" xfId="25086" xr:uid="{00000000-0005-0000-0000-0000FE610000}"/>
    <cellStyle name="Normal 302 2 3" xfId="25087" xr:uid="{00000000-0005-0000-0000-0000FF610000}"/>
    <cellStyle name="Normal 302 2 3 2" xfId="25088" xr:uid="{00000000-0005-0000-0000-000000620000}"/>
    <cellStyle name="Normal 302 2 3 2 2" xfId="25089" xr:uid="{00000000-0005-0000-0000-000001620000}"/>
    <cellStyle name="Normal 302 2 3 3" xfId="25090" xr:uid="{00000000-0005-0000-0000-000002620000}"/>
    <cellStyle name="Normal 302 2 4" xfId="25091" xr:uid="{00000000-0005-0000-0000-000003620000}"/>
    <cellStyle name="Normal 302 2 4 2" xfId="25092" xr:uid="{00000000-0005-0000-0000-000004620000}"/>
    <cellStyle name="Normal 302 2 4 2 2" xfId="25093" xr:uid="{00000000-0005-0000-0000-000005620000}"/>
    <cellStyle name="Normal 302 2 4 3" xfId="25094" xr:uid="{00000000-0005-0000-0000-000006620000}"/>
    <cellStyle name="Normal 302 2 5" xfId="25095" xr:uid="{00000000-0005-0000-0000-000007620000}"/>
    <cellStyle name="Normal 302 3" xfId="25096" xr:uid="{00000000-0005-0000-0000-000008620000}"/>
    <cellStyle name="Normal 302 3 2" xfId="25097" xr:uid="{00000000-0005-0000-0000-000009620000}"/>
    <cellStyle name="Normal 302 3 2 2" xfId="25098" xr:uid="{00000000-0005-0000-0000-00000A620000}"/>
    <cellStyle name="Normal 302 3 2 2 2" xfId="25099" xr:uid="{00000000-0005-0000-0000-00000B620000}"/>
    <cellStyle name="Normal 302 3 2 3" xfId="25100" xr:uid="{00000000-0005-0000-0000-00000C620000}"/>
    <cellStyle name="Normal 302 3 2 3 2" xfId="25101" xr:uid="{00000000-0005-0000-0000-00000D620000}"/>
    <cellStyle name="Normal 302 3 2 3 2 2" xfId="25102" xr:uid="{00000000-0005-0000-0000-00000E620000}"/>
    <cellStyle name="Normal 302 3 2 3 3" xfId="25103" xr:uid="{00000000-0005-0000-0000-00000F620000}"/>
    <cellStyle name="Normal 302 3 2 4" xfId="25104" xr:uid="{00000000-0005-0000-0000-000010620000}"/>
    <cellStyle name="Normal 302 3 3" xfId="25105" xr:uid="{00000000-0005-0000-0000-000011620000}"/>
    <cellStyle name="Normal 302 3 3 2" xfId="25106" xr:uid="{00000000-0005-0000-0000-000012620000}"/>
    <cellStyle name="Normal 302 3 3 2 2" xfId="25107" xr:uid="{00000000-0005-0000-0000-000013620000}"/>
    <cellStyle name="Normal 302 3 3 3" xfId="25108" xr:uid="{00000000-0005-0000-0000-000014620000}"/>
    <cellStyle name="Normal 302 3 4" xfId="25109" xr:uid="{00000000-0005-0000-0000-000015620000}"/>
    <cellStyle name="Normal 302 3 4 2" xfId="25110" xr:uid="{00000000-0005-0000-0000-000016620000}"/>
    <cellStyle name="Normal 302 3 4 2 2" xfId="25111" xr:uid="{00000000-0005-0000-0000-000017620000}"/>
    <cellStyle name="Normal 302 3 4 3" xfId="25112" xr:uid="{00000000-0005-0000-0000-000018620000}"/>
    <cellStyle name="Normal 302 3 5" xfId="25113" xr:uid="{00000000-0005-0000-0000-000019620000}"/>
    <cellStyle name="Normal 302 3 5 2" xfId="25114" xr:uid="{00000000-0005-0000-0000-00001A620000}"/>
    <cellStyle name="Normal 302 3 5 2 2" xfId="25115" xr:uid="{00000000-0005-0000-0000-00001B620000}"/>
    <cellStyle name="Normal 302 3 5 3" xfId="25116" xr:uid="{00000000-0005-0000-0000-00001C620000}"/>
    <cellStyle name="Normal 302 3 6" xfId="25117" xr:uid="{00000000-0005-0000-0000-00001D620000}"/>
    <cellStyle name="Normal 302 4" xfId="25118" xr:uid="{00000000-0005-0000-0000-00001E620000}"/>
    <cellStyle name="Normal 302 4 2" xfId="25119" xr:uid="{00000000-0005-0000-0000-00001F620000}"/>
    <cellStyle name="Normal 302 4 2 2" xfId="25120" xr:uid="{00000000-0005-0000-0000-000020620000}"/>
    <cellStyle name="Normal 302 4 3" xfId="25121" xr:uid="{00000000-0005-0000-0000-000021620000}"/>
    <cellStyle name="Normal 302 5" xfId="25122" xr:uid="{00000000-0005-0000-0000-000022620000}"/>
    <cellStyle name="Normal 302 5 2" xfId="25123" xr:uid="{00000000-0005-0000-0000-000023620000}"/>
    <cellStyle name="Normal 302 5 2 2" xfId="25124" xr:uid="{00000000-0005-0000-0000-000024620000}"/>
    <cellStyle name="Normal 302 5 3" xfId="25125" xr:uid="{00000000-0005-0000-0000-000025620000}"/>
    <cellStyle name="Normal 302 6" xfId="25126" xr:uid="{00000000-0005-0000-0000-000026620000}"/>
    <cellStyle name="Normal 302 6 2" xfId="25127" xr:uid="{00000000-0005-0000-0000-000027620000}"/>
    <cellStyle name="Normal 302 6 2 2" xfId="25128" xr:uid="{00000000-0005-0000-0000-000028620000}"/>
    <cellStyle name="Normal 302 6 3" xfId="25129" xr:uid="{00000000-0005-0000-0000-000029620000}"/>
    <cellStyle name="Normal 302 7" xfId="25130" xr:uid="{00000000-0005-0000-0000-00002A620000}"/>
    <cellStyle name="Normal 303" xfId="25131" xr:uid="{00000000-0005-0000-0000-00002B620000}"/>
    <cellStyle name="Normal 303 2" xfId="25132" xr:uid="{00000000-0005-0000-0000-00002C620000}"/>
    <cellStyle name="Normal 303 2 2" xfId="25133" xr:uid="{00000000-0005-0000-0000-00002D620000}"/>
    <cellStyle name="Normal 303 2 2 2" xfId="25134" xr:uid="{00000000-0005-0000-0000-00002E620000}"/>
    <cellStyle name="Normal 303 2 3" xfId="25135" xr:uid="{00000000-0005-0000-0000-00002F620000}"/>
    <cellStyle name="Normal 303 2 3 2" xfId="25136" xr:uid="{00000000-0005-0000-0000-000030620000}"/>
    <cellStyle name="Normal 303 2 3 2 2" xfId="25137" xr:uid="{00000000-0005-0000-0000-000031620000}"/>
    <cellStyle name="Normal 303 2 3 3" xfId="25138" xr:uid="{00000000-0005-0000-0000-000032620000}"/>
    <cellStyle name="Normal 303 2 4" xfId="25139" xr:uid="{00000000-0005-0000-0000-000033620000}"/>
    <cellStyle name="Normal 303 2 4 2" xfId="25140" xr:uid="{00000000-0005-0000-0000-000034620000}"/>
    <cellStyle name="Normal 303 2 4 2 2" xfId="25141" xr:uid="{00000000-0005-0000-0000-000035620000}"/>
    <cellStyle name="Normal 303 2 4 3" xfId="25142" xr:uid="{00000000-0005-0000-0000-000036620000}"/>
    <cellStyle name="Normal 303 2 5" xfId="25143" xr:uid="{00000000-0005-0000-0000-000037620000}"/>
    <cellStyle name="Normal 303 3" xfId="25144" xr:uid="{00000000-0005-0000-0000-000038620000}"/>
    <cellStyle name="Normal 303 3 2" xfId="25145" xr:uid="{00000000-0005-0000-0000-000039620000}"/>
    <cellStyle name="Normal 303 3 2 2" xfId="25146" xr:uid="{00000000-0005-0000-0000-00003A620000}"/>
    <cellStyle name="Normal 303 3 2 2 2" xfId="25147" xr:uid="{00000000-0005-0000-0000-00003B620000}"/>
    <cellStyle name="Normal 303 3 2 3" xfId="25148" xr:uid="{00000000-0005-0000-0000-00003C620000}"/>
    <cellStyle name="Normal 303 3 2 3 2" xfId="25149" xr:uid="{00000000-0005-0000-0000-00003D620000}"/>
    <cellStyle name="Normal 303 3 2 3 2 2" xfId="25150" xr:uid="{00000000-0005-0000-0000-00003E620000}"/>
    <cellStyle name="Normal 303 3 2 3 3" xfId="25151" xr:uid="{00000000-0005-0000-0000-00003F620000}"/>
    <cellStyle name="Normal 303 3 2 4" xfId="25152" xr:uid="{00000000-0005-0000-0000-000040620000}"/>
    <cellStyle name="Normal 303 3 3" xfId="25153" xr:uid="{00000000-0005-0000-0000-000041620000}"/>
    <cellStyle name="Normal 303 3 3 2" xfId="25154" xr:uid="{00000000-0005-0000-0000-000042620000}"/>
    <cellStyle name="Normal 303 3 3 2 2" xfId="25155" xr:uid="{00000000-0005-0000-0000-000043620000}"/>
    <cellStyle name="Normal 303 3 3 3" xfId="25156" xr:uid="{00000000-0005-0000-0000-000044620000}"/>
    <cellStyle name="Normal 303 3 4" xfId="25157" xr:uid="{00000000-0005-0000-0000-000045620000}"/>
    <cellStyle name="Normal 303 3 4 2" xfId="25158" xr:uid="{00000000-0005-0000-0000-000046620000}"/>
    <cellStyle name="Normal 303 3 4 2 2" xfId="25159" xr:uid="{00000000-0005-0000-0000-000047620000}"/>
    <cellStyle name="Normal 303 3 4 3" xfId="25160" xr:uid="{00000000-0005-0000-0000-000048620000}"/>
    <cellStyle name="Normal 303 3 5" xfId="25161" xr:uid="{00000000-0005-0000-0000-000049620000}"/>
    <cellStyle name="Normal 303 3 5 2" xfId="25162" xr:uid="{00000000-0005-0000-0000-00004A620000}"/>
    <cellStyle name="Normal 303 3 5 2 2" xfId="25163" xr:uid="{00000000-0005-0000-0000-00004B620000}"/>
    <cellStyle name="Normal 303 3 5 3" xfId="25164" xr:uid="{00000000-0005-0000-0000-00004C620000}"/>
    <cellStyle name="Normal 303 3 6" xfId="25165" xr:uid="{00000000-0005-0000-0000-00004D620000}"/>
    <cellStyle name="Normal 303 4" xfId="25166" xr:uid="{00000000-0005-0000-0000-00004E620000}"/>
    <cellStyle name="Normal 303 4 2" xfId="25167" xr:uid="{00000000-0005-0000-0000-00004F620000}"/>
    <cellStyle name="Normal 303 4 2 2" xfId="25168" xr:uid="{00000000-0005-0000-0000-000050620000}"/>
    <cellStyle name="Normal 303 4 3" xfId="25169" xr:uid="{00000000-0005-0000-0000-000051620000}"/>
    <cellStyle name="Normal 303 5" xfId="25170" xr:uid="{00000000-0005-0000-0000-000052620000}"/>
    <cellStyle name="Normal 303 5 2" xfId="25171" xr:uid="{00000000-0005-0000-0000-000053620000}"/>
    <cellStyle name="Normal 303 5 2 2" xfId="25172" xr:uid="{00000000-0005-0000-0000-000054620000}"/>
    <cellStyle name="Normal 303 5 3" xfId="25173" xr:uid="{00000000-0005-0000-0000-000055620000}"/>
    <cellStyle name="Normal 303 6" xfId="25174" xr:uid="{00000000-0005-0000-0000-000056620000}"/>
    <cellStyle name="Normal 303 6 2" xfId="25175" xr:uid="{00000000-0005-0000-0000-000057620000}"/>
    <cellStyle name="Normal 303 6 2 2" xfId="25176" xr:uid="{00000000-0005-0000-0000-000058620000}"/>
    <cellStyle name="Normal 303 6 3" xfId="25177" xr:uid="{00000000-0005-0000-0000-000059620000}"/>
    <cellStyle name="Normal 303 7" xfId="25178" xr:uid="{00000000-0005-0000-0000-00005A620000}"/>
    <cellStyle name="Normal 304" xfId="25179" xr:uid="{00000000-0005-0000-0000-00005B620000}"/>
    <cellStyle name="Normal 304 2" xfId="25180" xr:uid="{00000000-0005-0000-0000-00005C620000}"/>
    <cellStyle name="Normal 304 2 2" xfId="25181" xr:uid="{00000000-0005-0000-0000-00005D620000}"/>
    <cellStyle name="Normal 304 2 2 2" xfId="25182" xr:uid="{00000000-0005-0000-0000-00005E620000}"/>
    <cellStyle name="Normal 304 2 3" xfId="25183" xr:uid="{00000000-0005-0000-0000-00005F620000}"/>
    <cellStyle name="Normal 304 2 3 2" xfId="25184" xr:uid="{00000000-0005-0000-0000-000060620000}"/>
    <cellStyle name="Normal 304 2 3 2 2" xfId="25185" xr:uid="{00000000-0005-0000-0000-000061620000}"/>
    <cellStyle name="Normal 304 2 3 3" xfId="25186" xr:uid="{00000000-0005-0000-0000-000062620000}"/>
    <cellStyle name="Normal 304 2 4" xfId="25187" xr:uid="{00000000-0005-0000-0000-000063620000}"/>
    <cellStyle name="Normal 304 2 4 2" xfId="25188" xr:uid="{00000000-0005-0000-0000-000064620000}"/>
    <cellStyle name="Normal 304 2 4 2 2" xfId="25189" xr:uid="{00000000-0005-0000-0000-000065620000}"/>
    <cellStyle name="Normal 304 2 4 3" xfId="25190" xr:uid="{00000000-0005-0000-0000-000066620000}"/>
    <cellStyle name="Normal 304 2 5" xfId="25191" xr:uid="{00000000-0005-0000-0000-000067620000}"/>
    <cellStyle name="Normal 304 3" xfId="25192" xr:uid="{00000000-0005-0000-0000-000068620000}"/>
    <cellStyle name="Normal 304 3 2" xfId="25193" xr:uid="{00000000-0005-0000-0000-000069620000}"/>
    <cellStyle name="Normal 304 3 2 2" xfId="25194" xr:uid="{00000000-0005-0000-0000-00006A620000}"/>
    <cellStyle name="Normal 304 3 2 2 2" xfId="25195" xr:uid="{00000000-0005-0000-0000-00006B620000}"/>
    <cellStyle name="Normal 304 3 2 3" xfId="25196" xr:uid="{00000000-0005-0000-0000-00006C620000}"/>
    <cellStyle name="Normal 304 3 2 3 2" xfId="25197" xr:uid="{00000000-0005-0000-0000-00006D620000}"/>
    <cellStyle name="Normal 304 3 2 3 2 2" xfId="25198" xr:uid="{00000000-0005-0000-0000-00006E620000}"/>
    <cellStyle name="Normal 304 3 2 3 3" xfId="25199" xr:uid="{00000000-0005-0000-0000-00006F620000}"/>
    <cellStyle name="Normal 304 3 2 4" xfId="25200" xr:uid="{00000000-0005-0000-0000-000070620000}"/>
    <cellStyle name="Normal 304 3 3" xfId="25201" xr:uid="{00000000-0005-0000-0000-000071620000}"/>
    <cellStyle name="Normal 304 3 3 2" xfId="25202" xr:uid="{00000000-0005-0000-0000-000072620000}"/>
    <cellStyle name="Normal 304 3 3 2 2" xfId="25203" xr:uid="{00000000-0005-0000-0000-000073620000}"/>
    <cellStyle name="Normal 304 3 3 3" xfId="25204" xr:uid="{00000000-0005-0000-0000-000074620000}"/>
    <cellStyle name="Normal 304 3 4" xfId="25205" xr:uid="{00000000-0005-0000-0000-000075620000}"/>
    <cellStyle name="Normal 304 3 4 2" xfId="25206" xr:uid="{00000000-0005-0000-0000-000076620000}"/>
    <cellStyle name="Normal 304 3 4 2 2" xfId="25207" xr:uid="{00000000-0005-0000-0000-000077620000}"/>
    <cellStyle name="Normal 304 3 4 3" xfId="25208" xr:uid="{00000000-0005-0000-0000-000078620000}"/>
    <cellStyle name="Normal 304 3 5" xfId="25209" xr:uid="{00000000-0005-0000-0000-000079620000}"/>
    <cellStyle name="Normal 304 3 5 2" xfId="25210" xr:uid="{00000000-0005-0000-0000-00007A620000}"/>
    <cellStyle name="Normal 304 3 5 2 2" xfId="25211" xr:uid="{00000000-0005-0000-0000-00007B620000}"/>
    <cellStyle name="Normal 304 3 5 3" xfId="25212" xr:uid="{00000000-0005-0000-0000-00007C620000}"/>
    <cellStyle name="Normal 304 3 6" xfId="25213" xr:uid="{00000000-0005-0000-0000-00007D620000}"/>
    <cellStyle name="Normal 304 4" xfId="25214" xr:uid="{00000000-0005-0000-0000-00007E620000}"/>
    <cellStyle name="Normal 304 4 2" xfId="25215" xr:uid="{00000000-0005-0000-0000-00007F620000}"/>
    <cellStyle name="Normal 304 4 2 2" xfId="25216" xr:uid="{00000000-0005-0000-0000-000080620000}"/>
    <cellStyle name="Normal 304 4 3" xfId="25217" xr:uid="{00000000-0005-0000-0000-000081620000}"/>
    <cellStyle name="Normal 304 5" xfId="25218" xr:uid="{00000000-0005-0000-0000-000082620000}"/>
    <cellStyle name="Normal 304 5 2" xfId="25219" xr:uid="{00000000-0005-0000-0000-000083620000}"/>
    <cellStyle name="Normal 304 5 2 2" xfId="25220" xr:uid="{00000000-0005-0000-0000-000084620000}"/>
    <cellStyle name="Normal 304 5 3" xfId="25221" xr:uid="{00000000-0005-0000-0000-000085620000}"/>
    <cellStyle name="Normal 304 6" xfId="25222" xr:uid="{00000000-0005-0000-0000-000086620000}"/>
    <cellStyle name="Normal 304 6 2" xfId="25223" xr:uid="{00000000-0005-0000-0000-000087620000}"/>
    <cellStyle name="Normal 304 6 2 2" xfId="25224" xr:uid="{00000000-0005-0000-0000-000088620000}"/>
    <cellStyle name="Normal 304 6 3" xfId="25225" xr:uid="{00000000-0005-0000-0000-000089620000}"/>
    <cellStyle name="Normal 304 7" xfId="25226" xr:uid="{00000000-0005-0000-0000-00008A620000}"/>
    <cellStyle name="Normal 305" xfId="25227" xr:uid="{00000000-0005-0000-0000-00008B620000}"/>
    <cellStyle name="Normal 305 2" xfId="25228" xr:uid="{00000000-0005-0000-0000-00008C620000}"/>
    <cellStyle name="Normal 305 2 2" xfId="25229" xr:uid="{00000000-0005-0000-0000-00008D620000}"/>
    <cellStyle name="Normal 305 2 2 2" xfId="25230" xr:uid="{00000000-0005-0000-0000-00008E620000}"/>
    <cellStyle name="Normal 305 2 3" xfId="25231" xr:uid="{00000000-0005-0000-0000-00008F620000}"/>
    <cellStyle name="Normal 305 2 3 2" xfId="25232" xr:uid="{00000000-0005-0000-0000-000090620000}"/>
    <cellStyle name="Normal 305 2 3 2 2" xfId="25233" xr:uid="{00000000-0005-0000-0000-000091620000}"/>
    <cellStyle name="Normal 305 2 3 3" xfId="25234" xr:uid="{00000000-0005-0000-0000-000092620000}"/>
    <cellStyle name="Normal 305 2 4" xfId="25235" xr:uid="{00000000-0005-0000-0000-000093620000}"/>
    <cellStyle name="Normal 305 2 4 2" xfId="25236" xr:uid="{00000000-0005-0000-0000-000094620000}"/>
    <cellStyle name="Normal 305 2 4 2 2" xfId="25237" xr:uid="{00000000-0005-0000-0000-000095620000}"/>
    <cellStyle name="Normal 305 2 4 3" xfId="25238" xr:uid="{00000000-0005-0000-0000-000096620000}"/>
    <cellStyle name="Normal 305 2 5" xfId="25239" xr:uid="{00000000-0005-0000-0000-000097620000}"/>
    <cellStyle name="Normal 305 3" xfId="25240" xr:uid="{00000000-0005-0000-0000-000098620000}"/>
    <cellStyle name="Normal 305 3 2" xfId="25241" xr:uid="{00000000-0005-0000-0000-000099620000}"/>
    <cellStyle name="Normal 305 3 2 2" xfId="25242" xr:uid="{00000000-0005-0000-0000-00009A620000}"/>
    <cellStyle name="Normal 305 3 2 2 2" xfId="25243" xr:uid="{00000000-0005-0000-0000-00009B620000}"/>
    <cellStyle name="Normal 305 3 2 3" xfId="25244" xr:uid="{00000000-0005-0000-0000-00009C620000}"/>
    <cellStyle name="Normal 305 3 2 3 2" xfId="25245" xr:uid="{00000000-0005-0000-0000-00009D620000}"/>
    <cellStyle name="Normal 305 3 2 3 2 2" xfId="25246" xr:uid="{00000000-0005-0000-0000-00009E620000}"/>
    <cellStyle name="Normal 305 3 2 3 3" xfId="25247" xr:uid="{00000000-0005-0000-0000-00009F620000}"/>
    <cellStyle name="Normal 305 3 2 4" xfId="25248" xr:uid="{00000000-0005-0000-0000-0000A0620000}"/>
    <cellStyle name="Normal 305 3 3" xfId="25249" xr:uid="{00000000-0005-0000-0000-0000A1620000}"/>
    <cellStyle name="Normal 305 3 3 2" xfId="25250" xr:uid="{00000000-0005-0000-0000-0000A2620000}"/>
    <cellStyle name="Normal 305 3 3 2 2" xfId="25251" xr:uid="{00000000-0005-0000-0000-0000A3620000}"/>
    <cellStyle name="Normal 305 3 3 3" xfId="25252" xr:uid="{00000000-0005-0000-0000-0000A4620000}"/>
    <cellStyle name="Normal 305 3 4" xfId="25253" xr:uid="{00000000-0005-0000-0000-0000A5620000}"/>
    <cellStyle name="Normal 305 3 4 2" xfId="25254" xr:uid="{00000000-0005-0000-0000-0000A6620000}"/>
    <cellStyle name="Normal 305 3 4 2 2" xfId="25255" xr:uid="{00000000-0005-0000-0000-0000A7620000}"/>
    <cellStyle name="Normal 305 3 4 3" xfId="25256" xr:uid="{00000000-0005-0000-0000-0000A8620000}"/>
    <cellStyle name="Normal 305 3 5" xfId="25257" xr:uid="{00000000-0005-0000-0000-0000A9620000}"/>
    <cellStyle name="Normal 305 3 5 2" xfId="25258" xr:uid="{00000000-0005-0000-0000-0000AA620000}"/>
    <cellStyle name="Normal 305 3 5 2 2" xfId="25259" xr:uid="{00000000-0005-0000-0000-0000AB620000}"/>
    <cellStyle name="Normal 305 3 5 3" xfId="25260" xr:uid="{00000000-0005-0000-0000-0000AC620000}"/>
    <cellStyle name="Normal 305 3 6" xfId="25261" xr:uid="{00000000-0005-0000-0000-0000AD620000}"/>
    <cellStyle name="Normal 305 4" xfId="25262" xr:uid="{00000000-0005-0000-0000-0000AE620000}"/>
    <cellStyle name="Normal 305 4 2" xfId="25263" xr:uid="{00000000-0005-0000-0000-0000AF620000}"/>
    <cellStyle name="Normal 305 4 2 2" xfId="25264" xr:uid="{00000000-0005-0000-0000-0000B0620000}"/>
    <cellStyle name="Normal 305 4 3" xfId="25265" xr:uid="{00000000-0005-0000-0000-0000B1620000}"/>
    <cellStyle name="Normal 305 5" xfId="25266" xr:uid="{00000000-0005-0000-0000-0000B2620000}"/>
    <cellStyle name="Normal 305 5 2" xfId="25267" xr:uid="{00000000-0005-0000-0000-0000B3620000}"/>
    <cellStyle name="Normal 305 5 2 2" xfId="25268" xr:uid="{00000000-0005-0000-0000-0000B4620000}"/>
    <cellStyle name="Normal 305 5 3" xfId="25269" xr:uid="{00000000-0005-0000-0000-0000B5620000}"/>
    <cellStyle name="Normal 305 6" xfId="25270" xr:uid="{00000000-0005-0000-0000-0000B6620000}"/>
    <cellStyle name="Normal 305 6 2" xfId="25271" xr:uid="{00000000-0005-0000-0000-0000B7620000}"/>
    <cellStyle name="Normal 305 6 2 2" xfId="25272" xr:uid="{00000000-0005-0000-0000-0000B8620000}"/>
    <cellStyle name="Normal 305 6 3" xfId="25273" xr:uid="{00000000-0005-0000-0000-0000B9620000}"/>
    <cellStyle name="Normal 305 7" xfId="25274" xr:uid="{00000000-0005-0000-0000-0000BA620000}"/>
    <cellStyle name="Normal 306" xfId="25275" xr:uid="{00000000-0005-0000-0000-0000BB620000}"/>
    <cellStyle name="Normal 306 2" xfId="25276" xr:uid="{00000000-0005-0000-0000-0000BC620000}"/>
    <cellStyle name="Normal 306 2 2" xfId="25277" xr:uid="{00000000-0005-0000-0000-0000BD620000}"/>
    <cellStyle name="Normal 306 2 2 2" xfId="25278" xr:uid="{00000000-0005-0000-0000-0000BE620000}"/>
    <cellStyle name="Normal 306 2 3" xfId="25279" xr:uid="{00000000-0005-0000-0000-0000BF620000}"/>
    <cellStyle name="Normal 306 2 3 2" xfId="25280" xr:uid="{00000000-0005-0000-0000-0000C0620000}"/>
    <cellStyle name="Normal 306 2 3 2 2" xfId="25281" xr:uid="{00000000-0005-0000-0000-0000C1620000}"/>
    <cellStyle name="Normal 306 2 3 3" xfId="25282" xr:uid="{00000000-0005-0000-0000-0000C2620000}"/>
    <cellStyle name="Normal 306 2 4" xfId="25283" xr:uid="{00000000-0005-0000-0000-0000C3620000}"/>
    <cellStyle name="Normal 306 2 4 2" xfId="25284" xr:uid="{00000000-0005-0000-0000-0000C4620000}"/>
    <cellStyle name="Normal 306 2 4 2 2" xfId="25285" xr:uid="{00000000-0005-0000-0000-0000C5620000}"/>
    <cellStyle name="Normal 306 2 4 3" xfId="25286" xr:uid="{00000000-0005-0000-0000-0000C6620000}"/>
    <cellStyle name="Normal 306 2 5" xfId="25287" xr:uid="{00000000-0005-0000-0000-0000C7620000}"/>
    <cellStyle name="Normal 306 3" xfId="25288" xr:uid="{00000000-0005-0000-0000-0000C8620000}"/>
    <cellStyle name="Normal 306 3 2" xfId="25289" xr:uid="{00000000-0005-0000-0000-0000C9620000}"/>
    <cellStyle name="Normal 306 3 2 2" xfId="25290" xr:uid="{00000000-0005-0000-0000-0000CA620000}"/>
    <cellStyle name="Normal 306 3 2 2 2" xfId="25291" xr:uid="{00000000-0005-0000-0000-0000CB620000}"/>
    <cellStyle name="Normal 306 3 2 3" xfId="25292" xr:uid="{00000000-0005-0000-0000-0000CC620000}"/>
    <cellStyle name="Normal 306 3 2 3 2" xfId="25293" xr:uid="{00000000-0005-0000-0000-0000CD620000}"/>
    <cellStyle name="Normal 306 3 2 3 2 2" xfId="25294" xr:uid="{00000000-0005-0000-0000-0000CE620000}"/>
    <cellStyle name="Normal 306 3 2 3 3" xfId="25295" xr:uid="{00000000-0005-0000-0000-0000CF620000}"/>
    <cellStyle name="Normal 306 3 2 4" xfId="25296" xr:uid="{00000000-0005-0000-0000-0000D0620000}"/>
    <cellStyle name="Normal 306 3 3" xfId="25297" xr:uid="{00000000-0005-0000-0000-0000D1620000}"/>
    <cellStyle name="Normal 306 3 3 2" xfId="25298" xr:uid="{00000000-0005-0000-0000-0000D2620000}"/>
    <cellStyle name="Normal 306 3 3 2 2" xfId="25299" xr:uid="{00000000-0005-0000-0000-0000D3620000}"/>
    <cellStyle name="Normal 306 3 3 3" xfId="25300" xr:uid="{00000000-0005-0000-0000-0000D4620000}"/>
    <cellStyle name="Normal 306 3 4" xfId="25301" xr:uid="{00000000-0005-0000-0000-0000D5620000}"/>
    <cellStyle name="Normal 306 3 4 2" xfId="25302" xr:uid="{00000000-0005-0000-0000-0000D6620000}"/>
    <cellStyle name="Normal 306 3 4 2 2" xfId="25303" xr:uid="{00000000-0005-0000-0000-0000D7620000}"/>
    <cellStyle name="Normal 306 3 4 3" xfId="25304" xr:uid="{00000000-0005-0000-0000-0000D8620000}"/>
    <cellStyle name="Normal 306 3 5" xfId="25305" xr:uid="{00000000-0005-0000-0000-0000D9620000}"/>
    <cellStyle name="Normal 306 3 5 2" xfId="25306" xr:uid="{00000000-0005-0000-0000-0000DA620000}"/>
    <cellStyle name="Normal 306 3 5 2 2" xfId="25307" xr:uid="{00000000-0005-0000-0000-0000DB620000}"/>
    <cellStyle name="Normal 306 3 5 3" xfId="25308" xr:uid="{00000000-0005-0000-0000-0000DC620000}"/>
    <cellStyle name="Normal 306 3 6" xfId="25309" xr:uid="{00000000-0005-0000-0000-0000DD620000}"/>
    <cellStyle name="Normal 306 4" xfId="25310" xr:uid="{00000000-0005-0000-0000-0000DE620000}"/>
    <cellStyle name="Normal 306 4 2" xfId="25311" xr:uid="{00000000-0005-0000-0000-0000DF620000}"/>
    <cellStyle name="Normal 306 4 2 2" xfId="25312" xr:uid="{00000000-0005-0000-0000-0000E0620000}"/>
    <cellStyle name="Normal 306 4 3" xfId="25313" xr:uid="{00000000-0005-0000-0000-0000E1620000}"/>
    <cellStyle name="Normal 306 5" xfId="25314" xr:uid="{00000000-0005-0000-0000-0000E2620000}"/>
    <cellStyle name="Normal 306 5 2" xfId="25315" xr:uid="{00000000-0005-0000-0000-0000E3620000}"/>
    <cellStyle name="Normal 306 5 2 2" xfId="25316" xr:uid="{00000000-0005-0000-0000-0000E4620000}"/>
    <cellStyle name="Normal 306 5 3" xfId="25317" xr:uid="{00000000-0005-0000-0000-0000E5620000}"/>
    <cellStyle name="Normal 306 6" xfId="25318" xr:uid="{00000000-0005-0000-0000-0000E6620000}"/>
    <cellStyle name="Normal 306 6 2" xfId="25319" xr:uid="{00000000-0005-0000-0000-0000E7620000}"/>
    <cellStyle name="Normal 306 6 2 2" xfId="25320" xr:uid="{00000000-0005-0000-0000-0000E8620000}"/>
    <cellStyle name="Normal 306 6 3" xfId="25321" xr:uid="{00000000-0005-0000-0000-0000E9620000}"/>
    <cellStyle name="Normal 306 7" xfId="25322" xr:uid="{00000000-0005-0000-0000-0000EA620000}"/>
    <cellStyle name="Normal 307" xfId="25323" xr:uid="{00000000-0005-0000-0000-0000EB620000}"/>
    <cellStyle name="Normal 307 2" xfId="25324" xr:uid="{00000000-0005-0000-0000-0000EC620000}"/>
    <cellStyle name="Normal 307 2 2" xfId="25325" xr:uid="{00000000-0005-0000-0000-0000ED620000}"/>
    <cellStyle name="Normal 307 2 2 2" xfId="25326" xr:uid="{00000000-0005-0000-0000-0000EE620000}"/>
    <cellStyle name="Normal 307 2 3" xfId="25327" xr:uid="{00000000-0005-0000-0000-0000EF620000}"/>
    <cellStyle name="Normal 307 2 3 2" xfId="25328" xr:uid="{00000000-0005-0000-0000-0000F0620000}"/>
    <cellStyle name="Normal 307 2 3 2 2" xfId="25329" xr:uid="{00000000-0005-0000-0000-0000F1620000}"/>
    <cellStyle name="Normal 307 2 3 3" xfId="25330" xr:uid="{00000000-0005-0000-0000-0000F2620000}"/>
    <cellStyle name="Normal 307 2 4" xfId="25331" xr:uid="{00000000-0005-0000-0000-0000F3620000}"/>
    <cellStyle name="Normal 307 2 4 2" xfId="25332" xr:uid="{00000000-0005-0000-0000-0000F4620000}"/>
    <cellStyle name="Normal 307 2 4 2 2" xfId="25333" xr:uid="{00000000-0005-0000-0000-0000F5620000}"/>
    <cellStyle name="Normal 307 2 4 3" xfId="25334" xr:uid="{00000000-0005-0000-0000-0000F6620000}"/>
    <cellStyle name="Normal 307 2 5" xfId="25335" xr:uid="{00000000-0005-0000-0000-0000F7620000}"/>
    <cellStyle name="Normal 307 3" xfId="25336" xr:uid="{00000000-0005-0000-0000-0000F8620000}"/>
    <cellStyle name="Normal 307 3 2" xfId="25337" xr:uid="{00000000-0005-0000-0000-0000F9620000}"/>
    <cellStyle name="Normal 307 3 2 2" xfId="25338" xr:uid="{00000000-0005-0000-0000-0000FA620000}"/>
    <cellStyle name="Normal 307 3 2 2 2" xfId="25339" xr:uid="{00000000-0005-0000-0000-0000FB620000}"/>
    <cellStyle name="Normal 307 3 2 3" xfId="25340" xr:uid="{00000000-0005-0000-0000-0000FC620000}"/>
    <cellStyle name="Normal 307 3 2 3 2" xfId="25341" xr:uid="{00000000-0005-0000-0000-0000FD620000}"/>
    <cellStyle name="Normal 307 3 2 3 2 2" xfId="25342" xr:uid="{00000000-0005-0000-0000-0000FE620000}"/>
    <cellStyle name="Normal 307 3 2 3 3" xfId="25343" xr:uid="{00000000-0005-0000-0000-0000FF620000}"/>
    <cellStyle name="Normal 307 3 2 4" xfId="25344" xr:uid="{00000000-0005-0000-0000-000000630000}"/>
    <cellStyle name="Normal 307 3 3" xfId="25345" xr:uid="{00000000-0005-0000-0000-000001630000}"/>
    <cellStyle name="Normal 307 3 3 2" xfId="25346" xr:uid="{00000000-0005-0000-0000-000002630000}"/>
    <cellStyle name="Normal 307 3 3 2 2" xfId="25347" xr:uid="{00000000-0005-0000-0000-000003630000}"/>
    <cellStyle name="Normal 307 3 3 3" xfId="25348" xr:uid="{00000000-0005-0000-0000-000004630000}"/>
    <cellStyle name="Normal 307 3 4" xfId="25349" xr:uid="{00000000-0005-0000-0000-000005630000}"/>
    <cellStyle name="Normal 307 3 4 2" xfId="25350" xr:uid="{00000000-0005-0000-0000-000006630000}"/>
    <cellStyle name="Normal 307 3 4 2 2" xfId="25351" xr:uid="{00000000-0005-0000-0000-000007630000}"/>
    <cellStyle name="Normal 307 3 4 3" xfId="25352" xr:uid="{00000000-0005-0000-0000-000008630000}"/>
    <cellStyle name="Normal 307 3 5" xfId="25353" xr:uid="{00000000-0005-0000-0000-000009630000}"/>
    <cellStyle name="Normal 307 3 5 2" xfId="25354" xr:uid="{00000000-0005-0000-0000-00000A630000}"/>
    <cellStyle name="Normal 307 3 5 2 2" xfId="25355" xr:uid="{00000000-0005-0000-0000-00000B630000}"/>
    <cellStyle name="Normal 307 3 5 3" xfId="25356" xr:uid="{00000000-0005-0000-0000-00000C630000}"/>
    <cellStyle name="Normal 307 3 6" xfId="25357" xr:uid="{00000000-0005-0000-0000-00000D630000}"/>
    <cellStyle name="Normal 307 4" xfId="25358" xr:uid="{00000000-0005-0000-0000-00000E630000}"/>
    <cellStyle name="Normal 307 4 2" xfId="25359" xr:uid="{00000000-0005-0000-0000-00000F630000}"/>
    <cellStyle name="Normal 307 4 2 2" xfId="25360" xr:uid="{00000000-0005-0000-0000-000010630000}"/>
    <cellStyle name="Normal 307 4 3" xfId="25361" xr:uid="{00000000-0005-0000-0000-000011630000}"/>
    <cellStyle name="Normal 307 5" xfId="25362" xr:uid="{00000000-0005-0000-0000-000012630000}"/>
    <cellStyle name="Normal 307 5 2" xfId="25363" xr:uid="{00000000-0005-0000-0000-000013630000}"/>
    <cellStyle name="Normal 307 5 2 2" xfId="25364" xr:uid="{00000000-0005-0000-0000-000014630000}"/>
    <cellStyle name="Normal 307 5 3" xfId="25365" xr:uid="{00000000-0005-0000-0000-000015630000}"/>
    <cellStyle name="Normal 307 6" xfId="25366" xr:uid="{00000000-0005-0000-0000-000016630000}"/>
    <cellStyle name="Normal 307 6 2" xfId="25367" xr:uid="{00000000-0005-0000-0000-000017630000}"/>
    <cellStyle name="Normal 307 6 2 2" xfId="25368" xr:uid="{00000000-0005-0000-0000-000018630000}"/>
    <cellStyle name="Normal 307 6 3" xfId="25369" xr:uid="{00000000-0005-0000-0000-000019630000}"/>
    <cellStyle name="Normal 307 7" xfId="25370" xr:uid="{00000000-0005-0000-0000-00001A630000}"/>
    <cellStyle name="Normal 308" xfId="25371" xr:uid="{00000000-0005-0000-0000-00001B630000}"/>
    <cellStyle name="Normal 308 2" xfId="25372" xr:uid="{00000000-0005-0000-0000-00001C630000}"/>
    <cellStyle name="Normal 308 2 2" xfId="25373" xr:uid="{00000000-0005-0000-0000-00001D630000}"/>
    <cellStyle name="Normal 308 2 2 2" xfId="25374" xr:uid="{00000000-0005-0000-0000-00001E630000}"/>
    <cellStyle name="Normal 308 2 3" xfId="25375" xr:uid="{00000000-0005-0000-0000-00001F630000}"/>
    <cellStyle name="Normal 308 2 3 2" xfId="25376" xr:uid="{00000000-0005-0000-0000-000020630000}"/>
    <cellStyle name="Normal 308 2 3 2 2" xfId="25377" xr:uid="{00000000-0005-0000-0000-000021630000}"/>
    <cellStyle name="Normal 308 2 3 3" xfId="25378" xr:uid="{00000000-0005-0000-0000-000022630000}"/>
    <cellStyle name="Normal 308 2 4" xfId="25379" xr:uid="{00000000-0005-0000-0000-000023630000}"/>
    <cellStyle name="Normal 308 2 4 2" xfId="25380" xr:uid="{00000000-0005-0000-0000-000024630000}"/>
    <cellStyle name="Normal 308 2 4 2 2" xfId="25381" xr:uid="{00000000-0005-0000-0000-000025630000}"/>
    <cellStyle name="Normal 308 2 4 3" xfId="25382" xr:uid="{00000000-0005-0000-0000-000026630000}"/>
    <cellStyle name="Normal 308 2 5" xfId="25383" xr:uid="{00000000-0005-0000-0000-000027630000}"/>
    <cellStyle name="Normal 308 3" xfId="25384" xr:uid="{00000000-0005-0000-0000-000028630000}"/>
    <cellStyle name="Normal 308 3 2" xfId="25385" xr:uid="{00000000-0005-0000-0000-000029630000}"/>
    <cellStyle name="Normal 308 3 2 2" xfId="25386" xr:uid="{00000000-0005-0000-0000-00002A630000}"/>
    <cellStyle name="Normal 308 3 2 2 2" xfId="25387" xr:uid="{00000000-0005-0000-0000-00002B630000}"/>
    <cellStyle name="Normal 308 3 2 3" xfId="25388" xr:uid="{00000000-0005-0000-0000-00002C630000}"/>
    <cellStyle name="Normal 308 3 2 3 2" xfId="25389" xr:uid="{00000000-0005-0000-0000-00002D630000}"/>
    <cellStyle name="Normal 308 3 2 3 2 2" xfId="25390" xr:uid="{00000000-0005-0000-0000-00002E630000}"/>
    <cellStyle name="Normal 308 3 2 3 3" xfId="25391" xr:uid="{00000000-0005-0000-0000-00002F630000}"/>
    <cellStyle name="Normal 308 3 2 4" xfId="25392" xr:uid="{00000000-0005-0000-0000-000030630000}"/>
    <cellStyle name="Normal 308 3 3" xfId="25393" xr:uid="{00000000-0005-0000-0000-000031630000}"/>
    <cellStyle name="Normal 308 3 3 2" xfId="25394" xr:uid="{00000000-0005-0000-0000-000032630000}"/>
    <cellStyle name="Normal 308 3 3 2 2" xfId="25395" xr:uid="{00000000-0005-0000-0000-000033630000}"/>
    <cellStyle name="Normal 308 3 3 3" xfId="25396" xr:uid="{00000000-0005-0000-0000-000034630000}"/>
    <cellStyle name="Normal 308 3 4" xfId="25397" xr:uid="{00000000-0005-0000-0000-000035630000}"/>
    <cellStyle name="Normal 308 3 4 2" xfId="25398" xr:uid="{00000000-0005-0000-0000-000036630000}"/>
    <cellStyle name="Normal 308 3 4 2 2" xfId="25399" xr:uid="{00000000-0005-0000-0000-000037630000}"/>
    <cellStyle name="Normal 308 3 4 3" xfId="25400" xr:uid="{00000000-0005-0000-0000-000038630000}"/>
    <cellStyle name="Normal 308 3 5" xfId="25401" xr:uid="{00000000-0005-0000-0000-000039630000}"/>
    <cellStyle name="Normal 308 3 5 2" xfId="25402" xr:uid="{00000000-0005-0000-0000-00003A630000}"/>
    <cellStyle name="Normal 308 3 5 2 2" xfId="25403" xr:uid="{00000000-0005-0000-0000-00003B630000}"/>
    <cellStyle name="Normal 308 3 5 3" xfId="25404" xr:uid="{00000000-0005-0000-0000-00003C630000}"/>
    <cellStyle name="Normal 308 3 6" xfId="25405" xr:uid="{00000000-0005-0000-0000-00003D630000}"/>
    <cellStyle name="Normal 308 4" xfId="25406" xr:uid="{00000000-0005-0000-0000-00003E630000}"/>
    <cellStyle name="Normal 308 4 2" xfId="25407" xr:uid="{00000000-0005-0000-0000-00003F630000}"/>
    <cellStyle name="Normal 308 4 2 2" xfId="25408" xr:uid="{00000000-0005-0000-0000-000040630000}"/>
    <cellStyle name="Normal 308 4 3" xfId="25409" xr:uid="{00000000-0005-0000-0000-000041630000}"/>
    <cellStyle name="Normal 308 5" xfId="25410" xr:uid="{00000000-0005-0000-0000-000042630000}"/>
    <cellStyle name="Normal 308 5 2" xfId="25411" xr:uid="{00000000-0005-0000-0000-000043630000}"/>
    <cellStyle name="Normal 308 5 2 2" xfId="25412" xr:uid="{00000000-0005-0000-0000-000044630000}"/>
    <cellStyle name="Normal 308 5 3" xfId="25413" xr:uid="{00000000-0005-0000-0000-000045630000}"/>
    <cellStyle name="Normal 308 6" xfId="25414" xr:uid="{00000000-0005-0000-0000-000046630000}"/>
    <cellStyle name="Normal 308 6 2" xfId="25415" xr:uid="{00000000-0005-0000-0000-000047630000}"/>
    <cellStyle name="Normal 308 6 2 2" xfId="25416" xr:uid="{00000000-0005-0000-0000-000048630000}"/>
    <cellStyle name="Normal 308 6 3" xfId="25417" xr:uid="{00000000-0005-0000-0000-000049630000}"/>
    <cellStyle name="Normal 308 7" xfId="25418" xr:uid="{00000000-0005-0000-0000-00004A630000}"/>
    <cellStyle name="Normal 309" xfId="25419" xr:uid="{00000000-0005-0000-0000-00004B630000}"/>
    <cellStyle name="Normal 309 2" xfId="25420" xr:uid="{00000000-0005-0000-0000-00004C630000}"/>
    <cellStyle name="Normal 309 2 2" xfId="25421" xr:uid="{00000000-0005-0000-0000-00004D630000}"/>
    <cellStyle name="Normal 309 2 2 2" xfId="25422" xr:uid="{00000000-0005-0000-0000-00004E630000}"/>
    <cellStyle name="Normal 309 2 3" xfId="25423" xr:uid="{00000000-0005-0000-0000-00004F630000}"/>
    <cellStyle name="Normal 309 2 3 2" xfId="25424" xr:uid="{00000000-0005-0000-0000-000050630000}"/>
    <cellStyle name="Normal 309 2 3 2 2" xfId="25425" xr:uid="{00000000-0005-0000-0000-000051630000}"/>
    <cellStyle name="Normal 309 2 3 3" xfId="25426" xr:uid="{00000000-0005-0000-0000-000052630000}"/>
    <cellStyle name="Normal 309 2 4" xfId="25427" xr:uid="{00000000-0005-0000-0000-000053630000}"/>
    <cellStyle name="Normal 309 2 4 2" xfId="25428" xr:uid="{00000000-0005-0000-0000-000054630000}"/>
    <cellStyle name="Normal 309 2 4 2 2" xfId="25429" xr:uid="{00000000-0005-0000-0000-000055630000}"/>
    <cellStyle name="Normal 309 2 4 3" xfId="25430" xr:uid="{00000000-0005-0000-0000-000056630000}"/>
    <cellStyle name="Normal 309 2 5" xfId="25431" xr:uid="{00000000-0005-0000-0000-000057630000}"/>
    <cellStyle name="Normal 309 3" xfId="25432" xr:uid="{00000000-0005-0000-0000-000058630000}"/>
    <cellStyle name="Normal 309 3 2" xfId="25433" xr:uid="{00000000-0005-0000-0000-000059630000}"/>
    <cellStyle name="Normal 309 3 2 2" xfId="25434" xr:uid="{00000000-0005-0000-0000-00005A630000}"/>
    <cellStyle name="Normal 309 3 2 2 2" xfId="25435" xr:uid="{00000000-0005-0000-0000-00005B630000}"/>
    <cellStyle name="Normal 309 3 2 3" xfId="25436" xr:uid="{00000000-0005-0000-0000-00005C630000}"/>
    <cellStyle name="Normal 309 3 2 3 2" xfId="25437" xr:uid="{00000000-0005-0000-0000-00005D630000}"/>
    <cellStyle name="Normal 309 3 2 3 2 2" xfId="25438" xr:uid="{00000000-0005-0000-0000-00005E630000}"/>
    <cellStyle name="Normal 309 3 2 3 3" xfId="25439" xr:uid="{00000000-0005-0000-0000-00005F630000}"/>
    <cellStyle name="Normal 309 3 2 4" xfId="25440" xr:uid="{00000000-0005-0000-0000-000060630000}"/>
    <cellStyle name="Normal 309 3 3" xfId="25441" xr:uid="{00000000-0005-0000-0000-000061630000}"/>
    <cellStyle name="Normal 309 3 3 2" xfId="25442" xr:uid="{00000000-0005-0000-0000-000062630000}"/>
    <cellStyle name="Normal 309 3 3 2 2" xfId="25443" xr:uid="{00000000-0005-0000-0000-000063630000}"/>
    <cellStyle name="Normal 309 3 3 3" xfId="25444" xr:uid="{00000000-0005-0000-0000-000064630000}"/>
    <cellStyle name="Normal 309 3 4" xfId="25445" xr:uid="{00000000-0005-0000-0000-000065630000}"/>
    <cellStyle name="Normal 309 3 4 2" xfId="25446" xr:uid="{00000000-0005-0000-0000-000066630000}"/>
    <cellStyle name="Normal 309 3 4 2 2" xfId="25447" xr:uid="{00000000-0005-0000-0000-000067630000}"/>
    <cellStyle name="Normal 309 3 4 3" xfId="25448" xr:uid="{00000000-0005-0000-0000-000068630000}"/>
    <cellStyle name="Normal 309 3 5" xfId="25449" xr:uid="{00000000-0005-0000-0000-000069630000}"/>
    <cellStyle name="Normal 309 3 5 2" xfId="25450" xr:uid="{00000000-0005-0000-0000-00006A630000}"/>
    <cellStyle name="Normal 309 3 5 2 2" xfId="25451" xr:uid="{00000000-0005-0000-0000-00006B630000}"/>
    <cellStyle name="Normal 309 3 5 3" xfId="25452" xr:uid="{00000000-0005-0000-0000-00006C630000}"/>
    <cellStyle name="Normal 309 3 6" xfId="25453" xr:uid="{00000000-0005-0000-0000-00006D630000}"/>
    <cellStyle name="Normal 309 4" xfId="25454" xr:uid="{00000000-0005-0000-0000-00006E630000}"/>
    <cellStyle name="Normal 309 4 2" xfId="25455" xr:uid="{00000000-0005-0000-0000-00006F630000}"/>
    <cellStyle name="Normal 309 4 2 2" xfId="25456" xr:uid="{00000000-0005-0000-0000-000070630000}"/>
    <cellStyle name="Normal 309 4 3" xfId="25457" xr:uid="{00000000-0005-0000-0000-000071630000}"/>
    <cellStyle name="Normal 309 5" xfId="25458" xr:uid="{00000000-0005-0000-0000-000072630000}"/>
    <cellStyle name="Normal 309 5 2" xfId="25459" xr:uid="{00000000-0005-0000-0000-000073630000}"/>
    <cellStyle name="Normal 309 5 2 2" xfId="25460" xr:uid="{00000000-0005-0000-0000-000074630000}"/>
    <cellStyle name="Normal 309 5 3" xfId="25461" xr:uid="{00000000-0005-0000-0000-000075630000}"/>
    <cellStyle name="Normal 309 6" xfId="25462" xr:uid="{00000000-0005-0000-0000-000076630000}"/>
    <cellStyle name="Normal 309 6 2" xfId="25463" xr:uid="{00000000-0005-0000-0000-000077630000}"/>
    <cellStyle name="Normal 309 6 2 2" xfId="25464" xr:uid="{00000000-0005-0000-0000-000078630000}"/>
    <cellStyle name="Normal 309 6 3" xfId="25465" xr:uid="{00000000-0005-0000-0000-000079630000}"/>
    <cellStyle name="Normal 309 7" xfId="25466" xr:uid="{00000000-0005-0000-0000-00007A630000}"/>
    <cellStyle name="Normal 31" xfId="12" xr:uid="{00000000-0005-0000-0000-00000C000000}"/>
    <cellStyle name="Normal 31 2" xfId="25467" xr:uid="{00000000-0005-0000-0000-00007B630000}"/>
    <cellStyle name="Normal 31 2 2" xfId="25468" xr:uid="{00000000-0005-0000-0000-00007C630000}"/>
    <cellStyle name="Normal 31 2 2 2" xfId="25469" xr:uid="{00000000-0005-0000-0000-00007D630000}"/>
    <cellStyle name="Normal 31 2 2 2 2" xfId="25470" xr:uid="{00000000-0005-0000-0000-00007E630000}"/>
    <cellStyle name="Normal 31 2 2 3" xfId="25471" xr:uid="{00000000-0005-0000-0000-00007F630000}"/>
    <cellStyle name="Normal 31 2 2 3 2" xfId="25472" xr:uid="{00000000-0005-0000-0000-000080630000}"/>
    <cellStyle name="Normal 31 2 2 3 2 2" xfId="25473" xr:uid="{00000000-0005-0000-0000-000081630000}"/>
    <cellStyle name="Normal 31 2 2 3 3" xfId="25474" xr:uid="{00000000-0005-0000-0000-000082630000}"/>
    <cellStyle name="Normal 31 2 2 4" xfId="25475" xr:uid="{00000000-0005-0000-0000-000083630000}"/>
    <cellStyle name="Normal 31 2 2 4 2" xfId="25476" xr:uid="{00000000-0005-0000-0000-000084630000}"/>
    <cellStyle name="Normal 31 2 2 4 2 2" xfId="25477" xr:uid="{00000000-0005-0000-0000-000085630000}"/>
    <cellStyle name="Normal 31 2 2 4 3" xfId="25478" xr:uid="{00000000-0005-0000-0000-000086630000}"/>
    <cellStyle name="Normal 31 2 2 5" xfId="25479" xr:uid="{00000000-0005-0000-0000-000087630000}"/>
    <cellStyle name="Normal 31 2 3" xfId="25480" xr:uid="{00000000-0005-0000-0000-000088630000}"/>
    <cellStyle name="Normal 31 2 3 2" xfId="25481" xr:uid="{00000000-0005-0000-0000-000089630000}"/>
    <cellStyle name="Normal 31 2 3 2 2" xfId="25482" xr:uid="{00000000-0005-0000-0000-00008A630000}"/>
    <cellStyle name="Normal 31 2 3 3" xfId="25483" xr:uid="{00000000-0005-0000-0000-00008B630000}"/>
    <cellStyle name="Normal 31 2 4" xfId="25484" xr:uid="{00000000-0005-0000-0000-00008C630000}"/>
    <cellStyle name="Normal 31 2 4 2" xfId="25485" xr:uid="{00000000-0005-0000-0000-00008D630000}"/>
    <cellStyle name="Normal 31 2 4 2 2" xfId="25486" xr:uid="{00000000-0005-0000-0000-00008E630000}"/>
    <cellStyle name="Normal 31 2 4 3" xfId="25487" xr:uid="{00000000-0005-0000-0000-00008F630000}"/>
    <cellStyle name="Normal 31 2 5" xfId="25488" xr:uid="{00000000-0005-0000-0000-000090630000}"/>
    <cellStyle name="Normal 31 2 5 2" xfId="25489" xr:uid="{00000000-0005-0000-0000-000091630000}"/>
    <cellStyle name="Normal 31 2 5 2 2" xfId="25490" xr:uid="{00000000-0005-0000-0000-000092630000}"/>
    <cellStyle name="Normal 31 2 5 3" xfId="25491" xr:uid="{00000000-0005-0000-0000-000093630000}"/>
    <cellStyle name="Normal 31 2 6" xfId="25492" xr:uid="{00000000-0005-0000-0000-000094630000}"/>
    <cellStyle name="Normal 31 3" xfId="25493" xr:uid="{00000000-0005-0000-0000-000095630000}"/>
    <cellStyle name="Normal 31 3 2" xfId="25494" xr:uid="{00000000-0005-0000-0000-000096630000}"/>
    <cellStyle name="Normal 31 3 2 2" xfId="25495" xr:uid="{00000000-0005-0000-0000-000097630000}"/>
    <cellStyle name="Normal 31 3 3" xfId="25496" xr:uid="{00000000-0005-0000-0000-000098630000}"/>
    <cellStyle name="Normal 31 3 3 2" xfId="25497" xr:uid="{00000000-0005-0000-0000-000099630000}"/>
    <cellStyle name="Normal 31 3 3 2 2" xfId="25498" xr:uid="{00000000-0005-0000-0000-00009A630000}"/>
    <cellStyle name="Normal 31 3 3 3" xfId="25499" xr:uid="{00000000-0005-0000-0000-00009B630000}"/>
    <cellStyle name="Normal 31 3 4" xfId="25500" xr:uid="{00000000-0005-0000-0000-00009C630000}"/>
    <cellStyle name="Normal 31 3 4 2" xfId="25501" xr:uid="{00000000-0005-0000-0000-00009D630000}"/>
    <cellStyle name="Normal 31 3 4 2 2" xfId="25502" xr:uid="{00000000-0005-0000-0000-00009E630000}"/>
    <cellStyle name="Normal 31 3 4 3" xfId="25503" xr:uid="{00000000-0005-0000-0000-00009F630000}"/>
    <cellStyle name="Normal 31 3 5" xfId="25504" xr:uid="{00000000-0005-0000-0000-0000A0630000}"/>
    <cellStyle name="Normal 31 4" xfId="25505" xr:uid="{00000000-0005-0000-0000-0000A1630000}"/>
    <cellStyle name="Normal 31 4 2" xfId="25506" xr:uid="{00000000-0005-0000-0000-0000A2630000}"/>
    <cellStyle name="Normal 31 4 2 2" xfId="25507" xr:uid="{00000000-0005-0000-0000-0000A3630000}"/>
    <cellStyle name="Normal 31 4 3" xfId="25508" xr:uid="{00000000-0005-0000-0000-0000A4630000}"/>
    <cellStyle name="Normal 31 5" xfId="25509" xr:uid="{00000000-0005-0000-0000-0000A5630000}"/>
    <cellStyle name="Normal 31 5 2" xfId="25510" xr:uid="{00000000-0005-0000-0000-0000A6630000}"/>
    <cellStyle name="Normal 31 5 2 2" xfId="25511" xr:uid="{00000000-0005-0000-0000-0000A7630000}"/>
    <cellStyle name="Normal 31 5 3" xfId="25512" xr:uid="{00000000-0005-0000-0000-0000A8630000}"/>
    <cellStyle name="Normal 31 6" xfId="25513" xr:uid="{00000000-0005-0000-0000-0000A9630000}"/>
    <cellStyle name="Normal 31 6 2" xfId="25514" xr:uid="{00000000-0005-0000-0000-0000AA630000}"/>
    <cellStyle name="Normal 31 6 2 2" xfId="25515" xr:uid="{00000000-0005-0000-0000-0000AB630000}"/>
    <cellStyle name="Normal 31 6 3" xfId="25516" xr:uid="{00000000-0005-0000-0000-0000AC630000}"/>
    <cellStyle name="Normal 31 7" xfId="25517" xr:uid="{00000000-0005-0000-0000-0000AD630000}"/>
    <cellStyle name="Normal 310" xfId="25518" xr:uid="{00000000-0005-0000-0000-0000AE630000}"/>
    <cellStyle name="Normal 310 2" xfId="25519" xr:uid="{00000000-0005-0000-0000-0000AF630000}"/>
    <cellStyle name="Normal 310 2 2" xfId="25520" xr:uid="{00000000-0005-0000-0000-0000B0630000}"/>
    <cellStyle name="Normal 310 2 2 2" xfId="25521" xr:uid="{00000000-0005-0000-0000-0000B1630000}"/>
    <cellStyle name="Normal 310 2 3" xfId="25522" xr:uid="{00000000-0005-0000-0000-0000B2630000}"/>
    <cellStyle name="Normal 310 2 3 2" xfId="25523" xr:uid="{00000000-0005-0000-0000-0000B3630000}"/>
    <cellStyle name="Normal 310 2 3 2 2" xfId="25524" xr:uid="{00000000-0005-0000-0000-0000B4630000}"/>
    <cellStyle name="Normal 310 2 3 3" xfId="25525" xr:uid="{00000000-0005-0000-0000-0000B5630000}"/>
    <cellStyle name="Normal 310 2 4" xfId="25526" xr:uid="{00000000-0005-0000-0000-0000B6630000}"/>
    <cellStyle name="Normal 310 2 4 2" xfId="25527" xr:uid="{00000000-0005-0000-0000-0000B7630000}"/>
    <cellStyle name="Normal 310 2 4 2 2" xfId="25528" xr:uid="{00000000-0005-0000-0000-0000B8630000}"/>
    <cellStyle name="Normal 310 2 4 3" xfId="25529" xr:uid="{00000000-0005-0000-0000-0000B9630000}"/>
    <cellStyle name="Normal 310 2 5" xfId="25530" xr:uid="{00000000-0005-0000-0000-0000BA630000}"/>
    <cellStyle name="Normal 310 3" xfId="25531" xr:uid="{00000000-0005-0000-0000-0000BB630000}"/>
    <cellStyle name="Normal 310 3 2" xfId="25532" xr:uid="{00000000-0005-0000-0000-0000BC630000}"/>
    <cellStyle name="Normal 310 3 2 2" xfId="25533" xr:uid="{00000000-0005-0000-0000-0000BD630000}"/>
    <cellStyle name="Normal 310 3 2 2 2" xfId="25534" xr:uid="{00000000-0005-0000-0000-0000BE630000}"/>
    <cellStyle name="Normal 310 3 2 3" xfId="25535" xr:uid="{00000000-0005-0000-0000-0000BF630000}"/>
    <cellStyle name="Normal 310 3 2 3 2" xfId="25536" xr:uid="{00000000-0005-0000-0000-0000C0630000}"/>
    <cellStyle name="Normal 310 3 2 3 2 2" xfId="25537" xr:uid="{00000000-0005-0000-0000-0000C1630000}"/>
    <cellStyle name="Normal 310 3 2 3 3" xfId="25538" xr:uid="{00000000-0005-0000-0000-0000C2630000}"/>
    <cellStyle name="Normal 310 3 2 4" xfId="25539" xr:uid="{00000000-0005-0000-0000-0000C3630000}"/>
    <cellStyle name="Normal 310 3 3" xfId="25540" xr:uid="{00000000-0005-0000-0000-0000C4630000}"/>
    <cellStyle name="Normal 310 3 3 2" xfId="25541" xr:uid="{00000000-0005-0000-0000-0000C5630000}"/>
    <cellStyle name="Normal 310 3 3 2 2" xfId="25542" xr:uid="{00000000-0005-0000-0000-0000C6630000}"/>
    <cellStyle name="Normal 310 3 3 3" xfId="25543" xr:uid="{00000000-0005-0000-0000-0000C7630000}"/>
    <cellStyle name="Normal 310 3 4" xfId="25544" xr:uid="{00000000-0005-0000-0000-0000C8630000}"/>
    <cellStyle name="Normal 310 3 4 2" xfId="25545" xr:uid="{00000000-0005-0000-0000-0000C9630000}"/>
    <cellStyle name="Normal 310 3 4 2 2" xfId="25546" xr:uid="{00000000-0005-0000-0000-0000CA630000}"/>
    <cellStyle name="Normal 310 3 4 3" xfId="25547" xr:uid="{00000000-0005-0000-0000-0000CB630000}"/>
    <cellStyle name="Normal 310 3 5" xfId="25548" xr:uid="{00000000-0005-0000-0000-0000CC630000}"/>
    <cellStyle name="Normal 310 3 5 2" xfId="25549" xr:uid="{00000000-0005-0000-0000-0000CD630000}"/>
    <cellStyle name="Normal 310 3 5 2 2" xfId="25550" xr:uid="{00000000-0005-0000-0000-0000CE630000}"/>
    <cellStyle name="Normal 310 3 5 3" xfId="25551" xr:uid="{00000000-0005-0000-0000-0000CF630000}"/>
    <cellStyle name="Normal 310 3 6" xfId="25552" xr:uid="{00000000-0005-0000-0000-0000D0630000}"/>
    <cellStyle name="Normal 310 4" xfId="25553" xr:uid="{00000000-0005-0000-0000-0000D1630000}"/>
    <cellStyle name="Normal 310 4 2" xfId="25554" xr:uid="{00000000-0005-0000-0000-0000D2630000}"/>
    <cellStyle name="Normal 310 4 2 2" xfId="25555" xr:uid="{00000000-0005-0000-0000-0000D3630000}"/>
    <cellStyle name="Normal 310 4 3" xfId="25556" xr:uid="{00000000-0005-0000-0000-0000D4630000}"/>
    <cellStyle name="Normal 310 5" xfId="25557" xr:uid="{00000000-0005-0000-0000-0000D5630000}"/>
    <cellStyle name="Normal 310 5 2" xfId="25558" xr:uid="{00000000-0005-0000-0000-0000D6630000}"/>
    <cellStyle name="Normal 310 5 2 2" xfId="25559" xr:uid="{00000000-0005-0000-0000-0000D7630000}"/>
    <cellStyle name="Normal 310 5 3" xfId="25560" xr:uid="{00000000-0005-0000-0000-0000D8630000}"/>
    <cellStyle name="Normal 310 6" xfId="25561" xr:uid="{00000000-0005-0000-0000-0000D9630000}"/>
    <cellStyle name="Normal 310 6 2" xfId="25562" xr:uid="{00000000-0005-0000-0000-0000DA630000}"/>
    <cellStyle name="Normal 310 6 2 2" xfId="25563" xr:uid="{00000000-0005-0000-0000-0000DB630000}"/>
    <cellStyle name="Normal 310 6 3" xfId="25564" xr:uid="{00000000-0005-0000-0000-0000DC630000}"/>
    <cellStyle name="Normal 310 7" xfId="25565" xr:uid="{00000000-0005-0000-0000-0000DD630000}"/>
    <cellStyle name="Normal 311" xfId="25566" xr:uid="{00000000-0005-0000-0000-0000DE630000}"/>
    <cellStyle name="Normal 311 2" xfId="25567" xr:uid="{00000000-0005-0000-0000-0000DF630000}"/>
    <cellStyle name="Normal 311 2 2" xfId="25568" xr:uid="{00000000-0005-0000-0000-0000E0630000}"/>
    <cellStyle name="Normal 311 2 2 2" xfId="25569" xr:uid="{00000000-0005-0000-0000-0000E1630000}"/>
    <cellStyle name="Normal 311 2 3" xfId="25570" xr:uid="{00000000-0005-0000-0000-0000E2630000}"/>
    <cellStyle name="Normal 311 2 3 2" xfId="25571" xr:uid="{00000000-0005-0000-0000-0000E3630000}"/>
    <cellStyle name="Normal 311 2 3 2 2" xfId="25572" xr:uid="{00000000-0005-0000-0000-0000E4630000}"/>
    <cellStyle name="Normal 311 2 3 3" xfId="25573" xr:uid="{00000000-0005-0000-0000-0000E5630000}"/>
    <cellStyle name="Normal 311 2 4" xfId="25574" xr:uid="{00000000-0005-0000-0000-0000E6630000}"/>
    <cellStyle name="Normal 311 2 4 2" xfId="25575" xr:uid="{00000000-0005-0000-0000-0000E7630000}"/>
    <cellStyle name="Normal 311 2 4 2 2" xfId="25576" xr:uid="{00000000-0005-0000-0000-0000E8630000}"/>
    <cellStyle name="Normal 311 2 4 3" xfId="25577" xr:uid="{00000000-0005-0000-0000-0000E9630000}"/>
    <cellStyle name="Normal 311 2 5" xfId="25578" xr:uid="{00000000-0005-0000-0000-0000EA630000}"/>
    <cellStyle name="Normal 311 3" xfId="25579" xr:uid="{00000000-0005-0000-0000-0000EB630000}"/>
    <cellStyle name="Normal 311 3 2" xfId="25580" xr:uid="{00000000-0005-0000-0000-0000EC630000}"/>
    <cellStyle name="Normal 311 3 2 2" xfId="25581" xr:uid="{00000000-0005-0000-0000-0000ED630000}"/>
    <cellStyle name="Normal 311 3 2 2 2" xfId="25582" xr:uid="{00000000-0005-0000-0000-0000EE630000}"/>
    <cellStyle name="Normal 311 3 2 3" xfId="25583" xr:uid="{00000000-0005-0000-0000-0000EF630000}"/>
    <cellStyle name="Normal 311 3 2 3 2" xfId="25584" xr:uid="{00000000-0005-0000-0000-0000F0630000}"/>
    <cellStyle name="Normal 311 3 2 3 2 2" xfId="25585" xr:uid="{00000000-0005-0000-0000-0000F1630000}"/>
    <cellStyle name="Normal 311 3 2 3 3" xfId="25586" xr:uid="{00000000-0005-0000-0000-0000F2630000}"/>
    <cellStyle name="Normal 311 3 2 4" xfId="25587" xr:uid="{00000000-0005-0000-0000-0000F3630000}"/>
    <cellStyle name="Normal 311 3 3" xfId="25588" xr:uid="{00000000-0005-0000-0000-0000F4630000}"/>
    <cellStyle name="Normal 311 3 3 2" xfId="25589" xr:uid="{00000000-0005-0000-0000-0000F5630000}"/>
    <cellStyle name="Normal 311 3 3 2 2" xfId="25590" xr:uid="{00000000-0005-0000-0000-0000F6630000}"/>
    <cellStyle name="Normal 311 3 3 3" xfId="25591" xr:uid="{00000000-0005-0000-0000-0000F7630000}"/>
    <cellStyle name="Normal 311 3 4" xfId="25592" xr:uid="{00000000-0005-0000-0000-0000F8630000}"/>
    <cellStyle name="Normal 311 3 4 2" xfId="25593" xr:uid="{00000000-0005-0000-0000-0000F9630000}"/>
    <cellStyle name="Normal 311 3 4 2 2" xfId="25594" xr:uid="{00000000-0005-0000-0000-0000FA630000}"/>
    <cellStyle name="Normal 311 3 4 3" xfId="25595" xr:uid="{00000000-0005-0000-0000-0000FB630000}"/>
    <cellStyle name="Normal 311 3 5" xfId="25596" xr:uid="{00000000-0005-0000-0000-0000FC630000}"/>
    <cellStyle name="Normal 311 3 5 2" xfId="25597" xr:uid="{00000000-0005-0000-0000-0000FD630000}"/>
    <cellStyle name="Normal 311 3 5 2 2" xfId="25598" xr:uid="{00000000-0005-0000-0000-0000FE630000}"/>
    <cellStyle name="Normal 311 3 5 3" xfId="25599" xr:uid="{00000000-0005-0000-0000-0000FF630000}"/>
    <cellStyle name="Normal 311 3 6" xfId="25600" xr:uid="{00000000-0005-0000-0000-000000640000}"/>
    <cellStyle name="Normal 311 4" xfId="25601" xr:uid="{00000000-0005-0000-0000-000001640000}"/>
    <cellStyle name="Normal 311 4 2" xfId="25602" xr:uid="{00000000-0005-0000-0000-000002640000}"/>
    <cellStyle name="Normal 311 4 2 2" xfId="25603" xr:uid="{00000000-0005-0000-0000-000003640000}"/>
    <cellStyle name="Normal 311 4 3" xfId="25604" xr:uid="{00000000-0005-0000-0000-000004640000}"/>
    <cellStyle name="Normal 311 5" xfId="25605" xr:uid="{00000000-0005-0000-0000-000005640000}"/>
    <cellStyle name="Normal 311 5 2" xfId="25606" xr:uid="{00000000-0005-0000-0000-000006640000}"/>
    <cellStyle name="Normal 311 5 2 2" xfId="25607" xr:uid="{00000000-0005-0000-0000-000007640000}"/>
    <cellStyle name="Normal 311 5 3" xfId="25608" xr:uid="{00000000-0005-0000-0000-000008640000}"/>
    <cellStyle name="Normal 311 6" xfId="25609" xr:uid="{00000000-0005-0000-0000-000009640000}"/>
    <cellStyle name="Normal 311 6 2" xfId="25610" xr:uid="{00000000-0005-0000-0000-00000A640000}"/>
    <cellStyle name="Normal 311 6 2 2" xfId="25611" xr:uid="{00000000-0005-0000-0000-00000B640000}"/>
    <cellStyle name="Normal 311 6 3" xfId="25612" xr:uid="{00000000-0005-0000-0000-00000C640000}"/>
    <cellStyle name="Normal 311 7" xfId="25613" xr:uid="{00000000-0005-0000-0000-00000D640000}"/>
    <cellStyle name="Normal 312" xfId="25614" xr:uid="{00000000-0005-0000-0000-00000E640000}"/>
    <cellStyle name="Normal 312 2" xfId="25615" xr:uid="{00000000-0005-0000-0000-00000F640000}"/>
    <cellStyle name="Normal 312 2 2" xfId="25616" xr:uid="{00000000-0005-0000-0000-000010640000}"/>
    <cellStyle name="Normal 312 2 2 2" xfId="25617" xr:uid="{00000000-0005-0000-0000-000011640000}"/>
    <cellStyle name="Normal 312 2 3" xfId="25618" xr:uid="{00000000-0005-0000-0000-000012640000}"/>
    <cellStyle name="Normal 312 2 3 2" xfId="25619" xr:uid="{00000000-0005-0000-0000-000013640000}"/>
    <cellStyle name="Normal 312 2 3 2 2" xfId="25620" xr:uid="{00000000-0005-0000-0000-000014640000}"/>
    <cellStyle name="Normal 312 2 3 3" xfId="25621" xr:uid="{00000000-0005-0000-0000-000015640000}"/>
    <cellStyle name="Normal 312 2 4" xfId="25622" xr:uid="{00000000-0005-0000-0000-000016640000}"/>
    <cellStyle name="Normal 312 2 4 2" xfId="25623" xr:uid="{00000000-0005-0000-0000-000017640000}"/>
    <cellStyle name="Normal 312 2 4 2 2" xfId="25624" xr:uid="{00000000-0005-0000-0000-000018640000}"/>
    <cellStyle name="Normal 312 2 4 3" xfId="25625" xr:uid="{00000000-0005-0000-0000-000019640000}"/>
    <cellStyle name="Normal 312 2 5" xfId="25626" xr:uid="{00000000-0005-0000-0000-00001A640000}"/>
    <cellStyle name="Normal 312 3" xfId="25627" xr:uid="{00000000-0005-0000-0000-00001B640000}"/>
    <cellStyle name="Normal 312 3 2" xfId="25628" xr:uid="{00000000-0005-0000-0000-00001C640000}"/>
    <cellStyle name="Normal 312 3 2 2" xfId="25629" xr:uid="{00000000-0005-0000-0000-00001D640000}"/>
    <cellStyle name="Normal 312 3 2 2 2" xfId="25630" xr:uid="{00000000-0005-0000-0000-00001E640000}"/>
    <cellStyle name="Normal 312 3 2 3" xfId="25631" xr:uid="{00000000-0005-0000-0000-00001F640000}"/>
    <cellStyle name="Normal 312 3 2 3 2" xfId="25632" xr:uid="{00000000-0005-0000-0000-000020640000}"/>
    <cellStyle name="Normal 312 3 2 3 2 2" xfId="25633" xr:uid="{00000000-0005-0000-0000-000021640000}"/>
    <cellStyle name="Normal 312 3 2 3 3" xfId="25634" xr:uid="{00000000-0005-0000-0000-000022640000}"/>
    <cellStyle name="Normal 312 3 2 4" xfId="25635" xr:uid="{00000000-0005-0000-0000-000023640000}"/>
    <cellStyle name="Normal 312 3 3" xfId="25636" xr:uid="{00000000-0005-0000-0000-000024640000}"/>
    <cellStyle name="Normal 312 3 3 2" xfId="25637" xr:uid="{00000000-0005-0000-0000-000025640000}"/>
    <cellStyle name="Normal 312 3 3 2 2" xfId="25638" xr:uid="{00000000-0005-0000-0000-000026640000}"/>
    <cellStyle name="Normal 312 3 3 3" xfId="25639" xr:uid="{00000000-0005-0000-0000-000027640000}"/>
    <cellStyle name="Normal 312 3 4" xfId="25640" xr:uid="{00000000-0005-0000-0000-000028640000}"/>
    <cellStyle name="Normal 312 3 4 2" xfId="25641" xr:uid="{00000000-0005-0000-0000-000029640000}"/>
    <cellStyle name="Normal 312 3 4 2 2" xfId="25642" xr:uid="{00000000-0005-0000-0000-00002A640000}"/>
    <cellStyle name="Normal 312 3 4 3" xfId="25643" xr:uid="{00000000-0005-0000-0000-00002B640000}"/>
    <cellStyle name="Normal 312 3 5" xfId="25644" xr:uid="{00000000-0005-0000-0000-00002C640000}"/>
    <cellStyle name="Normal 312 3 5 2" xfId="25645" xr:uid="{00000000-0005-0000-0000-00002D640000}"/>
    <cellStyle name="Normal 312 3 5 2 2" xfId="25646" xr:uid="{00000000-0005-0000-0000-00002E640000}"/>
    <cellStyle name="Normal 312 3 5 3" xfId="25647" xr:uid="{00000000-0005-0000-0000-00002F640000}"/>
    <cellStyle name="Normal 312 3 6" xfId="25648" xr:uid="{00000000-0005-0000-0000-000030640000}"/>
    <cellStyle name="Normal 312 4" xfId="25649" xr:uid="{00000000-0005-0000-0000-000031640000}"/>
    <cellStyle name="Normal 312 4 2" xfId="25650" xr:uid="{00000000-0005-0000-0000-000032640000}"/>
    <cellStyle name="Normal 312 4 2 2" xfId="25651" xr:uid="{00000000-0005-0000-0000-000033640000}"/>
    <cellStyle name="Normal 312 4 3" xfId="25652" xr:uid="{00000000-0005-0000-0000-000034640000}"/>
    <cellStyle name="Normal 312 5" xfId="25653" xr:uid="{00000000-0005-0000-0000-000035640000}"/>
    <cellStyle name="Normal 312 5 2" xfId="25654" xr:uid="{00000000-0005-0000-0000-000036640000}"/>
    <cellStyle name="Normal 312 5 2 2" xfId="25655" xr:uid="{00000000-0005-0000-0000-000037640000}"/>
    <cellStyle name="Normal 312 5 3" xfId="25656" xr:uid="{00000000-0005-0000-0000-000038640000}"/>
    <cellStyle name="Normal 312 6" xfId="25657" xr:uid="{00000000-0005-0000-0000-000039640000}"/>
    <cellStyle name="Normal 312 6 2" xfId="25658" xr:uid="{00000000-0005-0000-0000-00003A640000}"/>
    <cellStyle name="Normal 312 6 2 2" xfId="25659" xr:uid="{00000000-0005-0000-0000-00003B640000}"/>
    <cellStyle name="Normal 312 6 3" xfId="25660" xr:uid="{00000000-0005-0000-0000-00003C640000}"/>
    <cellStyle name="Normal 312 7" xfId="25661" xr:uid="{00000000-0005-0000-0000-00003D640000}"/>
    <cellStyle name="Normal 313" xfId="25662" xr:uid="{00000000-0005-0000-0000-00003E640000}"/>
    <cellStyle name="Normal 313 2" xfId="25663" xr:uid="{00000000-0005-0000-0000-00003F640000}"/>
    <cellStyle name="Normal 313 2 2" xfId="25664" xr:uid="{00000000-0005-0000-0000-000040640000}"/>
    <cellStyle name="Normal 313 2 2 2" xfId="25665" xr:uid="{00000000-0005-0000-0000-000041640000}"/>
    <cellStyle name="Normal 313 2 3" xfId="25666" xr:uid="{00000000-0005-0000-0000-000042640000}"/>
    <cellStyle name="Normal 313 2 3 2" xfId="25667" xr:uid="{00000000-0005-0000-0000-000043640000}"/>
    <cellStyle name="Normal 313 2 3 2 2" xfId="25668" xr:uid="{00000000-0005-0000-0000-000044640000}"/>
    <cellStyle name="Normal 313 2 3 3" xfId="25669" xr:uid="{00000000-0005-0000-0000-000045640000}"/>
    <cellStyle name="Normal 313 2 4" xfId="25670" xr:uid="{00000000-0005-0000-0000-000046640000}"/>
    <cellStyle name="Normal 313 2 4 2" xfId="25671" xr:uid="{00000000-0005-0000-0000-000047640000}"/>
    <cellStyle name="Normal 313 2 4 2 2" xfId="25672" xr:uid="{00000000-0005-0000-0000-000048640000}"/>
    <cellStyle name="Normal 313 2 4 3" xfId="25673" xr:uid="{00000000-0005-0000-0000-000049640000}"/>
    <cellStyle name="Normal 313 2 5" xfId="25674" xr:uid="{00000000-0005-0000-0000-00004A640000}"/>
    <cellStyle name="Normal 313 3" xfId="25675" xr:uid="{00000000-0005-0000-0000-00004B640000}"/>
    <cellStyle name="Normal 313 3 2" xfId="25676" xr:uid="{00000000-0005-0000-0000-00004C640000}"/>
    <cellStyle name="Normal 313 3 2 2" xfId="25677" xr:uid="{00000000-0005-0000-0000-00004D640000}"/>
    <cellStyle name="Normal 313 3 2 2 2" xfId="25678" xr:uid="{00000000-0005-0000-0000-00004E640000}"/>
    <cellStyle name="Normal 313 3 2 3" xfId="25679" xr:uid="{00000000-0005-0000-0000-00004F640000}"/>
    <cellStyle name="Normal 313 3 2 3 2" xfId="25680" xr:uid="{00000000-0005-0000-0000-000050640000}"/>
    <cellStyle name="Normal 313 3 2 3 2 2" xfId="25681" xr:uid="{00000000-0005-0000-0000-000051640000}"/>
    <cellStyle name="Normal 313 3 2 3 3" xfId="25682" xr:uid="{00000000-0005-0000-0000-000052640000}"/>
    <cellStyle name="Normal 313 3 2 4" xfId="25683" xr:uid="{00000000-0005-0000-0000-000053640000}"/>
    <cellStyle name="Normal 313 3 3" xfId="25684" xr:uid="{00000000-0005-0000-0000-000054640000}"/>
    <cellStyle name="Normal 313 3 3 2" xfId="25685" xr:uid="{00000000-0005-0000-0000-000055640000}"/>
    <cellStyle name="Normal 313 3 3 2 2" xfId="25686" xr:uid="{00000000-0005-0000-0000-000056640000}"/>
    <cellStyle name="Normal 313 3 3 3" xfId="25687" xr:uid="{00000000-0005-0000-0000-000057640000}"/>
    <cellStyle name="Normal 313 3 4" xfId="25688" xr:uid="{00000000-0005-0000-0000-000058640000}"/>
    <cellStyle name="Normal 313 3 4 2" xfId="25689" xr:uid="{00000000-0005-0000-0000-000059640000}"/>
    <cellStyle name="Normal 313 3 4 2 2" xfId="25690" xr:uid="{00000000-0005-0000-0000-00005A640000}"/>
    <cellStyle name="Normal 313 3 4 3" xfId="25691" xr:uid="{00000000-0005-0000-0000-00005B640000}"/>
    <cellStyle name="Normal 313 3 5" xfId="25692" xr:uid="{00000000-0005-0000-0000-00005C640000}"/>
    <cellStyle name="Normal 313 3 5 2" xfId="25693" xr:uid="{00000000-0005-0000-0000-00005D640000}"/>
    <cellStyle name="Normal 313 3 5 2 2" xfId="25694" xr:uid="{00000000-0005-0000-0000-00005E640000}"/>
    <cellStyle name="Normal 313 3 5 3" xfId="25695" xr:uid="{00000000-0005-0000-0000-00005F640000}"/>
    <cellStyle name="Normal 313 3 6" xfId="25696" xr:uid="{00000000-0005-0000-0000-000060640000}"/>
    <cellStyle name="Normal 313 4" xfId="25697" xr:uid="{00000000-0005-0000-0000-000061640000}"/>
    <cellStyle name="Normal 313 4 2" xfId="25698" xr:uid="{00000000-0005-0000-0000-000062640000}"/>
    <cellStyle name="Normal 313 4 2 2" xfId="25699" xr:uid="{00000000-0005-0000-0000-000063640000}"/>
    <cellStyle name="Normal 313 4 3" xfId="25700" xr:uid="{00000000-0005-0000-0000-000064640000}"/>
    <cellStyle name="Normal 313 5" xfId="25701" xr:uid="{00000000-0005-0000-0000-000065640000}"/>
    <cellStyle name="Normal 313 5 2" xfId="25702" xr:uid="{00000000-0005-0000-0000-000066640000}"/>
    <cellStyle name="Normal 313 5 2 2" xfId="25703" xr:uid="{00000000-0005-0000-0000-000067640000}"/>
    <cellStyle name="Normal 313 5 3" xfId="25704" xr:uid="{00000000-0005-0000-0000-000068640000}"/>
    <cellStyle name="Normal 313 6" xfId="25705" xr:uid="{00000000-0005-0000-0000-000069640000}"/>
    <cellStyle name="Normal 313 6 2" xfId="25706" xr:uid="{00000000-0005-0000-0000-00006A640000}"/>
    <cellStyle name="Normal 313 6 2 2" xfId="25707" xr:uid="{00000000-0005-0000-0000-00006B640000}"/>
    <cellStyle name="Normal 313 6 3" xfId="25708" xr:uid="{00000000-0005-0000-0000-00006C640000}"/>
    <cellStyle name="Normal 313 7" xfId="25709" xr:uid="{00000000-0005-0000-0000-00006D640000}"/>
    <cellStyle name="Normal 314" xfId="25710" xr:uid="{00000000-0005-0000-0000-00006E640000}"/>
    <cellStyle name="Normal 314 2" xfId="25711" xr:uid="{00000000-0005-0000-0000-00006F640000}"/>
    <cellStyle name="Normal 314 2 2" xfId="25712" xr:uid="{00000000-0005-0000-0000-000070640000}"/>
    <cellStyle name="Normal 314 2 2 2" xfId="25713" xr:uid="{00000000-0005-0000-0000-000071640000}"/>
    <cellStyle name="Normal 314 2 3" xfId="25714" xr:uid="{00000000-0005-0000-0000-000072640000}"/>
    <cellStyle name="Normal 314 2 3 2" xfId="25715" xr:uid="{00000000-0005-0000-0000-000073640000}"/>
    <cellStyle name="Normal 314 2 3 2 2" xfId="25716" xr:uid="{00000000-0005-0000-0000-000074640000}"/>
    <cellStyle name="Normal 314 2 3 3" xfId="25717" xr:uid="{00000000-0005-0000-0000-000075640000}"/>
    <cellStyle name="Normal 314 2 4" xfId="25718" xr:uid="{00000000-0005-0000-0000-000076640000}"/>
    <cellStyle name="Normal 314 2 4 2" xfId="25719" xr:uid="{00000000-0005-0000-0000-000077640000}"/>
    <cellStyle name="Normal 314 2 4 2 2" xfId="25720" xr:uid="{00000000-0005-0000-0000-000078640000}"/>
    <cellStyle name="Normal 314 2 4 3" xfId="25721" xr:uid="{00000000-0005-0000-0000-000079640000}"/>
    <cellStyle name="Normal 314 2 5" xfId="25722" xr:uid="{00000000-0005-0000-0000-00007A640000}"/>
    <cellStyle name="Normal 314 3" xfId="25723" xr:uid="{00000000-0005-0000-0000-00007B640000}"/>
    <cellStyle name="Normal 314 3 2" xfId="25724" xr:uid="{00000000-0005-0000-0000-00007C640000}"/>
    <cellStyle name="Normal 314 3 2 2" xfId="25725" xr:uid="{00000000-0005-0000-0000-00007D640000}"/>
    <cellStyle name="Normal 314 3 2 2 2" xfId="25726" xr:uid="{00000000-0005-0000-0000-00007E640000}"/>
    <cellStyle name="Normal 314 3 2 3" xfId="25727" xr:uid="{00000000-0005-0000-0000-00007F640000}"/>
    <cellStyle name="Normal 314 3 2 3 2" xfId="25728" xr:uid="{00000000-0005-0000-0000-000080640000}"/>
    <cellStyle name="Normal 314 3 2 3 2 2" xfId="25729" xr:uid="{00000000-0005-0000-0000-000081640000}"/>
    <cellStyle name="Normal 314 3 2 3 3" xfId="25730" xr:uid="{00000000-0005-0000-0000-000082640000}"/>
    <cellStyle name="Normal 314 3 2 4" xfId="25731" xr:uid="{00000000-0005-0000-0000-000083640000}"/>
    <cellStyle name="Normal 314 3 3" xfId="25732" xr:uid="{00000000-0005-0000-0000-000084640000}"/>
    <cellStyle name="Normal 314 3 3 2" xfId="25733" xr:uid="{00000000-0005-0000-0000-000085640000}"/>
    <cellStyle name="Normal 314 3 3 2 2" xfId="25734" xr:uid="{00000000-0005-0000-0000-000086640000}"/>
    <cellStyle name="Normal 314 3 3 3" xfId="25735" xr:uid="{00000000-0005-0000-0000-000087640000}"/>
    <cellStyle name="Normal 314 3 4" xfId="25736" xr:uid="{00000000-0005-0000-0000-000088640000}"/>
    <cellStyle name="Normal 314 3 4 2" xfId="25737" xr:uid="{00000000-0005-0000-0000-000089640000}"/>
    <cellStyle name="Normal 314 3 4 2 2" xfId="25738" xr:uid="{00000000-0005-0000-0000-00008A640000}"/>
    <cellStyle name="Normal 314 3 4 3" xfId="25739" xr:uid="{00000000-0005-0000-0000-00008B640000}"/>
    <cellStyle name="Normal 314 3 5" xfId="25740" xr:uid="{00000000-0005-0000-0000-00008C640000}"/>
    <cellStyle name="Normal 314 3 5 2" xfId="25741" xr:uid="{00000000-0005-0000-0000-00008D640000}"/>
    <cellStyle name="Normal 314 3 5 2 2" xfId="25742" xr:uid="{00000000-0005-0000-0000-00008E640000}"/>
    <cellStyle name="Normal 314 3 5 3" xfId="25743" xr:uid="{00000000-0005-0000-0000-00008F640000}"/>
    <cellStyle name="Normal 314 3 6" xfId="25744" xr:uid="{00000000-0005-0000-0000-000090640000}"/>
    <cellStyle name="Normal 314 4" xfId="25745" xr:uid="{00000000-0005-0000-0000-000091640000}"/>
    <cellStyle name="Normal 314 4 2" xfId="25746" xr:uid="{00000000-0005-0000-0000-000092640000}"/>
    <cellStyle name="Normal 314 4 2 2" xfId="25747" xr:uid="{00000000-0005-0000-0000-000093640000}"/>
    <cellStyle name="Normal 314 4 3" xfId="25748" xr:uid="{00000000-0005-0000-0000-000094640000}"/>
    <cellStyle name="Normal 314 5" xfId="25749" xr:uid="{00000000-0005-0000-0000-000095640000}"/>
    <cellStyle name="Normal 314 5 2" xfId="25750" xr:uid="{00000000-0005-0000-0000-000096640000}"/>
    <cellStyle name="Normal 314 5 2 2" xfId="25751" xr:uid="{00000000-0005-0000-0000-000097640000}"/>
    <cellStyle name="Normal 314 5 3" xfId="25752" xr:uid="{00000000-0005-0000-0000-000098640000}"/>
    <cellStyle name="Normal 314 6" xfId="25753" xr:uid="{00000000-0005-0000-0000-000099640000}"/>
    <cellStyle name="Normal 314 6 2" xfId="25754" xr:uid="{00000000-0005-0000-0000-00009A640000}"/>
    <cellStyle name="Normal 314 6 2 2" xfId="25755" xr:uid="{00000000-0005-0000-0000-00009B640000}"/>
    <cellStyle name="Normal 314 6 3" xfId="25756" xr:uid="{00000000-0005-0000-0000-00009C640000}"/>
    <cellStyle name="Normal 314 7" xfId="25757" xr:uid="{00000000-0005-0000-0000-00009D640000}"/>
    <cellStyle name="Normal 315" xfId="25758" xr:uid="{00000000-0005-0000-0000-00009E640000}"/>
    <cellStyle name="Normal 315 2" xfId="25759" xr:uid="{00000000-0005-0000-0000-00009F640000}"/>
    <cellStyle name="Normal 315 2 2" xfId="25760" xr:uid="{00000000-0005-0000-0000-0000A0640000}"/>
    <cellStyle name="Normal 315 2 2 2" xfId="25761" xr:uid="{00000000-0005-0000-0000-0000A1640000}"/>
    <cellStyle name="Normal 315 2 3" xfId="25762" xr:uid="{00000000-0005-0000-0000-0000A2640000}"/>
    <cellStyle name="Normal 315 2 3 2" xfId="25763" xr:uid="{00000000-0005-0000-0000-0000A3640000}"/>
    <cellStyle name="Normal 315 2 3 2 2" xfId="25764" xr:uid="{00000000-0005-0000-0000-0000A4640000}"/>
    <cellStyle name="Normal 315 2 3 3" xfId="25765" xr:uid="{00000000-0005-0000-0000-0000A5640000}"/>
    <cellStyle name="Normal 315 2 4" xfId="25766" xr:uid="{00000000-0005-0000-0000-0000A6640000}"/>
    <cellStyle name="Normal 315 2 4 2" xfId="25767" xr:uid="{00000000-0005-0000-0000-0000A7640000}"/>
    <cellStyle name="Normal 315 2 4 2 2" xfId="25768" xr:uid="{00000000-0005-0000-0000-0000A8640000}"/>
    <cellStyle name="Normal 315 2 4 3" xfId="25769" xr:uid="{00000000-0005-0000-0000-0000A9640000}"/>
    <cellStyle name="Normal 315 2 5" xfId="25770" xr:uid="{00000000-0005-0000-0000-0000AA640000}"/>
    <cellStyle name="Normal 315 3" xfId="25771" xr:uid="{00000000-0005-0000-0000-0000AB640000}"/>
    <cellStyle name="Normal 315 3 2" xfId="25772" xr:uid="{00000000-0005-0000-0000-0000AC640000}"/>
    <cellStyle name="Normal 315 3 2 2" xfId="25773" xr:uid="{00000000-0005-0000-0000-0000AD640000}"/>
    <cellStyle name="Normal 315 3 2 2 2" xfId="25774" xr:uid="{00000000-0005-0000-0000-0000AE640000}"/>
    <cellStyle name="Normal 315 3 2 3" xfId="25775" xr:uid="{00000000-0005-0000-0000-0000AF640000}"/>
    <cellStyle name="Normal 315 3 2 3 2" xfId="25776" xr:uid="{00000000-0005-0000-0000-0000B0640000}"/>
    <cellStyle name="Normal 315 3 2 3 2 2" xfId="25777" xr:uid="{00000000-0005-0000-0000-0000B1640000}"/>
    <cellStyle name="Normal 315 3 2 3 3" xfId="25778" xr:uid="{00000000-0005-0000-0000-0000B2640000}"/>
    <cellStyle name="Normal 315 3 2 4" xfId="25779" xr:uid="{00000000-0005-0000-0000-0000B3640000}"/>
    <cellStyle name="Normal 315 3 3" xfId="25780" xr:uid="{00000000-0005-0000-0000-0000B4640000}"/>
    <cellStyle name="Normal 315 3 3 2" xfId="25781" xr:uid="{00000000-0005-0000-0000-0000B5640000}"/>
    <cellStyle name="Normal 315 3 3 2 2" xfId="25782" xr:uid="{00000000-0005-0000-0000-0000B6640000}"/>
    <cellStyle name="Normal 315 3 3 3" xfId="25783" xr:uid="{00000000-0005-0000-0000-0000B7640000}"/>
    <cellStyle name="Normal 315 3 4" xfId="25784" xr:uid="{00000000-0005-0000-0000-0000B8640000}"/>
    <cellStyle name="Normal 315 3 4 2" xfId="25785" xr:uid="{00000000-0005-0000-0000-0000B9640000}"/>
    <cellStyle name="Normal 315 3 4 2 2" xfId="25786" xr:uid="{00000000-0005-0000-0000-0000BA640000}"/>
    <cellStyle name="Normal 315 3 4 3" xfId="25787" xr:uid="{00000000-0005-0000-0000-0000BB640000}"/>
    <cellStyle name="Normal 315 3 5" xfId="25788" xr:uid="{00000000-0005-0000-0000-0000BC640000}"/>
    <cellStyle name="Normal 315 3 5 2" xfId="25789" xr:uid="{00000000-0005-0000-0000-0000BD640000}"/>
    <cellStyle name="Normal 315 3 5 2 2" xfId="25790" xr:uid="{00000000-0005-0000-0000-0000BE640000}"/>
    <cellStyle name="Normal 315 3 5 3" xfId="25791" xr:uid="{00000000-0005-0000-0000-0000BF640000}"/>
    <cellStyle name="Normal 315 3 6" xfId="25792" xr:uid="{00000000-0005-0000-0000-0000C0640000}"/>
    <cellStyle name="Normal 315 4" xfId="25793" xr:uid="{00000000-0005-0000-0000-0000C1640000}"/>
    <cellStyle name="Normal 315 4 2" xfId="25794" xr:uid="{00000000-0005-0000-0000-0000C2640000}"/>
    <cellStyle name="Normal 315 4 2 2" xfId="25795" xr:uid="{00000000-0005-0000-0000-0000C3640000}"/>
    <cellStyle name="Normal 315 4 3" xfId="25796" xr:uid="{00000000-0005-0000-0000-0000C4640000}"/>
    <cellStyle name="Normal 315 5" xfId="25797" xr:uid="{00000000-0005-0000-0000-0000C5640000}"/>
    <cellStyle name="Normal 315 5 2" xfId="25798" xr:uid="{00000000-0005-0000-0000-0000C6640000}"/>
    <cellStyle name="Normal 315 5 2 2" xfId="25799" xr:uid="{00000000-0005-0000-0000-0000C7640000}"/>
    <cellStyle name="Normal 315 5 3" xfId="25800" xr:uid="{00000000-0005-0000-0000-0000C8640000}"/>
    <cellStyle name="Normal 315 6" xfId="25801" xr:uid="{00000000-0005-0000-0000-0000C9640000}"/>
    <cellStyle name="Normal 315 6 2" xfId="25802" xr:uid="{00000000-0005-0000-0000-0000CA640000}"/>
    <cellStyle name="Normal 315 6 2 2" xfId="25803" xr:uid="{00000000-0005-0000-0000-0000CB640000}"/>
    <cellStyle name="Normal 315 6 3" xfId="25804" xr:uid="{00000000-0005-0000-0000-0000CC640000}"/>
    <cellStyle name="Normal 315 7" xfId="25805" xr:uid="{00000000-0005-0000-0000-0000CD640000}"/>
    <cellStyle name="Normal 316" xfId="25806" xr:uid="{00000000-0005-0000-0000-0000CE640000}"/>
    <cellStyle name="Normal 316 2" xfId="25807" xr:uid="{00000000-0005-0000-0000-0000CF640000}"/>
    <cellStyle name="Normal 316 2 2" xfId="25808" xr:uid="{00000000-0005-0000-0000-0000D0640000}"/>
    <cellStyle name="Normal 316 2 2 2" xfId="25809" xr:uid="{00000000-0005-0000-0000-0000D1640000}"/>
    <cellStyle name="Normal 316 2 3" xfId="25810" xr:uid="{00000000-0005-0000-0000-0000D2640000}"/>
    <cellStyle name="Normal 316 2 3 2" xfId="25811" xr:uid="{00000000-0005-0000-0000-0000D3640000}"/>
    <cellStyle name="Normal 316 2 3 2 2" xfId="25812" xr:uid="{00000000-0005-0000-0000-0000D4640000}"/>
    <cellStyle name="Normal 316 2 3 3" xfId="25813" xr:uid="{00000000-0005-0000-0000-0000D5640000}"/>
    <cellStyle name="Normal 316 2 4" xfId="25814" xr:uid="{00000000-0005-0000-0000-0000D6640000}"/>
    <cellStyle name="Normal 316 2 4 2" xfId="25815" xr:uid="{00000000-0005-0000-0000-0000D7640000}"/>
    <cellStyle name="Normal 316 2 4 2 2" xfId="25816" xr:uid="{00000000-0005-0000-0000-0000D8640000}"/>
    <cellStyle name="Normal 316 2 4 3" xfId="25817" xr:uid="{00000000-0005-0000-0000-0000D9640000}"/>
    <cellStyle name="Normal 316 2 5" xfId="25818" xr:uid="{00000000-0005-0000-0000-0000DA640000}"/>
    <cellStyle name="Normal 316 3" xfId="25819" xr:uid="{00000000-0005-0000-0000-0000DB640000}"/>
    <cellStyle name="Normal 316 3 2" xfId="25820" xr:uid="{00000000-0005-0000-0000-0000DC640000}"/>
    <cellStyle name="Normal 316 3 2 2" xfId="25821" xr:uid="{00000000-0005-0000-0000-0000DD640000}"/>
    <cellStyle name="Normal 316 3 2 2 2" xfId="25822" xr:uid="{00000000-0005-0000-0000-0000DE640000}"/>
    <cellStyle name="Normal 316 3 2 3" xfId="25823" xr:uid="{00000000-0005-0000-0000-0000DF640000}"/>
    <cellStyle name="Normal 316 3 2 3 2" xfId="25824" xr:uid="{00000000-0005-0000-0000-0000E0640000}"/>
    <cellStyle name="Normal 316 3 2 3 2 2" xfId="25825" xr:uid="{00000000-0005-0000-0000-0000E1640000}"/>
    <cellStyle name="Normal 316 3 2 3 3" xfId="25826" xr:uid="{00000000-0005-0000-0000-0000E2640000}"/>
    <cellStyle name="Normal 316 3 2 4" xfId="25827" xr:uid="{00000000-0005-0000-0000-0000E3640000}"/>
    <cellStyle name="Normal 316 3 3" xfId="25828" xr:uid="{00000000-0005-0000-0000-0000E4640000}"/>
    <cellStyle name="Normal 316 3 3 2" xfId="25829" xr:uid="{00000000-0005-0000-0000-0000E5640000}"/>
    <cellStyle name="Normal 316 3 3 2 2" xfId="25830" xr:uid="{00000000-0005-0000-0000-0000E6640000}"/>
    <cellStyle name="Normal 316 3 3 3" xfId="25831" xr:uid="{00000000-0005-0000-0000-0000E7640000}"/>
    <cellStyle name="Normal 316 3 4" xfId="25832" xr:uid="{00000000-0005-0000-0000-0000E8640000}"/>
    <cellStyle name="Normal 316 3 4 2" xfId="25833" xr:uid="{00000000-0005-0000-0000-0000E9640000}"/>
    <cellStyle name="Normal 316 3 4 2 2" xfId="25834" xr:uid="{00000000-0005-0000-0000-0000EA640000}"/>
    <cellStyle name="Normal 316 3 4 3" xfId="25835" xr:uid="{00000000-0005-0000-0000-0000EB640000}"/>
    <cellStyle name="Normal 316 3 5" xfId="25836" xr:uid="{00000000-0005-0000-0000-0000EC640000}"/>
    <cellStyle name="Normal 316 3 5 2" xfId="25837" xr:uid="{00000000-0005-0000-0000-0000ED640000}"/>
    <cellStyle name="Normal 316 3 5 2 2" xfId="25838" xr:uid="{00000000-0005-0000-0000-0000EE640000}"/>
    <cellStyle name="Normal 316 3 5 3" xfId="25839" xr:uid="{00000000-0005-0000-0000-0000EF640000}"/>
    <cellStyle name="Normal 316 3 6" xfId="25840" xr:uid="{00000000-0005-0000-0000-0000F0640000}"/>
    <cellStyle name="Normal 316 4" xfId="25841" xr:uid="{00000000-0005-0000-0000-0000F1640000}"/>
    <cellStyle name="Normal 316 4 2" xfId="25842" xr:uid="{00000000-0005-0000-0000-0000F2640000}"/>
    <cellStyle name="Normal 316 4 2 2" xfId="25843" xr:uid="{00000000-0005-0000-0000-0000F3640000}"/>
    <cellStyle name="Normal 316 4 3" xfId="25844" xr:uid="{00000000-0005-0000-0000-0000F4640000}"/>
    <cellStyle name="Normal 316 5" xfId="25845" xr:uid="{00000000-0005-0000-0000-0000F5640000}"/>
    <cellStyle name="Normal 316 5 2" xfId="25846" xr:uid="{00000000-0005-0000-0000-0000F6640000}"/>
    <cellStyle name="Normal 316 5 2 2" xfId="25847" xr:uid="{00000000-0005-0000-0000-0000F7640000}"/>
    <cellStyle name="Normal 316 5 3" xfId="25848" xr:uid="{00000000-0005-0000-0000-0000F8640000}"/>
    <cellStyle name="Normal 316 6" xfId="25849" xr:uid="{00000000-0005-0000-0000-0000F9640000}"/>
    <cellStyle name="Normal 316 6 2" xfId="25850" xr:uid="{00000000-0005-0000-0000-0000FA640000}"/>
    <cellStyle name="Normal 316 6 2 2" xfId="25851" xr:uid="{00000000-0005-0000-0000-0000FB640000}"/>
    <cellStyle name="Normal 316 6 3" xfId="25852" xr:uid="{00000000-0005-0000-0000-0000FC640000}"/>
    <cellStyle name="Normal 316 7" xfId="25853" xr:uid="{00000000-0005-0000-0000-0000FD640000}"/>
    <cellStyle name="Normal 317" xfId="25854" xr:uid="{00000000-0005-0000-0000-0000FE640000}"/>
    <cellStyle name="Normal 317 2" xfId="25855" xr:uid="{00000000-0005-0000-0000-0000FF640000}"/>
    <cellStyle name="Normal 317 2 2" xfId="25856" xr:uid="{00000000-0005-0000-0000-000000650000}"/>
    <cellStyle name="Normal 317 2 2 2" xfId="25857" xr:uid="{00000000-0005-0000-0000-000001650000}"/>
    <cellStyle name="Normal 317 2 3" xfId="25858" xr:uid="{00000000-0005-0000-0000-000002650000}"/>
    <cellStyle name="Normal 317 2 3 2" xfId="25859" xr:uid="{00000000-0005-0000-0000-000003650000}"/>
    <cellStyle name="Normal 317 2 3 2 2" xfId="25860" xr:uid="{00000000-0005-0000-0000-000004650000}"/>
    <cellStyle name="Normal 317 2 3 3" xfId="25861" xr:uid="{00000000-0005-0000-0000-000005650000}"/>
    <cellStyle name="Normal 317 2 4" xfId="25862" xr:uid="{00000000-0005-0000-0000-000006650000}"/>
    <cellStyle name="Normal 317 2 4 2" xfId="25863" xr:uid="{00000000-0005-0000-0000-000007650000}"/>
    <cellStyle name="Normal 317 2 4 2 2" xfId="25864" xr:uid="{00000000-0005-0000-0000-000008650000}"/>
    <cellStyle name="Normal 317 2 4 3" xfId="25865" xr:uid="{00000000-0005-0000-0000-000009650000}"/>
    <cellStyle name="Normal 317 2 5" xfId="25866" xr:uid="{00000000-0005-0000-0000-00000A650000}"/>
    <cellStyle name="Normal 317 3" xfId="25867" xr:uid="{00000000-0005-0000-0000-00000B650000}"/>
    <cellStyle name="Normal 317 3 2" xfId="25868" xr:uid="{00000000-0005-0000-0000-00000C650000}"/>
    <cellStyle name="Normal 317 3 2 2" xfId="25869" xr:uid="{00000000-0005-0000-0000-00000D650000}"/>
    <cellStyle name="Normal 317 3 2 2 2" xfId="25870" xr:uid="{00000000-0005-0000-0000-00000E650000}"/>
    <cellStyle name="Normal 317 3 2 3" xfId="25871" xr:uid="{00000000-0005-0000-0000-00000F650000}"/>
    <cellStyle name="Normal 317 3 2 3 2" xfId="25872" xr:uid="{00000000-0005-0000-0000-000010650000}"/>
    <cellStyle name="Normal 317 3 2 3 2 2" xfId="25873" xr:uid="{00000000-0005-0000-0000-000011650000}"/>
    <cellStyle name="Normal 317 3 2 3 3" xfId="25874" xr:uid="{00000000-0005-0000-0000-000012650000}"/>
    <cellStyle name="Normal 317 3 2 4" xfId="25875" xr:uid="{00000000-0005-0000-0000-000013650000}"/>
    <cellStyle name="Normal 317 3 3" xfId="25876" xr:uid="{00000000-0005-0000-0000-000014650000}"/>
    <cellStyle name="Normal 317 3 3 2" xfId="25877" xr:uid="{00000000-0005-0000-0000-000015650000}"/>
    <cellStyle name="Normal 317 3 3 2 2" xfId="25878" xr:uid="{00000000-0005-0000-0000-000016650000}"/>
    <cellStyle name="Normal 317 3 3 3" xfId="25879" xr:uid="{00000000-0005-0000-0000-000017650000}"/>
    <cellStyle name="Normal 317 3 4" xfId="25880" xr:uid="{00000000-0005-0000-0000-000018650000}"/>
    <cellStyle name="Normal 317 3 4 2" xfId="25881" xr:uid="{00000000-0005-0000-0000-000019650000}"/>
    <cellStyle name="Normal 317 3 4 2 2" xfId="25882" xr:uid="{00000000-0005-0000-0000-00001A650000}"/>
    <cellStyle name="Normal 317 3 4 3" xfId="25883" xr:uid="{00000000-0005-0000-0000-00001B650000}"/>
    <cellStyle name="Normal 317 3 5" xfId="25884" xr:uid="{00000000-0005-0000-0000-00001C650000}"/>
    <cellStyle name="Normal 317 3 5 2" xfId="25885" xr:uid="{00000000-0005-0000-0000-00001D650000}"/>
    <cellStyle name="Normal 317 3 5 2 2" xfId="25886" xr:uid="{00000000-0005-0000-0000-00001E650000}"/>
    <cellStyle name="Normal 317 3 5 3" xfId="25887" xr:uid="{00000000-0005-0000-0000-00001F650000}"/>
    <cellStyle name="Normal 317 3 6" xfId="25888" xr:uid="{00000000-0005-0000-0000-000020650000}"/>
    <cellStyle name="Normal 317 4" xfId="25889" xr:uid="{00000000-0005-0000-0000-000021650000}"/>
    <cellStyle name="Normal 317 4 2" xfId="25890" xr:uid="{00000000-0005-0000-0000-000022650000}"/>
    <cellStyle name="Normal 317 4 2 2" xfId="25891" xr:uid="{00000000-0005-0000-0000-000023650000}"/>
    <cellStyle name="Normal 317 4 3" xfId="25892" xr:uid="{00000000-0005-0000-0000-000024650000}"/>
    <cellStyle name="Normal 317 5" xfId="25893" xr:uid="{00000000-0005-0000-0000-000025650000}"/>
    <cellStyle name="Normal 317 5 2" xfId="25894" xr:uid="{00000000-0005-0000-0000-000026650000}"/>
    <cellStyle name="Normal 317 5 2 2" xfId="25895" xr:uid="{00000000-0005-0000-0000-000027650000}"/>
    <cellStyle name="Normal 317 5 3" xfId="25896" xr:uid="{00000000-0005-0000-0000-000028650000}"/>
    <cellStyle name="Normal 317 6" xfId="25897" xr:uid="{00000000-0005-0000-0000-000029650000}"/>
    <cellStyle name="Normal 317 6 2" xfId="25898" xr:uid="{00000000-0005-0000-0000-00002A650000}"/>
    <cellStyle name="Normal 317 6 2 2" xfId="25899" xr:uid="{00000000-0005-0000-0000-00002B650000}"/>
    <cellStyle name="Normal 317 6 3" xfId="25900" xr:uid="{00000000-0005-0000-0000-00002C650000}"/>
    <cellStyle name="Normal 317 7" xfId="25901" xr:uid="{00000000-0005-0000-0000-00002D650000}"/>
    <cellStyle name="Normal 318" xfId="25902" xr:uid="{00000000-0005-0000-0000-00002E650000}"/>
    <cellStyle name="Normal 318 2" xfId="25903" xr:uid="{00000000-0005-0000-0000-00002F650000}"/>
    <cellStyle name="Normal 318 2 2" xfId="25904" xr:uid="{00000000-0005-0000-0000-000030650000}"/>
    <cellStyle name="Normal 318 2 2 2" xfId="25905" xr:uid="{00000000-0005-0000-0000-000031650000}"/>
    <cellStyle name="Normal 318 2 3" xfId="25906" xr:uid="{00000000-0005-0000-0000-000032650000}"/>
    <cellStyle name="Normal 318 2 3 2" xfId="25907" xr:uid="{00000000-0005-0000-0000-000033650000}"/>
    <cellStyle name="Normal 318 2 3 2 2" xfId="25908" xr:uid="{00000000-0005-0000-0000-000034650000}"/>
    <cellStyle name="Normal 318 2 3 3" xfId="25909" xr:uid="{00000000-0005-0000-0000-000035650000}"/>
    <cellStyle name="Normal 318 2 4" xfId="25910" xr:uid="{00000000-0005-0000-0000-000036650000}"/>
    <cellStyle name="Normal 318 2 4 2" xfId="25911" xr:uid="{00000000-0005-0000-0000-000037650000}"/>
    <cellStyle name="Normal 318 2 4 2 2" xfId="25912" xr:uid="{00000000-0005-0000-0000-000038650000}"/>
    <cellStyle name="Normal 318 2 4 3" xfId="25913" xr:uid="{00000000-0005-0000-0000-000039650000}"/>
    <cellStyle name="Normal 318 2 5" xfId="25914" xr:uid="{00000000-0005-0000-0000-00003A650000}"/>
    <cellStyle name="Normal 318 3" xfId="25915" xr:uid="{00000000-0005-0000-0000-00003B650000}"/>
    <cellStyle name="Normal 318 3 2" xfId="25916" xr:uid="{00000000-0005-0000-0000-00003C650000}"/>
    <cellStyle name="Normal 318 3 2 2" xfId="25917" xr:uid="{00000000-0005-0000-0000-00003D650000}"/>
    <cellStyle name="Normal 318 3 2 2 2" xfId="25918" xr:uid="{00000000-0005-0000-0000-00003E650000}"/>
    <cellStyle name="Normal 318 3 2 3" xfId="25919" xr:uid="{00000000-0005-0000-0000-00003F650000}"/>
    <cellStyle name="Normal 318 3 2 3 2" xfId="25920" xr:uid="{00000000-0005-0000-0000-000040650000}"/>
    <cellStyle name="Normal 318 3 2 3 2 2" xfId="25921" xr:uid="{00000000-0005-0000-0000-000041650000}"/>
    <cellStyle name="Normal 318 3 2 3 3" xfId="25922" xr:uid="{00000000-0005-0000-0000-000042650000}"/>
    <cellStyle name="Normal 318 3 2 4" xfId="25923" xr:uid="{00000000-0005-0000-0000-000043650000}"/>
    <cellStyle name="Normal 318 3 3" xfId="25924" xr:uid="{00000000-0005-0000-0000-000044650000}"/>
    <cellStyle name="Normal 318 3 3 2" xfId="25925" xr:uid="{00000000-0005-0000-0000-000045650000}"/>
    <cellStyle name="Normal 318 3 3 2 2" xfId="25926" xr:uid="{00000000-0005-0000-0000-000046650000}"/>
    <cellStyle name="Normal 318 3 3 3" xfId="25927" xr:uid="{00000000-0005-0000-0000-000047650000}"/>
    <cellStyle name="Normal 318 3 4" xfId="25928" xr:uid="{00000000-0005-0000-0000-000048650000}"/>
    <cellStyle name="Normal 318 3 4 2" xfId="25929" xr:uid="{00000000-0005-0000-0000-000049650000}"/>
    <cellStyle name="Normal 318 3 4 2 2" xfId="25930" xr:uid="{00000000-0005-0000-0000-00004A650000}"/>
    <cellStyle name="Normal 318 3 4 3" xfId="25931" xr:uid="{00000000-0005-0000-0000-00004B650000}"/>
    <cellStyle name="Normal 318 3 5" xfId="25932" xr:uid="{00000000-0005-0000-0000-00004C650000}"/>
    <cellStyle name="Normal 318 3 5 2" xfId="25933" xr:uid="{00000000-0005-0000-0000-00004D650000}"/>
    <cellStyle name="Normal 318 3 5 2 2" xfId="25934" xr:uid="{00000000-0005-0000-0000-00004E650000}"/>
    <cellStyle name="Normal 318 3 5 3" xfId="25935" xr:uid="{00000000-0005-0000-0000-00004F650000}"/>
    <cellStyle name="Normal 318 3 6" xfId="25936" xr:uid="{00000000-0005-0000-0000-000050650000}"/>
    <cellStyle name="Normal 318 4" xfId="25937" xr:uid="{00000000-0005-0000-0000-000051650000}"/>
    <cellStyle name="Normal 318 4 2" xfId="25938" xr:uid="{00000000-0005-0000-0000-000052650000}"/>
    <cellStyle name="Normal 318 4 2 2" xfId="25939" xr:uid="{00000000-0005-0000-0000-000053650000}"/>
    <cellStyle name="Normal 318 4 3" xfId="25940" xr:uid="{00000000-0005-0000-0000-000054650000}"/>
    <cellStyle name="Normal 318 5" xfId="25941" xr:uid="{00000000-0005-0000-0000-000055650000}"/>
    <cellStyle name="Normal 318 5 2" xfId="25942" xr:uid="{00000000-0005-0000-0000-000056650000}"/>
    <cellStyle name="Normal 318 5 2 2" xfId="25943" xr:uid="{00000000-0005-0000-0000-000057650000}"/>
    <cellStyle name="Normal 318 5 3" xfId="25944" xr:uid="{00000000-0005-0000-0000-000058650000}"/>
    <cellStyle name="Normal 318 6" xfId="25945" xr:uid="{00000000-0005-0000-0000-000059650000}"/>
    <cellStyle name="Normal 318 6 2" xfId="25946" xr:uid="{00000000-0005-0000-0000-00005A650000}"/>
    <cellStyle name="Normal 318 6 2 2" xfId="25947" xr:uid="{00000000-0005-0000-0000-00005B650000}"/>
    <cellStyle name="Normal 318 6 3" xfId="25948" xr:uid="{00000000-0005-0000-0000-00005C650000}"/>
    <cellStyle name="Normal 318 7" xfId="25949" xr:uid="{00000000-0005-0000-0000-00005D650000}"/>
    <cellStyle name="Normal 319" xfId="25950" xr:uid="{00000000-0005-0000-0000-00005E650000}"/>
    <cellStyle name="Normal 319 2" xfId="25951" xr:uid="{00000000-0005-0000-0000-00005F650000}"/>
    <cellStyle name="Normal 319 2 2" xfId="25952" xr:uid="{00000000-0005-0000-0000-000060650000}"/>
    <cellStyle name="Normal 319 2 2 2" xfId="25953" xr:uid="{00000000-0005-0000-0000-000061650000}"/>
    <cellStyle name="Normal 319 2 3" xfId="25954" xr:uid="{00000000-0005-0000-0000-000062650000}"/>
    <cellStyle name="Normal 319 2 3 2" xfId="25955" xr:uid="{00000000-0005-0000-0000-000063650000}"/>
    <cellStyle name="Normal 319 2 3 2 2" xfId="25956" xr:uid="{00000000-0005-0000-0000-000064650000}"/>
    <cellStyle name="Normal 319 2 3 3" xfId="25957" xr:uid="{00000000-0005-0000-0000-000065650000}"/>
    <cellStyle name="Normal 319 2 4" xfId="25958" xr:uid="{00000000-0005-0000-0000-000066650000}"/>
    <cellStyle name="Normal 319 2 4 2" xfId="25959" xr:uid="{00000000-0005-0000-0000-000067650000}"/>
    <cellStyle name="Normal 319 2 4 2 2" xfId="25960" xr:uid="{00000000-0005-0000-0000-000068650000}"/>
    <cellStyle name="Normal 319 2 4 3" xfId="25961" xr:uid="{00000000-0005-0000-0000-000069650000}"/>
    <cellStyle name="Normal 319 2 5" xfId="25962" xr:uid="{00000000-0005-0000-0000-00006A650000}"/>
    <cellStyle name="Normal 319 3" xfId="25963" xr:uid="{00000000-0005-0000-0000-00006B650000}"/>
    <cellStyle name="Normal 319 3 2" xfId="25964" xr:uid="{00000000-0005-0000-0000-00006C650000}"/>
    <cellStyle name="Normal 319 3 2 2" xfId="25965" xr:uid="{00000000-0005-0000-0000-00006D650000}"/>
    <cellStyle name="Normal 319 3 2 2 2" xfId="25966" xr:uid="{00000000-0005-0000-0000-00006E650000}"/>
    <cellStyle name="Normal 319 3 2 3" xfId="25967" xr:uid="{00000000-0005-0000-0000-00006F650000}"/>
    <cellStyle name="Normal 319 3 2 3 2" xfId="25968" xr:uid="{00000000-0005-0000-0000-000070650000}"/>
    <cellStyle name="Normal 319 3 2 3 2 2" xfId="25969" xr:uid="{00000000-0005-0000-0000-000071650000}"/>
    <cellStyle name="Normal 319 3 2 3 3" xfId="25970" xr:uid="{00000000-0005-0000-0000-000072650000}"/>
    <cellStyle name="Normal 319 3 2 4" xfId="25971" xr:uid="{00000000-0005-0000-0000-000073650000}"/>
    <cellStyle name="Normal 319 3 3" xfId="25972" xr:uid="{00000000-0005-0000-0000-000074650000}"/>
    <cellStyle name="Normal 319 3 3 2" xfId="25973" xr:uid="{00000000-0005-0000-0000-000075650000}"/>
    <cellStyle name="Normal 319 3 3 2 2" xfId="25974" xr:uid="{00000000-0005-0000-0000-000076650000}"/>
    <cellStyle name="Normal 319 3 3 3" xfId="25975" xr:uid="{00000000-0005-0000-0000-000077650000}"/>
    <cellStyle name="Normal 319 3 4" xfId="25976" xr:uid="{00000000-0005-0000-0000-000078650000}"/>
    <cellStyle name="Normal 319 3 4 2" xfId="25977" xr:uid="{00000000-0005-0000-0000-000079650000}"/>
    <cellStyle name="Normal 319 3 4 2 2" xfId="25978" xr:uid="{00000000-0005-0000-0000-00007A650000}"/>
    <cellStyle name="Normal 319 3 4 3" xfId="25979" xr:uid="{00000000-0005-0000-0000-00007B650000}"/>
    <cellStyle name="Normal 319 3 5" xfId="25980" xr:uid="{00000000-0005-0000-0000-00007C650000}"/>
    <cellStyle name="Normal 319 3 5 2" xfId="25981" xr:uid="{00000000-0005-0000-0000-00007D650000}"/>
    <cellStyle name="Normal 319 3 5 2 2" xfId="25982" xr:uid="{00000000-0005-0000-0000-00007E650000}"/>
    <cellStyle name="Normal 319 3 5 3" xfId="25983" xr:uid="{00000000-0005-0000-0000-00007F650000}"/>
    <cellStyle name="Normal 319 3 6" xfId="25984" xr:uid="{00000000-0005-0000-0000-000080650000}"/>
    <cellStyle name="Normal 319 4" xfId="25985" xr:uid="{00000000-0005-0000-0000-000081650000}"/>
    <cellStyle name="Normal 319 4 2" xfId="25986" xr:uid="{00000000-0005-0000-0000-000082650000}"/>
    <cellStyle name="Normal 319 4 2 2" xfId="25987" xr:uid="{00000000-0005-0000-0000-000083650000}"/>
    <cellStyle name="Normal 319 4 3" xfId="25988" xr:uid="{00000000-0005-0000-0000-000084650000}"/>
    <cellStyle name="Normal 319 5" xfId="25989" xr:uid="{00000000-0005-0000-0000-000085650000}"/>
    <cellStyle name="Normal 319 5 2" xfId="25990" xr:uid="{00000000-0005-0000-0000-000086650000}"/>
    <cellStyle name="Normal 319 5 2 2" xfId="25991" xr:uid="{00000000-0005-0000-0000-000087650000}"/>
    <cellStyle name="Normal 319 5 3" xfId="25992" xr:uid="{00000000-0005-0000-0000-000088650000}"/>
    <cellStyle name="Normal 319 6" xfId="25993" xr:uid="{00000000-0005-0000-0000-000089650000}"/>
    <cellStyle name="Normal 319 6 2" xfId="25994" xr:uid="{00000000-0005-0000-0000-00008A650000}"/>
    <cellStyle name="Normal 319 6 2 2" xfId="25995" xr:uid="{00000000-0005-0000-0000-00008B650000}"/>
    <cellStyle name="Normal 319 6 3" xfId="25996" xr:uid="{00000000-0005-0000-0000-00008C650000}"/>
    <cellStyle name="Normal 319 7" xfId="25997" xr:uid="{00000000-0005-0000-0000-00008D650000}"/>
    <cellStyle name="Normal 32" xfId="25998" xr:uid="{00000000-0005-0000-0000-00008E650000}"/>
    <cellStyle name="Normal 32 2" xfId="25999" xr:uid="{00000000-0005-0000-0000-00008F650000}"/>
    <cellStyle name="Normal 32 2 2" xfId="26000" xr:uid="{00000000-0005-0000-0000-000090650000}"/>
    <cellStyle name="Normal 32 2 2 2" xfId="26001" xr:uid="{00000000-0005-0000-0000-000091650000}"/>
    <cellStyle name="Normal 32 2 2 2 2" xfId="26002" xr:uid="{00000000-0005-0000-0000-000092650000}"/>
    <cellStyle name="Normal 32 2 2 3" xfId="26003" xr:uid="{00000000-0005-0000-0000-000093650000}"/>
    <cellStyle name="Normal 32 2 2 3 2" xfId="26004" xr:uid="{00000000-0005-0000-0000-000094650000}"/>
    <cellStyle name="Normal 32 2 2 3 2 2" xfId="26005" xr:uid="{00000000-0005-0000-0000-000095650000}"/>
    <cellStyle name="Normal 32 2 2 3 3" xfId="26006" xr:uid="{00000000-0005-0000-0000-000096650000}"/>
    <cellStyle name="Normal 32 2 2 4" xfId="26007" xr:uid="{00000000-0005-0000-0000-000097650000}"/>
    <cellStyle name="Normal 32 2 2 4 2" xfId="26008" xr:uid="{00000000-0005-0000-0000-000098650000}"/>
    <cellStyle name="Normal 32 2 2 4 2 2" xfId="26009" xr:uid="{00000000-0005-0000-0000-000099650000}"/>
    <cellStyle name="Normal 32 2 2 4 3" xfId="26010" xr:uid="{00000000-0005-0000-0000-00009A650000}"/>
    <cellStyle name="Normal 32 2 2 5" xfId="26011" xr:uid="{00000000-0005-0000-0000-00009B650000}"/>
    <cellStyle name="Normal 32 2 3" xfId="26012" xr:uid="{00000000-0005-0000-0000-00009C650000}"/>
    <cellStyle name="Normal 32 2 3 2" xfId="26013" xr:uid="{00000000-0005-0000-0000-00009D650000}"/>
    <cellStyle name="Normal 32 2 3 2 2" xfId="26014" xr:uid="{00000000-0005-0000-0000-00009E650000}"/>
    <cellStyle name="Normal 32 2 3 3" xfId="26015" xr:uid="{00000000-0005-0000-0000-00009F650000}"/>
    <cellStyle name="Normal 32 2 4" xfId="26016" xr:uid="{00000000-0005-0000-0000-0000A0650000}"/>
    <cellStyle name="Normal 32 2 4 2" xfId="26017" xr:uid="{00000000-0005-0000-0000-0000A1650000}"/>
    <cellStyle name="Normal 32 2 4 2 2" xfId="26018" xr:uid="{00000000-0005-0000-0000-0000A2650000}"/>
    <cellStyle name="Normal 32 2 4 3" xfId="26019" xr:uid="{00000000-0005-0000-0000-0000A3650000}"/>
    <cellStyle name="Normal 32 2 5" xfId="26020" xr:uid="{00000000-0005-0000-0000-0000A4650000}"/>
    <cellStyle name="Normal 32 2 5 2" xfId="26021" xr:uid="{00000000-0005-0000-0000-0000A5650000}"/>
    <cellStyle name="Normal 32 2 5 2 2" xfId="26022" xr:uid="{00000000-0005-0000-0000-0000A6650000}"/>
    <cellStyle name="Normal 32 2 5 3" xfId="26023" xr:uid="{00000000-0005-0000-0000-0000A7650000}"/>
    <cellStyle name="Normal 32 2 6" xfId="26024" xr:uid="{00000000-0005-0000-0000-0000A8650000}"/>
    <cellStyle name="Normal 32 3" xfId="26025" xr:uid="{00000000-0005-0000-0000-0000A9650000}"/>
    <cellStyle name="Normal 32 3 2" xfId="26026" xr:uid="{00000000-0005-0000-0000-0000AA650000}"/>
    <cellStyle name="Normal 32 3 2 2" xfId="26027" xr:uid="{00000000-0005-0000-0000-0000AB650000}"/>
    <cellStyle name="Normal 32 3 3" xfId="26028" xr:uid="{00000000-0005-0000-0000-0000AC650000}"/>
    <cellStyle name="Normal 32 3 3 2" xfId="26029" xr:uid="{00000000-0005-0000-0000-0000AD650000}"/>
    <cellStyle name="Normal 32 3 3 2 2" xfId="26030" xr:uid="{00000000-0005-0000-0000-0000AE650000}"/>
    <cellStyle name="Normal 32 3 3 3" xfId="26031" xr:uid="{00000000-0005-0000-0000-0000AF650000}"/>
    <cellStyle name="Normal 32 3 4" xfId="26032" xr:uid="{00000000-0005-0000-0000-0000B0650000}"/>
    <cellStyle name="Normal 32 3 4 2" xfId="26033" xr:uid="{00000000-0005-0000-0000-0000B1650000}"/>
    <cellStyle name="Normal 32 3 4 2 2" xfId="26034" xr:uid="{00000000-0005-0000-0000-0000B2650000}"/>
    <cellStyle name="Normal 32 3 4 3" xfId="26035" xr:uid="{00000000-0005-0000-0000-0000B3650000}"/>
    <cellStyle name="Normal 32 3 5" xfId="26036" xr:uid="{00000000-0005-0000-0000-0000B4650000}"/>
    <cellStyle name="Normal 32 4" xfId="26037" xr:uid="{00000000-0005-0000-0000-0000B5650000}"/>
    <cellStyle name="Normal 32 4 2" xfId="26038" xr:uid="{00000000-0005-0000-0000-0000B6650000}"/>
    <cellStyle name="Normal 32 4 2 2" xfId="26039" xr:uid="{00000000-0005-0000-0000-0000B7650000}"/>
    <cellStyle name="Normal 32 4 3" xfId="26040" xr:uid="{00000000-0005-0000-0000-0000B8650000}"/>
    <cellStyle name="Normal 32 5" xfId="26041" xr:uid="{00000000-0005-0000-0000-0000B9650000}"/>
    <cellStyle name="Normal 32 5 2" xfId="26042" xr:uid="{00000000-0005-0000-0000-0000BA650000}"/>
    <cellStyle name="Normal 32 5 2 2" xfId="26043" xr:uid="{00000000-0005-0000-0000-0000BB650000}"/>
    <cellStyle name="Normal 32 5 3" xfId="26044" xr:uid="{00000000-0005-0000-0000-0000BC650000}"/>
    <cellStyle name="Normal 32 6" xfId="26045" xr:uid="{00000000-0005-0000-0000-0000BD650000}"/>
    <cellStyle name="Normal 32 6 2" xfId="26046" xr:uid="{00000000-0005-0000-0000-0000BE650000}"/>
    <cellStyle name="Normal 32 6 2 2" xfId="26047" xr:uid="{00000000-0005-0000-0000-0000BF650000}"/>
    <cellStyle name="Normal 32 6 3" xfId="26048" xr:uid="{00000000-0005-0000-0000-0000C0650000}"/>
    <cellStyle name="Normal 32 7" xfId="26049" xr:uid="{00000000-0005-0000-0000-0000C1650000}"/>
    <cellStyle name="Normal 320" xfId="26050" xr:uid="{00000000-0005-0000-0000-0000C2650000}"/>
    <cellStyle name="Normal 320 2" xfId="26051" xr:uid="{00000000-0005-0000-0000-0000C3650000}"/>
    <cellStyle name="Normal 320 2 2" xfId="26052" xr:uid="{00000000-0005-0000-0000-0000C4650000}"/>
    <cellStyle name="Normal 320 2 2 2" xfId="26053" xr:uid="{00000000-0005-0000-0000-0000C5650000}"/>
    <cellStyle name="Normal 320 2 3" xfId="26054" xr:uid="{00000000-0005-0000-0000-0000C6650000}"/>
    <cellStyle name="Normal 320 2 3 2" xfId="26055" xr:uid="{00000000-0005-0000-0000-0000C7650000}"/>
    <cellStyle name="Normal 320 2 3 2 2" xfId="26056" xr:uid="{00000000-0005-0000-0000-0000C8650000}"/>
    <cellStyle name="Normal 320 2 3 3" xfId="26057" xr:uid="{00000000-0005-0000-0000-0000C9650000}"/>
    <cellStyle name="Normal 320 2 4" xfId="26058" xr:uid="{00000000-0005-0000-0000-0000CA650000}"/>
    <cellStyle name="Normal 320 2 4 2" xfId="26059" xr:uid="{00000000-0005-0000-0000-0000CB650000}"/>
    <cellStyle name="Normal 320 2 4 2 2" xfId="26060" xr:uid="{00000000-0005-0000-0000-0000CC650000}"/>
    <cellStyle name="Normal 320 2 4 3" xfId="26061" xr:uid="{00000000-0005-0000-0000-0000CD650000}"/>
    <cellStyle name="Normal 320 2 5" xfId="26062" xr:uid="{00000000-0005-0000-0000-0000CE650000}"/>
    <cellStyle name="Normal 320 3" xfId="26063" xr:uid="{00000000-0005-0000-0000-0000CF650000}"/>
    <cellStyle name="Normal 320 3 2" xfId="26064" xr:uid="{00000000-0005-0000-0000-0000D0650000}"/>
    <cellStyle name="Normal 320 3 2 2" xfId="26065" xr:uid="{00000000-0005-0000-0000-0000D1650000}"/>
    <cellStyle name="Normal 320 3 2 2 2" xfId="26066" xr:uid="{00000000-0005-0000-0000-0000D2650000}"/>
    <cellStyle name="Normal 320 3 2 3" xfId="26067" xr:uid="{00000000-0005-0000-0000-0000D3650000}"/>
    <cellStyle name="Normal 320 3 2 3 2" xfId="26068" xr:uid="{00000000-0005-0000-0000-0000D4650000}"/>
    <cellStyle name="Normal 320 3 2 3 2 2" xfId="26069" xr:uid="{00000000-0005-0000-0000-0000D5650000}"/>
    <cellStyle name="Normal 320 3 2 3 3" xfId="26070" xr:uid="{00000000-0005-0000-0000-0000D6650000}"/>
    <cellStyle name="Normal 320 3 2 4" xfId="26071" xr:uid="{00000000-0005-0000-0000-0000D7650000}"/>
    <cellStyle name="Normal 320 3 3" xfId="26072" xr:uid="{00000000-0005-0000-0000-0000D8650000}"/>
    <cellStyle name="Normal 320 3 3 2" xfId="26073" xr:uid="{00000000-0005-0000-0000-0000D9650000}"/>
    <cellStyle name="Normal 320 3 3 2 2" xfId="26074" xr:uid="{00000000-0005-0000-0000-0000DA650000}"/>
    <cellStyle name="Normal 320 3 3 3" xfId="26075" xr:uid="{00000000-0005-0000-0000-0000DB650000}"/>
    <cellStyle name="Normal 320 3 4" xfId="26076" xr:uid="{00000000-0005-0000-0000-0000DC650000}"/>
    <cellStyle name="Normal 320 3 4 2" xfId="26077" xr:uid="{00000000-0005-0000-0000-0000DD650000}"/>
    <cellStyle name="Normal 320 3 4 2 2" xfId="26078" xr:uid="{00000000-0005-0000-0000-0000DE650000}"/>
    <cellStyle name="Normal 320 3 4 3" xfId="26079" xr:uid="{00000000-0005-0000-0000-0000DF650000}"/>
    <cellStyle name="Normal 320 3 5" xfId="26080" xr:uid="{00000000-0005-0000-0000-0000E0650000}"/>
    <cellStyle name="Normal 320 3 5 2" xfId="26081" xr:uid="{00000000-0005-0000-0000-0000E1650000}"/>
    <cellStyle name="Normal 320 3 5 2 2" xfId="26082" xr:uid="{00000000-0005-0000-0000-0000E2650000}"/>
    <cellStyle name="Normal 320 3 5 3" xfId="26083" xr:uid="{00000000-0005-0000-0000-0000E3650000}"/>
    <cellStyle name="Normal 320 3 6" xfId="26084" xr:uid="{00000000-0005-0000-0000-0000E4650000}"/>
    <cellStyle name="Normal 320 4" xfId="26085" xr:uid="{00000000-0005-0000-0000-0000E5650000}"/>
    <cellStyle name="Normal 320 4 2" xfId="26086" xr:uid="{00000000-0005-0000-0000-0000E6650000}"/>
    <cellStyle name="Normal 320 4 2 2" xfId="26087" xr:uid="{00000000-0005-0000-0000-0000E7650000}"/>
    <cellStyle name="Normal 320 4 3" xfId="26088" xr:uid="{00000000-0005-0000-0000-0000E8650000}"/>
    <cellStyle name="Normal 320 5" xfId="26089" xr:uid="{00000000-0005-0000-0000-0000E9650000}"/>
    <cellStyle name="Normal 320 5 2" xfId="26090" xr:uid="{00000000-0005-0000-0000-0000EA650000}"/>
    <cellStyle name="Normal 320 5 2 2" xfId="26091" xr:uid="{00000000-0005-0000-0000-0000EB650000}"/>
    <cellStyle name="Normal 320 5 3" xfId="26092" xr:uid="{00000000-0005-0000-0000-0000EC650000}"/>
    <cellStyle name="Normal 320 6" xfId="26093" xr:uid="{00000000-0005-0000-0000-0000ED650000}"/>
    <cellStyle name="Normal 320 6 2" xfId="26094" xr:uid="{00000000-0005-0000-0000-0000EE650000}"/>
    <cellStyle name="Normal 320 6 2 2" xfId="26095" xr:uid="{00000000-0005-0000-0000-0000EF650000}"/>
    <cellStyle name="Normal 320 6 3" xfId="26096" xr:uid="{00000000-0005-0000-0000-0000F0650000}"/>
    <cellStyle name="Normal 320 7" xfId="26097" xr:uid="{00000000-0005-0000-0000-0000F1650000}"/>
    <cellStyle name="Normal 321" xfId="26098" xr:uid="{00000000-0005-0000-0000-0000F2650000}"/>
    <cellStyle name="Normal 321 2" xfId="26099" xr:uid="{00000000-0005-0000-0000-0000F3650000}"/>
    <cellStyle name="Normal 321 2 2" xfId="26100" xr:uid="{00000000-0005-0000-0000-0000F4650000}"/>
    <cellStyle name="Normal 321 2 2 2" xfId="26101" xr:uid="{00000000-0005-0000-0000-0000F5650000}"/>
    <cellStyle name="Normal 321 2 3" xfId="26102" xr:uid="{00000000-0005-0000-0000-0000F6650000}"/>
    <cellStyle name="Normal 321 2 3 2" xfId="26103" xr:uid="{00000000-0005-0000-0000-0000F7650000}"/>
    <cellStyle name="Normal 321 2 3 2 2" xfId="26104" xr:uid="{00000000-0005-0000-0000-0000F8650000}"/>
    <cellStyle name="Normal 321 2 3 3" xfId="26105" xr:uid="{00000000-0005-0000-0000-0000F9650000}"/>
    <cellStyle name="Normal 321 2 4" xfId="26106" xr:uid="{00000000-0005-0000-0000-0000FA650000}"/>
    <cellStyle name="Normal 321 2 4 2" xfId="26107" xr:uid="{00000000-0005-0000-0000-0000FB650000}"/>
    <cellStyle name="Normal 321 2 4 2 2" xfId="26108" xr:uid="{00000000-0005-0000-0000-0000FC650000}"/>
    <cellStyle name="Normal 321 2 4 3" xfId="26109" xr:uid="{00000000-0005-0000-0000-0000FD650000}"/>
    <cellStyle name="Normal 321 2 5" xfId="26110" xr:uid="{00000000-0005-0000-0000-0000FE650000}"/>
    <cellStyle name="Normal 321 3" xfId="26111" xr:uid="{00000000-0005-0000-0000-0000FF650000}"/>
    <cellStyle name="Normal 321 3 2" xfId="26112" xr:uid="{00000000-0005-0000-0000-000000660000}"/>
    <cellStyle name="Normal 321 3 2 2" xfId="26113" xr:uid="{00000000-0005-0000-0000-000001660000}"/>
    <cellStyle name="Normal 321 3 2 2 2" xfId="26114" xr:uid="{00000000-0005-0000-0000-000002660000}"/>
    <cellStyle name="Normal 321 3 2 3" xfId="26115" xr:uid="{00000000-0005-0000-0000-000003660000}"/>
    <cellStyle name="Normal 321 3 2 3 2" xfId="26116" xr:uid="{00000000-0005-0000-0000-000004660000}"/>
    <cellStyle name="Normal 321 3 2 3 2 2" xfId="26117" xr:uid="{00000000-0005-0000-0000-000005660000}"/>
    <cellStyle name="Normal 321 3 2 3 3" xfId="26118" xr:uid="{00000000-0005-0000-0000-000006660000}"/>
    <cellStyle name="Normal 321 3 2 4" xfId="26119" xr:uid="{00000000-0005-0000-0000-000007660000}"/>
    <cellStyle name="Normal 321 3 3" xfId="26120" xr:uid="{00000000-0005-0000-0000-000008660000}"/>
    <cellStyle name="Normal 321 3 3 2" xfId="26121" xr:uid="{00000000-0005-0000-0000-000009660000}"/>
    <cellStyle name="Normal 321 3 3 2 2" xfId="26122" xr:uid="{00000000-0005-0000-0000-00000A660000}"/>
    <cellStyle name="Normal 321 3 3 3" xfId="26123" xr:uid="{00000000-0005-0000-0000-00000B660000}"/>
    <cellStyle name="Normal 321 3 4" xfId="26124" xr:uid="{00000000-0005-0000-0000-00000C660000}"/>
    <cellStyle name="Normal 321 3 4 2" xfId="26125" xr:uid="{00000000-0005-0000-0000-00000D660000}"/>
    <cellStyle name="Normal 321 3 4 2 2" xfId="26126" xr:uid="{00000000-0005-0000-0000-00000E660000}"/>
    <cellStyle name="Normal 321 3 4 3" xfId="26127" xr:uid="{00000000-0005-0000-0000-00000F660000}"/>
    <cellStyle name="Normal 321 3 5" xfId="26128" xr:uid="{00000000-0005-0000-0000-000010660000}"/>
    <cellStyle name="Normal 321 3 5 2" xfId="26129" xr:uid="{00000000-0005-0000-0000-000011660000}"/>
    <cellStyle name="Normal 321 3 5 2 2" xfId="26130" xr:uid="{00000000-0005-0000-0000-000012660000}"/>
    <cellStyle name="Normal 321 3 5 3" xfId="26131" xr:uid="{00000000-0005-0000-0000-000013660000}"/>
    <cellStyle name="Normal 321 3 6" xfId="26132" xr:uid="{00000000-0005-0000-0000-000014660000}"/>
    <cellStyle name="Normal 321 4" xfId="26133" xr:uid="{00000000-0005-0000-0000-000015660000}"/>
    <cellStyle name="Normal 321 4 2" xfId="26134" xr:uid="{00000000-0005-0000-0000-000016660000}"/>
    <cellStyle name="Normal 321 4 2 2" xfId="26135" xr:uid="{00000000-0005-0000-0000-000017660000}"/>
    <cellStyle name="Normal 321 4 3" xfId="26136" xr:uid="{00000000-0005-0000-0000-000018660000}"/>
    <cellStyle name="Normal 321 5" xfId="26137" xr:uid="{00000000-0005-0000-0000-000019660000}"/>
    <cellStyle name="Normal 321 5 2" xfId="26138" xr:uid="{00000000-0005-0000-0000-00001A660000}"/>
    <cellStyle name="Normal 321 5 2 2" xfId="26139" xr:uid="{00000000-0005-0000-0000-00001B660000}"/>
    <cellStyle name="Normal 321 5 3" xfId="26140" xr:uid="{00000000-0005-0000-0000-00001C660000}"/>
    <cellStyle name="Normal 321 6" xfId="26141" xr:uid="{00000000-0005-0000-0000-00001D660000}"/>
    <cellStyle name="Normal 321 6 2" xfId="26142" xr:uid="{00000000-0005-0000-0000-00001E660000}"/>
    <cellStyle name="Normal 321 6 2 2" xfId="26143" xr:uid="{00000000-0005-0000-0000-00001F660000}"/>
    <cellStyle name="Normal 321 6 3" xfId="26144" xr:uid="{00000000-0005-0000-0000-000020660000}"/>
    <cellStyle name="Normal 321 7" xfId="26145" xr:uid="{00000000-0005-0000-0000-000021660000}"/>
    <cellStyle name="Normal 322" xfId="26146" xr:uid="{00000000-0005-0000-0000-000022660000}"/>
    <cellStyle name="Normal 322 2" xfId="26147" xr:uid="{00000000-0005-0000-0000-000023660000}"/>
    <cellStyle name="Normal 322 2 2" xfId="26148" xr:uid="{00000000-0005-0000-0000-000024660000}"/>
    <cellStyle name="Normal 322 2 2 2" xfId="26149" xr:uid="{00000000-0005-0000-0000-000025660000}"/>
    <cellStyle name="Normal 322 2 3" xfId="26150" xr:uid="{00000000-0005-0000-0000-000026660000}"/>
    <cellStyle name="Normal 322 2 3 2" xfId="26151" xr:uid="{00000000-0005-0000-0000-000027660000}"/>
    <cellStyle name="Normal 322 2 3 2 2" xfId="26152" xr:uid="{00000000-0005-0000-0000-000028660000}"/>
    <cellStyle name="Normal 322 2 3 3" xfId="26153" xr:uid="{00000000-0005-0000-0000-000029660000}"/>
    <cellStyle name="Normal 322 2 4" xfId="26154" xr:uid="{00000000-0005-0000-0000-00002A660000}"/>
    <cellStyle name="Normal 322 2 4 2" xfId="26155" xr:uid="{00000000-0005-0000-0000-00002B660000}"/>
    <cellStyle name="Normal 322 2 4 2 2" xfId="26156" xr:uid="{00000000-0005-0000-0000-00002C660000}"/>
    <cellStyle name="Normal 322 2 4 3" xfId="26157" xr:uid="{00000000-0005-0000-0000-00002D660000}"/>
    <cellStyle name="Normal 322 2 5" xfId="26158" xr:uid="{00000000-0005-0000-0000-00002E660000}"/>
    <cellStyle name="Normal 322 3" xfId="26159" xr:uid="{00000000-0005-0000-0000-00002F660000}"/>
    <cellStyle name="Normal 322 3 2" xfId="26160" xr:uid="{00000000-0005-0000-0000-000030660000}"/>
    <cellStyle name="Normal 322 3 2 2" xfId="26161" xr:uid="{00000000-0005-0000-0000-000031660000}"/>
    <cellStyle name="Normal 322 3 2 2 2" xfId="26162" xr:uid="{00000000-0005-0000-0000-000032660000}"/>
    <cellStyle name="Normal 322 3 2 3" xfId="26163" xr:uid="{00000000-0005-0000-0000-000033660000}"/>
    <cellStyle name="Normal 322 3 2 3 2" xfId="26164" xr:uid="{00000000-0005-0000-0000-000034660000}"/>
    <cellStyle name="Normal 322 3 2 3 2 2" xfId="26165" xr:uid="{00000000-0005-0000-0000-000035660000}"/>
    <cellStyle name="Normal 322 3 2 3 3" xfId="26166" xr:uid="{00000000-0005-0000-0000-000036660000}"/>
    <cellStyle name="Normal 322 3 2 4" xfId="26167" xr:uid="{00000000-0005-0000-0000-000037660000}"/>
    <cellStyle name="Normal 322 3 3" xfId="26168" xr:uid="{00000000-0005-0000-0000-000038660000}"/>
    <cellStyle name="Normal 322 3 3 2" xfId="26169" xr:uid="{00000000-0005-0000-0000-000039660000}"/>
    <cellStyle name="Normal 322 3 3 2 2" xfId="26170" xr:uid="{00000000-0005-0000-0000-00003A660000}"/>
    <cellStyle name="Normal 322 3 3 3" xfId="26171" xr:uid="{00000000-0005-0000-0000-00003B660000}"/>
    <cellStyle name="Normal 322 3 4" xfId="26172" xr:uid="{00000000-0005-0000-0000-00003C660000}"/>
    <cellStyle name="Normal 322 3 4 2" xfId="26173" xr:uid="{00000000-0005-0000-0000-00003D660000}"/>
    <cellStyle name="Normal 322 3 4 2 2" xfId="26174" xr:uid="{00000000-0005-0000-0000-00003E660000}"/>
    <cellStyle name="Normal 322 3 4 3" xfId="26175" xr:uid="{00000000-0005-0000-0000-00003F660000}"/>
    <cellStyle name="Normal 322 3 5" xfId="26176" xr:uid="{00000000-0005-0000-0000-000040660000}"/>
    <cellStyle name="Normal 322 3 5 2" xfId="26177" xr:uid="{00000000-0005-0000-0000-000041660000}"/>
    <cellStyle name="Normal 322 3 5 2 2" xfId="26178" xr:uid="{00000000-0005-0000-0000-000042660000}"/>
    <cellStyle name="Normal 322 3 5 3" xfId="26179" xr:uid="{00000000-0005-0000-0000-000043660000}"/>
    <cellStyle name="Normal 322 3 6" xfId="26180" xr:uid="{00000000-0005-0000-0000-000044660000}"/>
    <cellStyle name="Normal 322 4" xfId="26181" xr:uid="{00000000-0005-0000-0000-000045660000}"/>
    <cellStyle name="Normal 322 4 2" xfId="26182" xr:uid="{00000000-0005-0000-0000-000046660000}"/>
    <cellStyle name="Normal 322 4 2 2" xfId="26183" xr:uid="{00000000-0005-0000-0000-000047660000}"/>
    <cellStyle name="Normal 322 4 3" xfId="26184" xr:uid="{00000000-0005-0000-0000-000048660000}"/>
    <cellStyle name="Normal 322 5" xfId="26185" xr:uid="{00000000-0005-0000-0000-000049660000}"/>
    <cellStyle name="Normal 322 5 2" xfId="26186" xr:uid="{00000000-0005-0000-0000-00004A660000}"/>
    <cellStyle name="Normal 322 5 2 2" xfId="26187" xr:uid="{00000000-0005-0000-0000-00004B660000}"/>
    <cellStyle name="Normal 322 5 3" xfId="26188" xr:uid="{00000000-0005-0000-0000-00004C660000}"/>
    <cellStyle name="Normal 322 6" xfId="26189" xr:uid="{00000000-0005-0000-0000-00004D660000}"/>
    <cellStyle name="Normal 322 6 2" xfId="26190" xr:uid="{00000000-0005-0000-0000-00004E660000}"/>
    <cellStyle name="Normal 322 6 2 2" xfId="26191" xr:uid="{00000000-0005-0000-0000-00004F660000}"/>
    <cellStyle name="Normal 322 6 3" xfId="26192" xr:uid="{00000000-0005-0000-0000-000050660000}"/>
    <cellStyle name="Normal 322 7" xfId="26193" xr:uid="{00000000-0005-0000-0000-000051660000}"/>
    <cellStyle name="Normal 323" xfId="26194" xr:uid="{00000000-0005-0000-0000-000052660000}"/>
    <cellStyle name="Normal 323 2" xfId="26195" xr:uid="{00000000-0005-0000-0000-000053660000}"/>
    <cellStyle name="Normal 323 2 2" xfId="26196" xr:uid="{00000000-0005-0000-0000-000054660000}"/>
    <cellStyle name="Normal 323 2 2 2" xfId="26197" xr:uid="{00000000-0005-0000-0000-000055660000}"/>
    <cellStyle name="Normal 323 2 3" xfId="26198" xr:uid="{00000000-0005-0000-0000-000056660000}"/>
    <cellStyle name="Normal 323 2 3 2" xfId="26199" xr:uid="{00000000-0005-0000-0000-000057660000}"/>
    <cellStyle name="Normal 323 2 3 2 2" xfId="26200" xr:uid="{00000000-0005-0000-0000-000058660000}"/>
    <cellStyle name="Normal 323 2 3 3" xfId="26201" xr:uid="{00000000-0005-0000-0000-000059660000}"/>
    <cellStyle name="Normal 323 2 4" xfId="26202" xr:uid="{00000000-0005-0000-0000-00005A660000}"/>
    <cellStyle name="Normal 323 2 4 2" xfId="26203" xr:uid="{00000000-0005-0000-0000-00005B660000}"/>
    <cellStyle name="Normal 323 2 4 2 2" xfId="26204" xr:uid="{00000000-0005-0000-0000-00005C660000}"/>
    <cellStyle name="Normal 323 2 4 3" xfId="26205" xr:uid="{00000000-0005-0000-0000-00005D660000}"/>
    <cellStyle name="Normal 323 2 5" xfId="26206" xr:uid="{00000000-0005-0000-0000-00005E660000}"/>
    <cellStyle name="Normal 323 3" xfId="26207" xr:uid="{00000000-0005-0000-0000-00005F660000}"/>
    <cellStyle name="Normal 323 3 2" xfId="26208" xr:uid="{00000000-0005-0000-0000-000060660000}"/>
    <cellStyle name="Normal 323 3 2 2" xfId="26209" xr:uid="{00000000-0005-0000-0000-000061660000}"/>
    <cellStyle name="Normal 323 3 2 2 2" xfId="26210" xr:uid="{00000000-0005-0000-0000-000062660000}"/>
    <cellStyle name="Normal 323 3 2 3" xfId="26211" xr:uid="{00000000-0005-0000-0000-000063660000}"/>
    <cellStyle name="Normal 323 3 2 3 2" xfId="26212" xr:uid="{00000000-0005-0000-0000-000064660000}"/>
    <cellStyle name="Normal 323 3 2 3 2 2" xfId="26213" xr:uid="{00000000-0005-0000-0000-000065660000}"/>
    <cellStyle name="Normal 323 3 2 3 3" xfId="26214" xr:uid="{00000000-0005-0000-0000-000066660000}"/>
    <cellStyle name="Normal 323 3 2 4" xfId="26215" xr:uid="{00000000-0005-0000-0000-000067660000}"/>
    <cellStyle name="Normal 323 3 3" xfId="26216" xr:uid="{00000000-0005-0000-0000-000068660000}"/>
    <cellStyle name="Normal 323 3 3 2" xfId="26217" xr:uid="{00000000-0005-0000-0000-000069660000}"/>
    <cellStyle name="Normal 323 3 3 2 2" xfId="26218" xr:uid="{00000000-0005-0000-0000-00006A660000}"/>
    <cellStyle name="Normal 323 3 3 3" xfId="26219" xr:uid="{00000000-0005-0000-0000-00006B660000}"/>
    <cellStyle name="Normal 323 3 4" xfId="26220" xr:uid="{00000000-0005-0000-0000-00006C660000}"/>
    <cellStyle name="Normal 323 3 4 2" xfId="26221" xr:uid="{00000000-0005-0000-0000-00006D660000}"/>
    <cellStyle name="Normal 323 3 4 2 2" xfId="26222" xr:uid="{00000000-0005-0000-0000-00006E660000}"/>
    <cellStyle name="Normal 323 3 4 3" xfId="26223" xr:uid="{00000000-0005-0000-0000-00006F660000}"/>
    <cellStyle name="Normal 323 3 5" xfId="26224" xr:uid="{00000000-0005-0000-0000-000070660000}"/>
    <cellStyle name="Normal 323 3 5 2" xfId="26225" xr:uid="{00000000-0005-0000-0000-000071660000}"/>
    <cellStyle name="Normal 323 3 5 2 2" xfId="26226" xr:uid="{00000000-0005-0000-0000-000072660000}"/>
    <cellStyle name="Normal 323 3 5 3" xfId="26227" xr:uid="{00000000-0005-0000-0000-000073660000}"/>
    <cellStyle name="Normal 323 3 6" xfId="26228" xr:uid="{00000000-0005-0000-0000-000074660000}"/>
    <cellStyle name="Normal 323 4" xfId="26229" xr:uid="{00000000-0005-0000-0000-000075660000}"/>
    <cellStyle name="Normal 323 4 2" xfId="26230" xr:uid="{00000000-0005-0000-0000-000076660000}"/>
    <cellStyle name="Normal 323 4 2 2" xfId="26231" xr:uid="{00000000-0005-0000-0000-000077660000}"/>
    <cellStyle name="Normal 323 4 3" xfId="26232" xr:uid="{00000000-0005-0000-0000-000078660000}"/>
    <cellStyle name="Normal 323 5" xfId="26233" xr:uid="{00000000-0005-0000-0000-000079660000}"/>
    <cellStyle name="Normal 323 5 2" xfId="26234" xr:uid="{00000000-0005-0000-0000-00007A660000}"/>
    <cellStyle name="Normal 323 5 2 2" xfId="26235" xr:uid="{00000000-0005-0000-0000-00007B660000}"/>
    <cellStyle name="Normal 323 5 3" xfId="26236" xr:uid="{00000000-0005-0000-0000-00007C660000}"/>
    <cellStyle name="Normal 323 6" xfId="26237" xr:uid="{00000000-0005-0000-0000-00007D660000}"/>
    <cellStyle name="Normal 323 6 2" xfId="26238" xr:uid="{00000000-0005-0000-0000-00007E660000}"/>
    <cellStyle name="Normal 323 6 2 2" xfId="26239" xr:uid="{00000000-0005-0000-0000-00007F660000}"/>
    <cellStyle name="Normal 323 6 3" xfId="26240" xr:uid="{00000000-0005-0000-0000-000080660000}"/>
    <cellStyle name="Normal 323 7" xfId="26241" xr:uid="{00000000-0005-0000-0000-000081660000}"/>
    <cellStyle name="Normal 324" xfId="26242" xr:uid="{00000000-0005-0000-0000-000082660000}"/>
    <cellStyle name="Normal 324 2" xfId="26243" xr:uid="{00000000-0005-0000-0000-000083660000}"/>
    <cellStyle name="Normal 324 2 2" xfId="26244" xr:uid="{00000000-0005-0000-0000-000084660000}"/>
    <cellStyle name="Normal 324 2 2 2" xfId="26245" xr:uid="{00000000-0005-0000-0000-000085660000}"/>
    <cellStyle name="Normal 324 2 3" xfId="26246" xr:uid="{00000000-0005-0000-0000-000086660000}"/>
    <cellStyle name="Normal 324 2 3 2" xfId="26247" xr:uid="{00000000-0005-0000-0000-000087660000}"/>
    <cellStyle name="Normal 324 2 3 2 2" xfId="26248" xr:uid="{00000000-0005-0000-0000-000088660000}"/>
    <cellStyle name="Normal 324 2 3 3" xfId="26249" xr:uid="{00000000-0005-0000-0000-000089660000}"/>
    <cellStyle name="Normal 324 2 4" xfId="26250" xr:uid="{00000000-0005-0000-0000-00008A660000}"/>
    <cellStyle name="Normal 324 2 4 2" xfId="26251" xr:uid="{00000000-0005-0000-0000-00008B660000}"/>
    <cellStyle name="Normal 324 2 4 2 2" xfId="26252" xr:uid="{00000000-0005-0000-0000-00008C660000}"/>
    <cellStyle name="Normal 324 2 4 3" xfId="26253" xr:uid="{00000000-0005-0000-0000-00008D660000}"/>
    <cellStyle name="Normal 324 2 5" xfId="26254" xr:uid="{00000000-0005-0000-0000-00008E660000}"/>
    <cellStyle name="Normal 324 3" xfId="26255" xr:uid="{00000000-0005-0000-0000-00008F660000}"/>
    <cellStyle name="Normal 324 3 2" xfId="26256" xr:uid="{00000000-0005-0000-0000-000090660000}"/>
    <cellStyle name="Normal 324 3 2 2" xfId="26257" xr:uid="{00000000-0005-0000-0000-000091660000}"/>
    <cellStyle name="Normal 324 3 2 2 2" xfId="26258" xr:uid="{00000000-0005-0000-0000-000092660000}"/>
    <cellStyle name="Normal 324 3 2 3" xfId="26259" xr:uid="{00000000-0005-0000-0000-000093660000}"/>
    <cellStyle name="Normal 324 3 2 3 2" xfId="26260" xr:uid="{00000000-0005-0000-0000-000094660000}"/>
    <cellStyle name="Normal 324 3 2 3 2 2" xfId="26261" xr:uid="{00000000-0005-0000-0000-000095660000}"/>
    <cellStyle name="Normal 324 3 2 3 3" xfId="26262" xr:uid="{00000000-0005-0000-0000-000096660000}"/>
    <cellStyle name="Normal 324 3 2 4" xfId="26263" xr:uid="{00000000-0005-0000-0000-000097660000}"/>
    <cellStyle name="Normal 324 3 3" xfId="26264" xr:uid="{00000000-0005-0000-0000-000098660000}"/>
    <cellStyle name="Normal 324 3 3 2" xfId="26265" xr:uid="{00000000-0005-0000-0000-000099660000}"/>
    <cellStyle name="Normal 324 3 3 2 2" xfId="26266" xr:uid="{00000000-0005-0000-0000-00009A660000}"/>
    <cellStyle name="Normal 324 3 3 3" xfId="26267" xr:uid="{00000000-0005-0000-0000-00009B660000}"/>
    <cellStyle name="Normal 324 3 4" xfId="26268" xr:uid="{00000000-0005-0000-0000-00009C660000}"/>
    <cellStyle name="Normal 324 3 4 2" xfId="26269" xr:uid="{00000000-0005-0000-0000-00009D660000}"/>
    <cellStyle name="Normal 324 3 4 2 2" xfId="26270" xr:uid="{00000000-0005-0000-0000-00009E660000}"/>
    <cellStyle name="Normal 324 3 4 3" xfId="26271" xr:uid="{00000000-0005-0000-0000-00009F660000}"/>
    <cellStyle name="Normal 324 3 5" xfId="26272" xr:uid="{00000000-0005-0000-0000-0000A0660000}"/>
    <cellStyle name="Normal 324 3 5 2" xfId="26273" xr:uid="{00000000-0005-0000-0000-0000A1660000}"/>
    <cellStyle name="Normal 324 3 5 2 2" xfId="26274" xr:uid="{00000000-0005-0000-0000-0000A2660000}"/>
    <cellStyle name="Normal 324 3 5 3" xfId="26275" xr:uid="{00000000-0005-0000-0000-0000A3660000}"/>
    <cellStyle name="Normal 324 3 6" xfId="26276" xr:uid="{00000000-0005-0000-0000-0000A4660000}"/>
    <cellStyle name="Normal 324 4" xfId="26277" xr:uid="{00000000-0005-0000-0000-0000A5660000}"/>
    <cellStyle name="Normal 324 4 2" xfId="26278" xr:uid="{00000000-0005-0000-0000-0000A6660000}"/>
    <cellStyle name="Normal 324 4 2 2" xfId="26279" xr:uid="{00000000-0005-0000-0000-0000A7660000}"/>
    <cellStyle name="Normal 324 4 3" xfId="26280" xr:uid="{00000000-0005-0000-0000-0000A8660000}"/>
    <cellStyle name="Normal 324 5" xfId="26281" xr:uid="{00000000-0005-0000-0000-0000A9660000}"/>
    <cellStyle name="Normal 324 5 2" xfId="26282" xr:uid="{00000000-0005-0000-0000-0000AA660000}"/>
    <cellStyle name="Normal 324 5 2 2" xfId="26283" xr:uid="{00000000-0005-0000-0000-0000AB660000}"/>
    <cellStyle name="Normal 324 5 3" xfId="26284" xr:uid="{00000000-0005-0000-0000-0000AC660000}"/>
    <cellStyle name="Normal 324 6" xfId="26285" xr:uid="{00000000-0005-0000-0000-0000AD660000}"/>
    <cellStyle name="Normal 324 6 2" xfId="26286" xr:uid="{00000000-0005-0000-0000-0000AE660000}"/>
    <cellStyle name="Normal 324 6 2 2" xfId="26287" xr:uid="{00000000-0005-0000-0000-0000AF660000}"/>
    <cellStyle name="Normal 324 6 3" xfId="26288" xr:uid="{00000000-0005-0000-0000-0000B0660000}"/>
    <cellStyle name="Normal 324 7" xfId="26289" xr:uid="{00000000-0005-0000-0000-0000B1660000}"/>
    <cellStyle name="Normal 325" xfId="26290" xr:uid="{00000000-0005-0000-0000-0000B2660000}"/>
    <cellStyle name="Normal 325 2" xfId="26291" xr:uid="{00000000-0005-0000-0000-0000B3660000}"/>
    <cellStyle name="Normal 325 2 2" xfId="26292" xr:uid="{00000000-0005-0000-0000-0000B4660000}"/>
    <cellStyle name="Normal 325 2 2 2" xfId="26293" xr:uid="{00000000-0005-0000-0000-0000B5660000}"/>
    <cellStyle name="Normal 325 2 3" xfId="26294" xr:uid="{00000000-0005-0000-0000-0000B6660000}"/>
    <cellStyle name="Normal 325 2 3 2" xfId="26295" xr:uid="{00000000-0005-0000-0000-0000B7660000}"/>
    <cellStyle name="Normal 325 2 3 2 2" xfId="26296" xr:uid="{00000000-0005-0000-0000-0000B8660000}"/>
    <cellStyle name="Normal 325 2 3 3" xfId="26297" xr:uid="{00000000-0005-0000-0000-0000B9660000}"/>
    <cellStyle name="Normal 325 2 4" xfId="26298" xr:uid="{00000000-0005-0000-0000-0000BA660000}"/>
    <cellStyle name="Normal 325 2 4 2" xfId="26299" xr:uid="{00000000-0005-0000-0000-0000BB660000}"/>
    <cellStyle name="Normal 325 2 4 2 2" xfId="26300" xr:uid="{00000000-0005-0000-0000-0000BC660000}"/>
    <cellStyle name="Normal 325 2 4 3" xfId="26301" xr:uid="{00000000-0005-0000-0000-0000BD660000}"/>
    <cellStyle name="Normal 325 2 5" xfId="26302" xr:uid="{00000000-0005-0000-0000-0000BE660000}"/>
    <cellStyle name="Normal 325 3" xfId="26303" xr:uid="{00000000-0005-0000-0000-0000BF660000}"/>
    <cellStyle name="Normal 325 3 2" xfId="26304" xr:uid="{00000000-0005-0000-0000-0000C0660000}"/>
    <cellStyle name="Normal 325 3 2 2" xfId="26305" xr:uid="{00000000-0005-0000-0000-0000C1660000}"/>
    <cellStyle name="Normal 325 3 2 2 2" xfId="26306" xr:uid="{00000000-0005-0000-0000-0000C2660000}"/>
    <cellStyle name="Normal 325 3 2 3" xfId="26307" xr:uid="{00000000-0005-0000-0000-0000C3660000}"/>
    <cellStyle name="Normal 325 3 2 3 2" xfId="26308" xr:uid="{00000000-0005-0000-0000-0000C4660000}"/>
    <cellStyle name="Normal 325 3 2 3 2 2" xfId="26309" xr:uid="{00000000-0005-0000-0000-0000C5660000}"/>
    <cellStyle name="Normal 325 3 2 3 3" xfId="26310" xr:uid="{00000000-0005-0000-0000-0000C6660000}"/>
    <cellStyle name="Normal 325 3 2 4" xfId="26311" xr:uid="{00000000-0005-0000-0000-0000C7660000}"/>
    <cellStyle name="Normal 325 3 3" xfId="26312" xr:uid="{00000000-0005-0000-0000-0000C8660000}"/>
    <cellStyle name="Normal 325 3 3 2" xfId="26313" xr:uid="{00000000-0005-0000-0000-0000C9660000}"/>
    <cellStyle name="Normal 325 3 3 2 2" xfId="26314" xr:uid="{00000000-0005-0000-0000-0000CA660000}"/>
    <cellStyle name="Normal 325 3 3 3" xfId="26315" xr:uid="{00000000-0005-0000-0000-0000CB660000}"/>
    <cellStyle name="Normal 325 3 4" xfId="26316" xr:uid="{00000000-0005-0000-0000-0000CC660000}"/>
    <cellStyle name="Normal 325 3 4 2" xfId="26317" xr:uid="{00000000-0005-0000-0000-0000CD660000}"/>
    <cellStyle name="Normal 325 3 4 2 2" xfId="26318" xr:uid="{00000000-0005-0000-0000-0000CE660000}"/>
    <cellStyle name="Normal 325 3 4 3" xfId="26319" xr:uid="{00000000-0005-0000-0000-0000CF660000}"/>
    <cellStyle name="Normal 325 3 5" xfId="26320" xr:uid="{00000000-0005-0000-0000-0000D0660000}"/>
    <cellStyle name="Normal 325 3 5 2" xfId="26321" xr:uid="{00000000-0005-0000-0000-0000D1660000}"/>
    <cellStyle name="Normal 325 3 5 2 2" xfId="26322" xr:uid="{00000000-0005-0000-0000-0000D2660000}"/>
    <cellStyle name="Normal 325 3 5 3" xfId="26323" xr:uid="{00000000-0005-0000-0000-0000D3660000}"/>
    <cellStyle name="Normal 325 3 6" xfId="26324" xr:uid="{00000000-0005-0000-0000-0000D4660000}"/>
    <cellStyle name="Normal 325 4" xfId="26325" xr:uid="{00000000-0005-0000-0000-0000D5660000}"/>
    <cellStyle name="Normal 325 4 2" xfId="26326" xr:uid="{00000000-0005-0000-0000-0000D6660000}"/>
    <cellStyle name="Normal 325 4 2 2" xfId="26327" xr:uid="{00000000-0005-0000-0000-0000D7660000}"/>
    <cellStyle name="Normal 325 4 3" xfId="26328" xr:uid="{00000000-0005-0000-0000-0000D8660000}"/>
    <cellStyle name="Normal 325 5" xfId="26329" xr:uid="{00000000-0005-0000-0000-0000D9660000}"/>
    <cellStyle name="Normal 325 5 2" xfId="26330" xr:uid="{00000000-0005-0000-0000-0000DA660000}"/>
    <cellStyle name="Normal 325 5 2 2" xfId="26331" xr:uid="{00000000-0005-0000-0000-0000DB660000}"/>
    <cellStyle name="Normal 325 5 3" xfId="26332" xr:uid="{00000000-0005-0000-0000-0000DC660000}"/>
    <cellStyle name="Normal 325 6" xfId="26333" xr:uid="{00000000-0005-0000-0000-0000DD660000}"/>
    <cellStyle name="Normal 325 6 2" xfId="26334" xr:uid="{00000000-0005-0000-0000-0000DE660000}"/>
    <cellStyle name="Normal 325 6 2 2" xfId="26335" xr:uid="{00000000-0005-0000-0000-0000DF660000}"/>
    <cellStyle name="Normal 325 6 3" xfId="26336" xr:uid="{00000000-0005-0000-0000-0000E0660000}"/>
    <cellStyle name="Normal 325 7" xfId="26337" xr:uid="{00000000-0005-0000-0000-0000E1660000}"/>
    <cellStyle name="Normal 326" xfId="26338" xr:uid="{00000000-0005-0000-0000-0000E2660000}"/>
    <cellStyle name="Normal 326 2" xfId="26339" xr:uid="{00000000-0005-0000-0000-0000E3660000}"/>
    <cellStyle name="Normal 326 2 2" xfId="26340" xr:uid="{00000000-0005-0000-0000-0000E4660000}"/>
    <cellStyle name="Normal 326 2 2 2" xfId="26341" xr:uid="{00000000-0005-0000-0000-0000E5660000}"/>
    <cellStyle name="Normal 326 2 3" xfId="26342" xr:uid="{00000000-0005-0000-0000-0000E6660000}"/>
    <cellStyle name="Normal 326 2 3 2" xfId="26343" xr:uid="{00000000-0005-0000-0000-0000E7660000}"/>
    <cellStyle name="Normal 326 2 3 2 2" xfId="26344" xr:uid="{00000000-0005-0000-0000-0000E8660000}"/>
    <cellStyle name="Normal 326 2 3 3" xfId="26345" xr:uid="{00000000-0005-0000-0000-0000E9660000}"/>
    <cellStyle name="Normal 326 2 4" xfId="26346" xr:uid="{00000000-0005-0000-0000-0000EA660000}"/>
    <cellStyle name="Normal 326 2 4 2" xfId="26347" xr:uid="{00000000-0005-0000-0000-0000EB660000}"/>
    <cellStyle name="Normal 326 2 4 2 2" xfId="26348" xr:uid="{00000000-0005-0000-0000-0000EC660000}"/>
    <cellStyle name="Normal 326 2 4 3" xfId="26349" xr:uid="{00000000-0005-0000-0000-0000ED660000}"/>
    <cellStyle name="Normal 326 2 5" xfId="26350" xr:uid="{00000000-0005-0000-0000-0000EE660000}"/>
    <cellStyle name="Normal 326 3" xfId="26351" xr:uid="{00000000-0005-0000-0000-0000EF660000}"/>
    <cellStyle name="Normal 326 3 2" xfId="26352" xr:uid="{00000000-0005-0000-0000-0000F0660000}"/>
    <cellStyle name="Normal 326 3 2 2" xfId="26353" xr:uid="{00000000-0005-0000-0000-0000F1660000}"/>
    <cellStyle name="Normal 326 3 2 2 2" xfId="26354" xr:uid="{00000000-0005-0000-0000-0000F2660000}"/>
    <cellStyle name="Normal 326 3 2 3" xfId="26355" xr:uid="{00000000-0005-0000-0000-0000F3660000}"/>
    <cellStyle name="Normal 326 3 2 3 2" xfId="26356" xr:uid="{00000000-0005-0000-0000-0000F4660000}"/>
    <cellStyle name="Normal 326 3 2 3 2 2" xfId="26357" xr:uid="{00000000-0005-0000-0000-0000F5660000}"/>
    <cellStyle name="Normal 326 3 2 3 3" xfId="26358" xr:uid="{00000000-0005-0000-0000-0000F6660000}"/>
    <cellStyle name="Normal 326 3 2 4" xfId="26359" xr:uid="{00000000-0005-0000-0000-0000F7660000}"/>
    <cellStyle name="Normal 326 3 3" xfId="26360" xr:uid="{00000000-0005-0000-0000-0000F8660000}"/>
    <cellStyle name="Normal 326 3 3 2" xfId="26361" xr:uid="{00000000-0005-0000-0000-0000F9660000}"/>
    <cellStyle name="Normal 326 3 3 2 2" xfId="26362" xr:uid="{00000000-0005-0000-0000-0000FA660000}"/>
    <cellStyle name="Normal 326 3 3 3" xfId="26363" xr:uid="{00000000-0005-0000-0000-0000FB660000}"/>
    <cellStyle name="Normal 326 3 4" xfId="26364" xr:uid="{00000000-0005-0000-0000-0000FC660000}"/>
    <cellStyle name="Normal 326 3 4 2" xfId="26365" xr:uid="{00000000-0005-0000-0000-0000FD660000}"/>
    <cellStyle name="Normal 326 3 4 2 2" xfId="26366" xr:uid="{00000000-0005-0000-0000-0000FE660000}"/>
    <cellStyle name="Normal 326 3 4 3" xfId="26367" xr:uid="{00000000-0005-0000-0000-0000FF660000}"/>
    <cellStyle name="Normal 326 3 5" xfId="26368" xr:uid="{00000000-0005-0000-0000-000000670000}"/>
    <cellStyle name="Normal 326 3 5 2" xfId="26369" xr:uid="{00000000-0005-0000-0000-000001670000}"/>
    <cellStyle name="Normal 326 3 5 2 2" xfId="26370" xr:uid="{00000000-0005-0000-0000-000002670000}"/>
    <cellStyle name="Normal 326 3 5 3" xfId="26371" xr:uid="{00000000-0005-0000-0000-000003670000}"/>
    <cellStyle name="Normal 326 3 6" xfId="26372" xr:uid="{00000000-0005-0000-0000-000004670000}"/>
    <cellStyle name="Normal 326 4" xfId="26373" xr:uid="{00000000-0005-0000-0000-000005670000}"/>
    <cellStyle name="Normal 326 4 2" xfId="26374" xr:uid="{00000000-0005-0000-0000-000006670000}"/>
    <cellStyle name="Normal 326 4 2 2" xfId="26375" xr:uid="{00000000-0005-0000-0000-000007670000}"/>
    <cellStyle name="Normal 326 4 3" xfId="26376" xr:uid="{00000000-0005-0000-0000-000008670000}"/>
    <cellStyle name="Normal 326 5" xfId="26377" xr:uid="{00000000-0005-0000-0000-000009670000}"/>
    <cellStyle name="Normal 326 5 2" xfId="26378" xr:uid="{00000000-0005-0000-0000-00000A670000}"/>
    <cellStyle name="Normal 326 5 2 2" xfId="26379" xr:uid="{00000000-0005-0000-0000-00000B670000}"/>
    <cellStyle name="Normal 326 5 3" xfId="26380" xr:uid="{00000000-0005-0000-0000-00000C670000}"/>
    <cellStyle name="Normal 326 6" xfId="26381" xr:uid="{00000000-0005-0000-0000-00000D670000}"/>
    <cellStyle name="Normal 326 6 2" xfId="26382" xr:uid="{00000000-0005-0000-0000-00000E670000}"/>
    <cellStyle name="Normal 326 6 2 2" xfId="26383" xr:uid="{00000000-0005-0000-0000-00000F670000}"/>
    <cellStyle name="Normal 326 6 3" xfId="26384" xr:uid="{00000000-0005-0000-0000-000010670000}"/>
    <cellStyle name="Normal 326 7" xfId="26385" xr:uid="{00000000-0005-0000-0000-000011670000}"/>
    <cellStyle name="Normal 327" xfId="26386" xr:uid="{00000000-0005-0000-0000-000012670000}"/>
    <cellStyle name="Normal 327 2" xfId="26387" xr:uid="{00000000-0005-0000-0000-000013670000}"/>
    <cellStyle name="Normal 327 2 2" xfId="26388" xr:uid="{00000000-0005-0000-0000-000014670000}"/>
    <cellStyle name="Normal 327 2 2 2" xfId="26389" xr:uid="{00000000-0005-0000-0000-000015670000}"/>
    <cellStyle name="Normal 327 2 3" xfId="26390" xr:uid="{00000000-0005-0000-0000-000016670000}"/>
    <cellStyle name="Normal 327 2 3 2" xfId="26391" xr:uid="{00000000-0005-0000-0000-000017670000}"/>
    <cellStyle name="Normal 327 2 3 2 2" xfId="26392" xr:uid="{00000000-0005-0000-0000-000018670000}"/>
    <cellStyle name="Normal 327 2 3 3" xfId="26393" xr:uid="{00000000-0005-0000-0000-000019670000}"/>
    <cellStyle name="Normal 327 2 4" xfId="26394" xr:uid="{00000000-0005-0000-0000-00001A670000}"/>
    <cellStyle name="Normal 327 2 4 2" xfId="26395" xr:uid="{00000000-0005-0000-0000-00001B670000}"/>
    <cellStyle name="Normal 327 2 4 2 2" xfId="26396" xr:uid="{00000000-0005-0000-0000-00001C670000}"/>
    <cellStyle name="Normal 327 2 4 3" xfId="26397" xr:uid="{00000000-0005-0000-0000-00001D670000}"/>
    <cellStyle name="Normal 327 2 5" xfId="26398" xr:uid="{00000000-0005-0000-0000-00001E670000}"/>
    <cellStyle name="Normal 327 3" xfId="26399" xr:uid="{00000000-0005-0000-0000-00001F670000}"/>
    <cellStyle name="Normal 327 3 2" xfId="26400" xr:uid="{00000000-0005-0000-0000-000020670000}"/>
    <cellStyle name="Normal 327 3 2 2" xfId="26401" xr:uid="{00000000-0005-0000-0000-000021670000}"/>
    <cellStyle name="Normal 327 3 2 2 2" xfId="26402" xr:uid="{00000000-0005-0000-0000-000022670000}"/>
    <cellStyle name="Normal 327 3 2 3" xfId="26403" xr:uid="{00000000-0005-0000-0000-000023670000}"/>
    <cellStyle name="Normal 327 3 2 3 2" xfId="26404" xr:uid="{00000000-0005-0000-0000-000024670000}"/>
    <cellStyle name="Normal 327 3 2 3 2 2" xfId="26405" xr:uid="{00000000-0005-0000-0000-000025670000}"/>
    <cellStyle name="Normal 327 3 2 3 3" xfId="26406" xr:uid="{00000000-0005-0000-0000-000026670000}"/>
    <cellStyle name="Normal 327 3 2 4" xfId="26407" xr:uid="{00000000-0005-0000-0000-000027670000}"/>
    <cellStyle name="Normal 327 3 3" xfId="26408" xr:uid="{00000000-0005-0000-0000-000028670000}"/>
    <cellStyle name="Normal 327 3 3 2" xfId="26409" xr:uid="{00000000-0005-0000-0000-000029670000}"/>
    <cellStyle name="Normal 327 3 3 2 2" xfId="26410" xr:uid="{00000000-0005-0000-0000-00002A670000}"/>
    <cellStyle name="Normal 327 3 3 3" xfId="26411" xr:uid="{00000000-0005-0000-0000-00002B670000}"/>
    <cellStyle name="Normal 327 3 4" xfId="26412" xr:uid="{00000000-0005-0000-0000-00002C670000}"/>
    <cellStyle name="Normal 327 3 4 2" xfId="26413" xr:uid="{00000000-0005-0000-0000-00002D670000}"/>
    <cellStyle name="Normal 327 3 4 2 2" xfId="26414" xr:uid="{00000000-0005-0000-0000-00002E670000}"/>
    <cellStyle name="Normal 327 3 4 3" xfId="26415" xr:uid="{00000000-0005-0000-0000-00002F670000}"/>
    <cellStyle name="Normal 327 3 5" xfId="26416" xr:uid="{00000000-0005-0000-0000-000030670000}"/>
    <cellStyle name="Normal 327 3 5 2" xfId="26417" xr:uid="{00000000-0005-0000-0000-000031670000}"/>
    <cellStyle name="Normal 327 3 5 2 2" xfId="26418" xr:uid="{00000000-0005-0000-0000-000032670000}"/>
    <cellStyle name="Normal 327 3 5 3" xfId="26419" xr:uid="{00000000-0005-0000-0000-000033670000}"/>
    <cellStyle name="Normal 327 3 6" xfId="26420" xr:uid="{00000000-0005-0000-0000-000034670000}"/>
    <cellStyle name="Normal 327 4" xfId="26421" xr:uid="{00000000-0005-0000-0000-000035670000}"/>
    <cellStyle name="Normal 327 4 2" xfId="26422" xr:uid="{00000000-0005-0000-0000-000036670000}"/>
    <cellStyle name="Normal 327 4 2 2" xfId="26423" xr:uid="{00000000-0005-0000-0000-000037670000}"/>
    <cellStyle name="Normal 327 4 3" xfId="26424" xr:uid="{00000000-0005-0000-0000-000038670000}"/>
    <cellStyle name="Normal 327 5" xfId="26425" xr:uid="{00000000-0005-0000-0000-000039670000}"/>
    <cellStyle name="Normal 327 5 2" xfId="26426" xr:uid="{00000000-0005-0000-0000-00003A670000}"/>
    <cellStyle name="Normal 327 5 2 2" xfId="26427" xr:uid="{00000000-0005-0000-0000-00003B670000}"/>
    <cellStyle name="Normal 327 5 3" xfId="26428" xr:uid="{00000000-0005-0000-0000-00003C670000}"/>
    <cellStyle name="Normal 327 6" xfId="26429" xr:uid="{00000000-0005-0000-0000-00003D670000}"/>
    <cellStyle name="Normal 327 6 2" xfId="26430" xr:uid="{00000000-0005-0000-0000-00003E670000}"/>
    <cellStyle name="Normal 327 6 2 2" xfId="26431" xr:uid="{00000000-0005-0000-0000-00003F670000}"/>
    <cellStyle name="Normal 327 6 3" xfId="26432" xr:uid="{00000000-0005-0000-0000-000040670000}"/>
    <cellStyle name="Normal 327 7" xfId="26433" xr:uid="{00000000-0005-0000-0000-000041670000}"/>
    <cellStyle name="Normal 328" xfId="26434" xr:uid="{00000000-0005-0000-0000-000042670000}"/>
    <cellStyle name="Normal 328 2" xfId="26435" xr:uid="{00000000-0005-0000-0000-000043670000}"/>
    <cellStyle name="Normal 328 2 2" xfId="26436" xr:uid="{00000000-0005-0000-0000-000044670000}"/>
    <cellStyle name="Normal 328 2 2 2" xfId="26437" xr:uid="{00000000-0005-0000-0000-000045670000}"/>
    <cellStyle name="Normal 328 2 3" xfId="26438" xr:uid="{00000000-0005-0000-0000-000046670000}"/>
    <cellStyle name="Normal 328 2 3 2" xfId="26439" xr:uid="{00000000-0005-0000-0000-000047670000}"/>
    <cellStyle name="Normal 328 2 3 2 2" xfId="26440" xr:uid="{00000000-0005-0000-0000-000048670000}"/>
    <cellStyle name="Normal 328 2 3 3" xfId="26441" xr:uid="{00000000-0005-0000-0000-000049670000}"/>
    <cellStyle name="Normal 328 2 4" xfId="26442" xr:uid="{00000000-0005-0000-0000-00004A670000}"/>
    <cellStyle name="Normal 328 2 4 2" xfId="26443" xr:uid="{00000000-0005-0000-0000-00004B670000}"/>
    <cellStyle name="Normal 328 2 4 2 2" xfId="26444" xr:uid="{00000000-0005-0000-0000-00004C670000}"/>
    <cellStyle name="Normal 328 2 4 3" xfId="26445" xr:uid="{00000000-0005-0000-0000-00004D670000}"/>
    <cellStyle name="Normal 328 2 5" xfId="26446" xr:uid="{00000000-0005-0000-0000-00004E670000}"/>
    <cellStyle name="Normal 328 3" xfId="26447" xr:uid="{00000000-0005-0000-0000-00004F670000}"/>
    <cellStyle name="Normal 328 3 2" xfId="26448" xr:uid="{00000000-0005-0000-0000-000050670000}"/>
    <cellStyle name="Normal 328 3 2 2" xfId="26449" xr:uid="{00000000-0005-0000-0000-000051670000}"/>
    <cellStyle name="Normal 328 3 2 2 2" xfId="26450" xr:uid="{00000000-0005-0000-0000-000052670000}"/>
    <cellStyle name="Normal 328 3 2 3" xfId="26451" xr:uid="{00000000-0005-0000-0000-000053670000}"/>
    <cellStyle name="Normal 328 3 2 3 2" xfId="26452" xr:uid="{00000000-0005-0000-0000-000054670000}"/>
    <cellStyle name="Normal 328 3 2 3 2 2" xfId="26453" xr:uid="{00000000-0005-0000-0000-000055670000}"/>
    <cellStyle name="Normal 328 3 2 3 3" xfId="26454" xr:uid="{00000000-0005-0000-0000-000056670000}"/>
    <cellStyle name="Normal 328 3 2 4" xfId="26455" xr:uid="{00000000-0005-0000-0000-000057670000}"/>
    <cellStyle name="Normal 328 3 3" xfId="26456" xr:uid="{00000000-0005-0000-0000-000058670000}"/>
    <cellStyle name="Normal 328 3 3 2" xfId="26457" xr:uid="{00000000-0005-0000-0000-000059670000}"/>
    <cellStyle name="Normal 328 3 3 2 2" xfId="26458" xr:uid="{00000000-0005-0000-0000-00005A670000}"/>
    <cellStyle name="Normal 328 3 3 3" xfId="26459" xr:uid="{00000000-0005-0000-0000-00005B670000}"/>
    <cellStyle name="Normal 328 3 4" xfId="26460" xr:uid="{00000000-0005-0000-0000-00005C670000}"/>
    <cellStyle name="Normal 328 3 4 2" xfId="26461" xr:uid="{00000000-0005-0000-0000-00005D670000}"/>
    <cellStyle name="Normal 328 3 4 2 2" xfId="26462" xr:uid="{00000000-0005-0000-0000-00005E670000}"/>
    <cellStyle name="Normal 328 3 4 3" xfId="26463" xr:uid="{00000000-0005-0000-0000-00005F670000}"/>
    <cellStyle name="Normal 328 3 5" xfId="26464" xr:uid="{00000000-0005-0000-0000-000060670000}"/>
    <cellStyle name="Normal 328 3 5 2" xfId="26465" xr:uid="{00000000-0005-0000-0000-000061670000}"/>
    <cellStyle name="Normal 328 3 5 2 2" xfId="26466" xr:uid="{00000000-0005-0000-0000-000062670000}"/>
    <cellStyle name="Normal 328 3 5 3" xfId="26467" xr:uid="{00000000-0005-0000-0000-000063670000}"/>
    <cellStyle name="Normal 328 3 6" xfId="26468" xr:uid="{00000000-0005-0000-0000-000064670000}"/>
    <cellStyle name="Normal 328 4" xfId="26469" xr:uid="{00000000-0005-0000-0000-000065670000}"/>
    <cellStyle name="Normal 328 4 2" xfId="26470" xr:uid="{00000000-0005-0000-0000-000066670000}"/>
    <cellStyle name="Normal 328 4 2 2" xfId="26471" xr:uid="{00000000-0005-0000-0000-000067670000}"/>
    <cellStyle name="Normal 328 4 3" xfId="26472" xr:uid="{00000000-0005-0000-0000-000068670000}"/>
    <cellStyle name="Normal 328 5" xfId="26473" xr:uid="{00000000-0005-0000-0000-000069670000}"/>
    <cellStyle name="Normal 328 5 2" xfId="26474" xr:uid="{00000000-0005-0000-0000-00006A670000}"/>
    <cellStyle name="Normal 328 5 2 2" xfId="26475" xr:uid="{00000000-0005-0000-0000-00006B670000}"/>
    <cellStyle name="Normal 328 5 3" xfId="26476" xr:uid="{00000000-0005-0000-0000-00006C670000}"/>
    <cellStyle name="Normal 328 6" xfId="26477" xr:uid="{00000000-0005-0000-0000-00006D670000}"/>
    <cellStyle name="Normal 328 6 2" xfId="26478" xr:uid="{00000000-0005-0000-0000-00006E670000}"/>
    <cellStyle name="Normal 328 6 2 2" xfId="26479" xr:uid="{00000000-0005-0000-0000-00006F670000}"/>
    <cellStyle name="Normal 328 6 3" xfId="26480" xr:uid="{00000000-0005-0000-0000-000070670000}"/>
    <cellStyle name="Normal 328 7" xfId="26481" xr:uid="{00000000-0005-0000-0000-000071670000}"/>
    <cellStyle name="Normal 329" xfId="26482" xr:uid="{00000000-0005-0000-0000-000072670000}"/>
    <cellStyle name="Normal 329 2" xfId="26483" xr:uid="{00000000-0005-0000-0000-000073670000}"/>
    <cellStyle name="Normal 329 2 2" xfId="26484" xr:uid="{00000000-0005-0000-0000-000074670000}"/>
    <cellStyle name="Normal 329 2 2 2" xfId="26485" xr:uid="{00000000-0005-0000-0000-000075670000}"/>
    <cellStyle name="Normal 329 2 3" xfId="26486" xr:uid="{00000000-0005-0000-0000-000076670000}"/>
    <cellStyle name="Normal 329 2 3 2" xfId="26487" xr:uid="{00000000-0005-0000-0000-000077670000}"/>
    <cellStyle name="Normal 329 2 3 2 2" xfId="26488" xr:uid="{00000000-0005-0000-0000-000078670000}"/>
    <cellStyle name="Normal 329 2 3 3" xfId="26489" xr:uid="{00000000-0005-0000-0000-000079670000}"/>
    <cellStyle name="Normal 329 2 4" xfId="26490" xr:uid="{00000000-0005-0000-0000-00007A670000}"/>
    <cellStyle name="Normal 329 2 4 2" xfId="26491" xr:uid="{00000000-0005-0000-0000-00007B670000}"/>
    <cellStyle name="Normal 329 2 4 2 2" xfId="26492" xr:uid="{00000000-0005-0000-0000-00007C670000}"/>
    <cellStyle name="Normal 329 2 4 3" xfId="26493" xr:uid="{00000000-0005-0000-0000-00007D670000}"/>
    <cellStyle name="Normal 329 2 5" xfId="26494" xr:uid="{00000000-0005-0000-0000-00007E670000}"/>
    <cellStyle name="Normal 329 3" xfId="26495" xr:uid="{00000000-0005-0000-0000-00007F670000}"/>
    <cellStyle name="Normal 329 3 2" xfId="26496" xr:uid="{00000000-0005-0000-0000-000080670000}"/>
    <cellStyle name="Normal 329 3 2 2" xfId="26497" xr:uid="{00000000-0005-0000-0000-000081670000}"/>
    <cellStyle name="Normal 329 3 2 2 2" xfId="26498" xr:uid="{00000000-0005-0000-0000-000082670000}"/>
    <cellStyle name="Normal 329 3 2 3" xfId="26499" xr:uid="{00000000-0005-0000-0000-000083670000}"/>
    <cellStyle name="Normal 329 3 2 3 2" xfId="26500" xr:uid="{00000000-0005-0000-0000-000084670000}"/>
    <cellStyle name="Normal 329 3 2 3 2 2" xfId="26501" xr:uid="{00000000-0005-0000-0000-000085670000}"/>
    <cellStyle name="Normal 329 3 2 3 3" xfId="26502" xr:uid="{00000000-0005-0000-0000-000086670000}"/>
    <cellStyle name="Normal 329 3 2 4" xfId="26503" xr:uid="{00000000-0005-0000-0000-000087670000}"/>
    <cellStyle name="Normal 329 3 3" xfId="26504" xr:uid="{00000000-0005-0000-0000-000088670000}"/>
    <cellStyle name="Normal 329 3 3 2" xfId="26505" xr:uid="{00000000-0005-0000-0000-000089670000}"/>
    <cellStyle name="Normal 329 3 3 2 2" xfId="26506" xr:uid="{00000000-0005-0000-0000-00008A670000}"/>
    <cellStyle name="Normal 329 3 3 3" xfId="26507" xr:uid="{00000000-0005-0000-0000-00008B670000}"/>
    <cellStyle name="Normal 329 3 4" xfId="26508" xr:uid="{00000000-0005-0000-0000-00008C670000}"/>
    <cellStyle name="Normal 329 3 4 2" xfId="26509" xr:uid="{00000000-0005-0000-0000-00008D670000}"/>
    <cellStyle name="Normal 329 3 4 2 2" xfId="26510" xr:uid="{00000000-0005-0000-0000-00008E670000}"/>
    <cellStyle name="Normal 329 3 4 3" xfId="26511" xr:uid="{00000000-0005-0000-0000-00008F670000}"/>
    <cellStyle name="Normal 329 3 5" xfId="26512" xr:uid="{00000000-0005-0000-0000-000090670000}"/>
    <cellStyle name="Normal 329 3 5 2" xfId="26513" xr:uid="{00000000-0005-0000-0000-000091670000}"/>
    <cellStyle name="Normal 329 3 5 2 2" xfId="26514" xr:uid="{00000000-0005-0000-0000-000092670000}"/>
    <cellStyle name="Normal 329 3 5 3" xfId="26515" xr:uid="{00000000-0005-0000-0000-000093670000}"/>
    <cellStyle name="Normal 329 3 6" xfId="26516" xr:uid="{00000000-0005-0000-0000-000094670000}"/>
    <cellStyle name="Normal 329 4" xfId="26517" xr:uid="{00000000-0005-0000-0000-000095670000}"/>
    <cellStyle name="Normal 329 4 2" xfId="26518" xr:uid="{00000000-0005-0000-0000-000096670000}"/>
    <cellStyle name="Normal 329 4 2 2" xfId="26519" xr:uid="{00000000-0005-0000-0000-000097670000}"/>
    <cellStyle name="Normal 329 4 3" xfId="26520" xr:uid="{00000000-0005-0000-0000-000098670000}"/>
    <cellStyle name="Normal 329 5" xfId="26521" xr:uid="{00000000-0005-0000-0000-000099670000}"/>
    <cellStyle name="Normal 329 5 2" xfId="26522" xr:uid="{00000000-0005-0000-0000-00009A670000}"/>
    <cellStyle name="Normal 329 5 2 2" xfId="26523" xr:uid="{00000000-0005-0000-0000-00009B670000}"/>
    <cellStyle name="Normal 329 5 3" xfId="26524" xr:uid="{00000000-0005-0000-0000-00009C670000}"/>
    <cellStyle name="Normal 329 6" xfId="26525" xr:uid="{00000000-0005-0000-0000-00009D670000}"/>
    <cellStyle name="Normal 329 6 2" xfId="26526" xr:uid="{00000000-0005-0000-0000-00009E670000}"/>
    <cellStyle name="Normal 329 6 2 2" xfId="26527" xr:uid="{00000000-0005-0000-0000-00009F670000}"/>
    <cellStyle name="Normal 329 6 3" xfId="26528" xr:uid="{00000000-0005-0000-0000-0000A0670000}"/>
    <cellStyle name="Normal 329 7" xfId="26529" xr:uid="{00000000-0005-0000-0000-0000A1670000}"/>
    <cellStyle name="Normal 33" xfId="26530" xr:uid="{00000000-0005-0000-0000-0000A2670000}"/>
    <cellStyle name="Normal 33 2" xfId="26531" xr:uid="{00000000-0005-0000-0000-0000A3670000}"/>
    <cellStyle name="Normal 33 2 2" xfId="26532" xr:uid="{00000000-0005-0000-0000-0000A4670000}"/>
    <cellStyle name="Normal 33 2 2 2" xfId="26533" xr:uid="{00000000-0005-0000-0000-0000A5670000}"/>
    <cellStyle name="Normal 33 2 2 2 2" xfId="26534" xr:uid="{00000000-0005-0000-0000-0000A6670000}"/>
    <cellStyle name="Normal 33 2 2 3" xfId="26535" xr:uid="{00000000-0005-0000-0000-0000A7670000}"/>
    <cellStyle name="Normal 33 2 2 3 2" xfId="26536" xr:uid="{00000000-0005-0000-0000-0000A8670000}"/>
    <cellStyle name="Normal 33 2 2 3 2 2" xfId="26537" xr:uid="{00000000-0005-0000-0000-0000A9670000}"/>
    <cellStyle name="Normal 33 2 2 3 3" xfId="26538" xr:uid="{00000000-0005-0000-0000-0000AA670000}"/>
    <cellStyle name="Normal 33 2 2 4" xfId="26539" xr:uid="{00000000-0005-0000-0000-0000AB670000}"/>
    <cellStyle name="Normal 33 2 2 4 2" xfId="26540" xr:uid="{00000000-0005-0000-0000-0000AC670000}"/>
    <cellStyle name="Normal 33 2 2 4 2 2" xfId="26541" xr:uid="{00000000-0005-0000-0000-0000AD670000}"/>
    <cellStyle name="Normal 33 2 2 4 3" xfId="26542" xr:uid="{00000000-0005-0000-0000-0000AE670000}"/>
    <cellStyle name="Normal 33 2 2 5" xfId="26543" xr:uid="{00000000-0005-0000-0000-0000AF670000}"/>
    <cellStyle name="Normal 33 2 3" xfId="26544" xr:uid="{00000000-0005-0000-0000-0000B0670000}"/>
    <cellStyle name="Normal 33 2 3 2" xfId="26545" xr:uid="{00000000-0005-0000-0000-0000B1670000}"/>
    <cellStyle name="Normal 33 2 3 2 2" xfId="26546" xr:uid="{00000000-0005-0000-0000-0000B2670000}"/>
    <cellStyle name="Normal 33 2 3 2 2 2" xfId="26547" xr:uid="{00000000-0005-0000-0000-0000B3670000}"/>
    <cellStyle name="Normal 33 2 3 2 3" xfId="26548" xr:uid="{00000000-0005-0000-0000-0000B4670000}"/>
    <cellStyle name="Normal 33 2 3 2 3 2" xfId="26549" xr:uid="{00000000-0005-0000-0000-0000B5670000}"/>
    <cellStyle name="Normal 33 2 3 2 3 2 2" xfId="26550" xr:uid="{00000000-0005-0000-0000-0000B6670000}"/>
    <cellStyle name="Normal 33 2 3 2 3 3" xfId="26551" xr:uid="{00000000-0005-0000-0000-0000B7670000}"/>
    <cellStyle name="Normal 33 2 3 2 4" xfId="26552" xr:uid="{00000000-0005-0000-0000-0000B8670000}"/>
    <cellStyle name="Normal 33 2 3 3" xfId="26553" xr:uid="{00000000-0005-0000-0000-0000B9670000}"/>
    <cellStyle name="Normal 33 2 3 3 2" xfId="26554" xr:uid="{00000000-0005-0000-0000-0000BA670000}"/>
    <cellStyle name="Normal 33 2 3 3 2 2" xfId="26555" xr:uid="{00000000-0005-0000-0000-0000BB670000}"/>
    <cellStyle name="Normal 33 2 3 3 3" xfId="26556" xr:uid="{00000000-0005-0000-0000-0000BC670000}"/>
    <cellStyle name="Normal 33 2 3 4" xfId="26557" xr:uid="{00000000-0005-0000-0000-0000BD670000}"/>
    <cellStyle name="Normal 33 2 3 4 2" xfId="26558" xr:uid="{00000000-0005-0000-0000-0000BE670000}"/>
    <cellStyle name="Normal 33 2 3 4 2 2" xfId="26559" xr:uid="{00000000-0005-0000-0000-0000BF670000}"/>
    <cellStyle name="Normal 33 2 3 4 3" xfId="26560" xr:uid="{00000000-0005-0000-0000-0000C0670000}"/>
    <cellStyle name="Normal 33 2 3 5" xfId="26561" xr:uid="{00000000-0005-0000-0000-0000C1670000}"/>
    <cellStyle name="Normal 33 2 3 5 2" xfId="26562" xr:uid="{00000000-0005-0000-0000-0000C2670000}"/>
    <cellStyle name="Normal 33 2 3 5 2 2" xfId="26563" xr:uid="{00000000-0005-0000-0000-0000C3670000}"/>
    <cellStyle name="Normal 33 2 3 5 3" xfId="26564" xr:uid="{00000000-0005-0000-0000-0000C4670000}"/>
    <cellStyle name="Normal 33 2 3 6" xfId="26565" xr:uid="{00000000-0005-0000-0000-0000C5670000}"/>
    <cellStyle name="Normal 33 2 4" xfId="26566" xr:uid="{00000000-0005-0000-0000-0000C6670000}"/>
    <cellStyle name="Normal 33 3" xfId="26567" xr:uid="{00000000-0005-0000-0000-0000C7670000}"/>
    <cellStyle name="Normal 33 3 2" xfId="26568" xr:uid="{00000000-0005-0000-0000-0000C8670000}"/>
    <cellStyle name="Normal 33 3 2 2" xfId="26569" xr:uid="{00000000-0005-0000-0000-0000C9670000}"/>
    <cellStyle name="Normal 33 3 2 2 2" xfId="26570" xr:uid="{00000000-0005-0000-0000-0000CA670000}"/>
    <cellStyle name="Normal 33 3 2 3" xfId="26571" xr:uid="{00000000-0005-0000-0000-0000CB670000}"/>
    <cellStyle name="Normal 33 3 2 3 2" xfId="26572" xr:uid="{00000000-0005-0000-0000-0000CC670000}"/>
    <cellStyle name="Normal 33 3 2 3 2 2" xfId="26573" xr:uid="{00000000-0005-0000-0000-0000CD670000}"/>
    <cellStyle name="Normal 33 3 2 3 3" xfId="26574" xr:uid="{00000000-0005-0000-0000-0000CE670000}"/>
    <cellStyle name="Normal 33 3 2 4" xfId="26575" xr:uid="{00000000-0005-0000-0000-0000CF670000}"/>
    <cellStyle name="Normal 33 3 2 4 2" xfId="26576" xr:uid="{00000000-0005-0000-0000-0000D0670000}"/>
    <cellStyle name="Normal 33 3 2 4 2 2" xfId="26577" xr:uid="{00000000-0005-0000-0000-0000D1670000}"/>
    <cellStyle name="Normal 33 3 2 4 3" xfId="26578" xr:uid="{00000000-0005-0000-0000-0000D2670000}"/>
    <cellStyle name="Normal 33 3 2 5" xfId="26579" xr:uid="{00000000-0005-0000-0000-0000D3670000}"/>
    <cellStyle name="Normal 33 3 3" xfId="26580" xr:uid="{00000000-0005-0000-0000-0000D4670000}"/>
    <cellStyle name="Normal 33 3 3 2" xfId="26581" xr:uid="{00000000-0005-0000-0000-0000D5670000}"/>
    <cellStyle name="Normal 33 3 3 2 2" xfId="26582" xr:uid="{00000000-0005-0000-0000-0000D6670000}"/>
    <cellStyle name="Normal 33 3 3 3" xfId="26583" xr:uid="{00000000-0005-0000-0000-0000D7670000}"/>
    <cellStyle name="Normal 33 3 4" xfId="26584" xr:uid="{00000000-0005-0000-0000-0000D8670000}"/>
    <cellStyle name="Normal 33 3 4 2" xfId="26585" xr:uid="{00000000-0005-0000-0000-0000D9670000}"/>
    <cellStyle name="Normal 33 3 4 2 2" xfId="26586" xr:uid="{00000000-0005-0000-0000-0000DA670000}"/>
    <cellStyle name="Normal 33 3 4 3" xfId="26587" xr:uid="{00000000-0005-0000-0000-0000DB670000}"/>
    <cellStyle name="Normal 33 3 5" xfId="26588" xr:uid="{00000000-0005-0000-0000-0000DC670000}"/>
    <cellStyle name="Normal 33 3 5 2" xfId="26589" xr:uid="{00000000-0005-0000-0000-0000DD670000}"/>
    <cellStyle name="Normal 33 3 5 2 2" xfId="26590" xr:uid="{00000000-0005-0000-0000-0000DE670000}"/>
    <cellStyle name="Normal 33 3 5 3" xfId="26591" xr:uid="{00000000-0005-0000-0000-0000DF670000}"/>
    <cellStyle name="Normal 33 3 6" xfId="26592" xr:uid="{00000000-0005-0000-0000-0000E0670000}"/>
    <cellStyle name="Normal 33 4" xfId="26593" xr:uid="{00000000-0005-0000-0000-0000E1670000}"/>
    <cellStyle name="Normal 33 4 2" xfId="26594" xr:uid="{00000000-0005-0000-0000-0000E2670000}"/>
    <cellStyle name="Normal 33 4 2 2" xfId="26595" xr:uid="{00000000-0005-0000-0000-0000E3670000}"/>
    <cellStyle name="Normal 33 4 3" xfId="26596" xr:uid="{00000000-0005-0000-0000-0000E4670000}"/>
    <cellStyle name="Normal 33 4 3 2" xfId="26597" xr:uid="{00000000-0005-0000-0000-0000E5670000}"/>
    <cellStyle name="Normal 33 4 3 2 2" xfId="26598" xr:uid="{00000000-0005-0000-0000-0000E6670000}"/>
    <cellStyle name="Normal 33 4 3 3" xfId="26599" xr:uid="{00000000-0005-0000-0000-0000E7670000}"/>
    <cellStyle name="Normal 33 4 4" xfId="26600" xr:uid="{00000000-0005-0000-0000-0000E8670000}"/>
    <cellStyle name="Normal 33 4 4 2" xfId="26601" xr:uid="{00000000-0005-0000-0000-0000E9670000}"/>
    <cellStyle name="Normal 33 4 4 2 2" xfId="26602" xr:uid="{00000000-0005-0000-0000-0000EA670000}"/>
    <cellStyle name="Normal 33 4 4 3" xfId="26603" xr:uid="{00000000-0005-0000-0000-0000EB670000}"/>
    <cellStyle name="Normal 33 4 5" xfId="26604" xr:uid="{00000000-0005-0000-0000-0000EC670000}"/>
    <cellStyle name="Normal 33 5" xfId="26605" xr:uid="{00000000-0005-0000-0000-0000ED670000}"/>
    <cellStyle name="Normal 33 5 2" xfId="26606" xr:uid="{00000000-0005-0000-0000-0000EE670000}"/>
    <cellStyle name="Normal 33 5 2 2" xfId="26607" xr:uid="{00000000-0005-0000-0000-0000EF670000}"/>
    <cellStyle name="Normal 33 5 3" xfId="26608" xr:uid="{00000000-0005-0000-0000-0000F0670000}"/>
    <cellStyle name="Normal 33 6" xfId="26609" xr:uid="{00000000-0005-0000-0000-0000F1670000}"/>
    <cellStyle name="Normal 330" xfId="26610" xr:uid="{00000000-0005-0000-0000-0000F2670000}"/>
    <cellStyle name="Normal 330 2" xfId="26611" xr:uid="{00000000-0005-0000-0000-0000F3670000}"/>
    <cellStyle name="Normal 330 2 2" xfId="26612" xr:uid="{00000000-0005-0000-0000-0000F4670000}"/>
    <cellStyle name="Normal 330 2 2 2" xfId="26613" xr:uid="{00000000-0005-0000-0000-0000F5670000}"/>
    <cellStyle name="Normal 330 2 3" xfId="26614" xr:uid="{00000000-0005-0000-0000-0000F6670000}"/>
    <cellStyle name="Normal 330 2 3 2" xfId="26615" xr:uid="{00000000-0005-0000-0000-0000F7670000}"/>
    <cellStyle name="Normal 330 2 3 2 2" xfId="26616" xr:uid="{00000000-0005-0000-0000-0000F8670000}"/>
    <cellStyle name="Normal 330 2 3 3" xfId="26617" xr:uid="{00000000-0005-0000-0000-0000F9670000}"/>
    <cellStyle name="Normal 330 2 4" xfId="26618" xr:uid="{00000000-0005-0000-0000-0000FA670000}"/>
    <cellStyle name="Normal 330 2 4 2" xfId="26619" xr:uid="{00000000-0005-0000-0000-0000FB670000}"/>
    <cellStyle name="Normal 330 2 4 2 2" xfId="26620" xr:uid="{00000000-0005-0000-0000-0000FC670000}"/>
    <cellStyle name="Normal 330 2 4 3" xfId="26621" xr:uid="{00000000-0005-0000-0000-0000FD670000}"/>
    <cellStyle name="Normal 330 2 5" xfId="26622" xr:uid="{00000000-0005-0000-0000-0000FE670000}"/>
    <cellStyle name="Normal 330 3" xfId="26623" xr:uid="{00000000-0005-0000-0000-0000FF670000}"/>
    <cellStyle name="Normal 330 3 2" xfId="26624" xr:uid="{00000000-0005-0000-0000-000000680000}"/>
    <cellStyle name="Normal 330 3 2 2" xfId="26625" xr:uid="{00000000-0005-0000-0000-000001680000}"/>
    <cellStyle name="Normal 330 3 2 2 2" xfId="26626" xr:uid="{00000000-0005-0000-0000-000002680000}"/>
    <cellStyle name="Normal 330 3 2 3" xfId="26627" xr:uid="{00000000-0005-0000-0000-000003680000}"/>
    <cellStyle name="Normal 330 3 2 3 2" xfId="26628" xr:uid="{00000000-0005-0000-0000-000004680000}"/>
    <cellStyle name="Normal 330 3 2 3 2 2" xfId="26629" xr:uid="{00000000-0005-0000-0000-000005680000}"/>
    <cellStyle name="Normal 330 3 2 3 3" xfId="26630" xr:uid="{00000000-0005-0000-0000-000006680000}"/>
    <cellStyle name="Normal 330 3 2 4" xfId="26631" xr:uid="{00000000-0005-0000-0000-000007680000}"/>
    <cellStyle name="Normal 330 3 3" xfId="26632" xr:uid="{00000000-0005-0000-0000-000008680000}"/>
    <cellStyle name="Normal 330 3 3 2" xfId="26633" xr:uid="{00000000-0005-0000-0000-000009680000}"/>
    <cellStyle name="Normal 330 3 3 2 2" xfId="26634" xr:uid="{00000000-0005-0000-0000-00000A680000}"/>
    <cellStyle name="Normal 330 3 3 3" xfId="26635" xr:uid="{00000000-0005-0000-0000-00000B680000}"/>
    <cellStyle name="Normal 330 3 4" xfId="26636" xr:uid="{00000000-0005-0000-0000-00000C680000}"/>
    <cellStyle name="Normal 330 3 4 2" xfId="26637" xr:uid="{00000000-0005-0000-0000-00000D680000}"/>
    <cellStyle name="Normal 330 3 4 2 2" xfId="26638" xr:uid="{00000000-0005-0000-0000-00000E680000}"/>
    <cellStyle name="Normal 330 3 4 3" xfId="26639" xr:uid="{00000000-0005-0000-0000-00000F680000}"/>
    <cellStyle name="Normal 330 3 5" xfId="26640" xr:uid="{00000000-0005-0000-0000-000010680000}"/>
    <cellStyle name="Normal 330 3 5 2" xfId="26641" xr:uid="{00000000-0005-0000-0000-000011680000}"/>
    <cellStyle name="Normal 330 3 5 2 2" xfId="26642" xr:uid="{00000000-0005-0000-0000-000012680000}"/>
    <cellStyle name="Normal 330 3 5 3" xfId="26643" xr:uid="{00000000-0005-0000-0000-000013680000}"/>
    <cellStyle name="Normal 330 3 6" xfId="26644" xr:uid="{00000000-0005-0000-0000-000014680000}"/>
    <cellStyle name="Normal 330 4" xfId="26645" xr:uid="{00000000-0005-0000-0000-000015680000}"/>
    <cellStyle name="Normal 330 4 2" xfId="26646" xr:uid="{00000000-0005-0000-0000-000016680000}"/>
    <cellStyle name="Normal 330 4 2 2" xfId="26647" xr:uid="{00000000-0005-0000-0000-000017680000}"/>
    <cellStyle name="Normal 330 4 3" xfId="26648" xr:uid="{00000000-0005-0000-0000-000018680000}"/>
    <cellStyle name="Normal 330 5" xfId="26649" xr:uid="{00000000-0005-0000-0000-000019680000}"/>
    <cellStyle name="Normal 330 5 2" xfId="26650" xr:uid="{00000000-0005-0000-0000-00001A680000}"/>
    <cellStyle name="Normal 330 5 2 2" xfId="26651" xr:uid="{00000000-0005-0000-0000-00001B680000}"/>
    <cellStyle name="Normal 330 5 3" xfId="26652" xr:uid="{00000000-0005-0000-0000-00001C680000}"/>
    <cellStyle name="Normal 330 6" xfId="26653" xr:uid="{00000000-0005-0000-0000-00001D680000}"/>
    <cellStyle name="Normal 330 6 2" xfId="26654" xr:uid="{00000000-0005-0000-0000-00001E680000}"/>
    <cellStyle name="Normal 330 6 2 2" xfId="26655" xr:uid="{00000000-0005-0000-0000-00001F680000}"/>
    <cellStyle name="Normal 330 6 3" xfId="26656" xr:uid="{00000000-0005-0000-0000-000020680000}"/>
    <cellStyle name="Normal 330 7" xfId="26657" xr:uid="{00000000-0005-0000-0000-000021680000}"/>
    <cellStyle name="Normal 331" xfId="26658" xr:uid="{00000000-0005-0000-0000-000022680000}"/>
    <cellStyle name="Normal 331 2" xfId="26659" xr:uid="{00000000-0005-0000-0000-000023680000}"/>
    <cellStyle name="Normal 331 2 2" xfId="26660" xr:uid="{00000000-0005-0000-0000-000024680000}"/>
    <cellStyle name="Normal 331 2 2 2" xfId="26661" xr:uid="{00000000-0005-0000-0000-000025680000}"/>
    <cellStyle name="Normal 331 2 3" xfId="26662" xr:uid="{00000000-0005-0000-0000-000026680000}"/>
    <cellStyle name="Normal 331 2 3 2" xfId="26663" xr:uid="{00000000-0005-0000-0000-000027680000}"/>
    <cellStyle name="Normal 331 2 3 2 2" xfId="26664" xr:uid="{00000000-0005-0000-0000-000028680000}"/>
    <cellStyle name="Normal 331 2 3 3" xfId="26665" xr:uid="{00000000-0005-0000-0000-000029680000}"/>
    <cellStyle name="Normal 331 2 4" xfId="26666" xr:uid="{00000000-0005-0000-0000-00002A680000}"/>
    <cellStyle name="Normal 331 2 4 2" xfId="26667" xr:uid="{00000000-0005-0000-0000-00002B680000}"/>
    <cellStyle name="Normal 331 2 4 2 2" xfId="26668" xr:uid="{00000000-0005-0000-0000-00002C680000}"/>
    <cellStyle name="Normal 331 2 4 3" xfId="26669" xr:uid="{00000000-0005-0000-0000-00002D680000}"/>
    <cellStyle name="Normal 331 2 5" xfId="26670" xr:uid="{00000000-0005-0000-0000-00002E680000}"/>
    <cellStyle name="Normal 331 3" xfId="26671" xr:uid="{00000000-0005-0000-0000-00002F680000}"/>
    <cellStyle name="Normal 331 3 2" xfId="26672" xr:uid="{00000000-0005-0000-0000-000030680000}"/>
    <cellStyle name="Normal 331 3 2 2" xfId="26673" xr:uid="{00000000-0005-0000-0000-000031680000}"/>
    <cellStyle name="Normal 331 3 2 2 2" xfId="26674" xr:uid="{00000000-0005-0000-0000-000032680000}"/>
    <cellStyle name="Normal 331 3 2 3" xfId="26675" xr:uid="{00000000-0005-0000-0000-000033680000}"/>
    <cellStyle name="Normal 331 3 2 3 2" xfId="26676" xr:uid="{00000000-0005-0000-0000-000034680000}"/>
    <cellStyle name="Normal 331 3 2 3 2 2" xfId="26677" xr:uid="{00000000-0005-0000-0000-000035680000}"/>
    <cellStyle name="Normal 331 3 2 3 3" xfId="26678" xr:uid="{00000000-0005-0000-0000-000036680000}"/>
    <cellStyle name="Normal 331 3 2 4" xfId="26679" xr:uid="{00000000-0005-0000-0000-000037680000}"/>
    <cellStyle name="Normal 331 3 3" xfId="26680" xr:uid="{00000000-0005-0000-0000-000038680000}"/>
    <cellStyle name="Normal 331 3 3 2" xfId="26681" xr:uid="{00000000-0005-0000-0000-000039680000}"/>
    <cellStyle name="Normal 331 3 3 2 2" xfId="26682" xr:uid="{00000000-0005-0000-0000-00003A680000}"/>
    <cellStyle name="Normal 331 3 3 3" xfId="26683" xr:uid="{00000000-0005-0000-0000-00003B680000}"/>
    <cellStyle name="Normal 331 3 4" xfId="26684" xr:uid="{00000000-0005-0000-0000-00003C680000}"/>
    <cellStyle name="Normal 331 3 4 2" xfId="26685" xr:uid="{00000000-0005-0000-0000-00003D680000}"/>
    <cellStyle name="Normal 331 3 4 2 2" xfId="26686" xr:uid="{00000000-0005-0000-0000-00003E680000}"/>
    <cellStyle name="Normal 331 3 4 3" xfId="26687" xr:uid="{00000000-0005-0000-0000-00003F680000}"/>
    <cellStyle name="Normal 331 3 5" xfId="26688" xr:uid="{00000000-0005-0000-0000-000040680000}"/>
    <cellStyle name="Normal 331 3 5 2" xfId="26689" xr:uid="{00000000-0005-0000-0000-000041680000}"/>
    <cellStyle name="Normal 331 3 5 2 2" xfId="26690" xr:uid="{00000000-0005-0000-0000-000042680000}"/>
    <cellStyle name="Normal 331 3 5 3" xfId="26691" xr:uid="{00000000-0005-0000-0000-000043680000}"/>
    <cellStyle name="Normal 331 3 6" xfId="26692" xr:uid="{00000000-0005-0000-0000-000044680000}"/>
    <cellStyle name="Normal 331 4" xfId="26693" xr:uid="{00000000-0005-0000-0000-000045680000}"/>
    <cellStyle name="Normal 331 4 2" xfId="26694" xr:uid="{00000000-0005-0000-0000-000046680000}"/>
    <cellStyle name="Normal 331 4 2 2" xfId="26695" xr:uid="{00000000-0005-0000-0000-000047680000}"/>
    <cellStyle name="Normal 331 4 3" xfId="26696" xr:uid="{00000000-0005-0000-0000-000048680000}"/>
    <cellStyle name="Normal 331 5" xfId="26697" xr:uid="{00000000-0005-0000-0000-000049680000}"/>
    <cellStyle name="Normal 331 5 2" xfId="26698" xr:uid="{00000000-0005-0000-0000-00004A680000}"/>
    <cellStyle name="Normal 331 5 2 2" xfId="26699" xr:uid="{00000000-0005-0000-0000-00004B680000}"/>
    <cellStyle name="Normal 331 5 3" xfId="26700" xr:uid="{00000000-0005-0000-0000-00004C680000}"/>
    <cellStyle name="Normal 331 6" xfId="26701" xr:uid="{00000000-0005-0000-0000-00004D680000}"/>
    <cellStyle name="Normal 331 6 2" xfId="26702" xr:uid="{00000000-0005-0000-0000-00004E680000}"/>
    <cellStyle name="Normal 331 6 2 2" xfId="26703" xr:uid="{00000000-0005-0000-0000-00004F680000}"/>
    <cellStyle name="Normal 331 6 3" xfId="26704" xr:uid="{00000000-0005-0000-0000-000050680000}"/>
    <cellStyle name="Normal 331 7" xfId="26705" xr:uid="{00000000-0005-0000-0000-000051680000}"/>
    <cellStyle name="Normal 332" xfId="26706" xr:uid="{00000000-0005-0000-0000-000052680000}"/>
    <cellStyle name="Normal 332 2" xfId="26707" xr:uid="{00000000-0005-0000-0000-000053680000}"/>
    <cellStyle name="Normal 332 2 2" xfId="26708" xr:uid="{00000000-0005-0000-0000-000054680000}"/>
    <cellStyle name="Normal 332 2 2 2" xfId="26709" xr:uid="{00000000-0005-0000-0000-000055680000}"/>
    <cellStyle name="Normal 332 2 3" xfId="26710" xr:uid="{00000000-0005-0000-0000-000056680000}"/>
    <cellStyle name="Normal 332 2 3 2" xfId="26711" xr:uid="{00000000-0005-0000-0000-000057680000}"/>
    <cellStyle name="Normal 332 2 3 2 2" xfId="26712" xr:uid="{00000000-0005-0000-0000-000058680000}"/>
    <cellStyle name="Normal 332 2 3 3" xfId="26713" xr:uid="{00000000-0005-0000-0000-000059680000}"/>
    <cellStyle name="Normal 332 2 4" xfId="26714" xr:uid="{00000000-0005-0000-0000-00005A680000}"/>
    <cellStyle name="Normal 332 2 4 2" xfId="26715" xr:uid="{00000000-0005-0000-0000-00005B680000}"/>
    <cellStyle name="Normal 332 2 4 2 2" xfId="26716" xr:uid="{00000000-0005-0000-0000-00005C680000}"/>
    <cellStyle name="Normal 332 2 4 3" xfId="26717" xr:uid="{00000000-0005-0000-0000-00005D680000}"/>
    <cellStyle name="Normal 332 2 5" xfId="26718" xr:uid="{00000000-0005-0000-0000-00005E680000}"/>
    <cellStyle name="Normal 332 3" xfId="26719" xr:uid="{00000000-0005-0000-0000-00005F680000}"/>
    <cellStyle name="Normal 332 3 2" xfId="26720" xr:uid="{00000000-0005-0000-0000-000060680000}"/>
    <cellStyle name="Normal 332 3 2 2" xfId="26721" xr:uid="{00000000-0005-0000-0000-000061680000}"/>
    <cellStyle name="Normal 332 3 2 2 2" xfId="26722" xr:uid="{00000000-0005-0000-0000-000062680000}"/>
    <cellStyle name="Normal 332 3 2 3" xfId="26723" xr:uid="{00000000-0005-0000-0000-000063680000}"/>
    <cellStyle name="Normal 332 3 2 3 2" xfId="26724" xr:uid="{00000000-0005-0000-0000-000064680000}"/>
    <cellStyle name="Normal 332 3 2 3 2 2" xfId="26725" xr:uid="{00000000-0005-0000-0000-000065680000}"/>
    <cellStyle name="Normal 332 3 2 3 3" xfId="26726" xr:uid="{00000000-0005-0000-0000-000066680000}"/>
    <cellStyle name="Normal 332 3 2 4" xfId="26727" xr:uid="{00000000-0005-0000-0000-000067680000}"/>
    <cellStyle name="Normal 332 3 3" xfId="26728" xr:uid="{00000000-0005-0000-0000-000068680000}"/>
    <cellStyle name="Normal 332 3 3 2" xfId="26729" xr:uid="{00000000-0005-0000-0000-000069680000}"/>
    <cellStyle name="Normal 332 3 3 2 2" xfId="26730" xr:uid="{00000000-0005-0000-0000-00006A680000}"/>
    <cellStyle name="Normal 332 3 3 3" xfId="26731" xr:uid="{00000000-0005-0000-0000-00006B680000}"/>
    <cellStyle name="Normal 332 3 4" xfId="26732" xr:uid="{00000000-0005-0000-0000-00006C680000}"/>
    <cellStyle name="Normal 332 3 4 2" xfId="26733" xr:uid="{00000000-0005-0000-0000-00006D680000}"/>
    <cellStyle name="Normal 332 3 4 2 2" xfId="26734" xr:uid="{00000000-0005-0000-0000-00006E680000}"/>
    <cellStyle name="Normal 332 3 4 3" xfId="26735" xr:uid="{00000000-0005-0000-0000-00006F680000}"/>
    <cellStyle name="Normal 332 3 5" xfId="26736" xr:uid="{00000000-0005-0000-0000-000070680000}"/>
    <cellStyle name="Normal 332 3 5 2" xfId="26737" xr:uid="{00000000-0005-0000-0000-000071680000}"/>
    <cellStyle name="Normal 332 3 5 2 2" xfId="26738" xr:uid="{00000000-0005-0000-0000-000072680000}"/>
    <cellStyle name="Normal 332 3 5 3" xfId="26739" xr:uid="{00000000-0005-0000-0000-000073680000}"/>
    <cellStyle name="Normal 332 3 6" xfId="26740" xr:uid="{00000000-0005-0000-0000-000074680000}"/>
    <cellStyle name="Normal 332 4" xfId="26741" xr:uid="{00000000-0005-0000-0000-000075680000}"/>
    <cellStyle name="Normal 332 4 2" xfId="26742" xr:uid="{00000000-0005-0000-0000-000076680000}"/>
    <cellStyle name="Normal 332 4 2 2" xfId="26743" xr:uid="{00000000-0005-0000-0000-000077680000}"/>
    <cellStyle name="Normal 332 4 3" xfId="26744" xr:uid="{00000000-0005-0000-0000-000078680000}"/>
    <cellStyle name="Normal 332 5" xfId="26745" xr:uid="{00000000-0005-0000-0000-000079680000}"/>
    <cellStyle name="Normal 332 5 2" xfId="26746" xr:uid="{00000000-0005-0000-0000-00007A680000}"/>
    <cellStyle name="Normal 332 5 2 2" xfId="26747" xr:uid="{00000000-0005-0000-0000-00007B680000}"/>
    <cellStyle name="Normal 332 5 3" xfId="26748" xr:uid="{00000000-0005-0000-0000-00007C680000}"/>
    <cellStyle name="Normal 332 6" xfId="26749" xr:uid="{00000000-0005-0000-0000-00007D680000}"/>
    <cellStyle name="Normal 332 6 2" xfId="26750" xr:uid="{00000000-0005-0000-0000-00007E680000}"/>
    <cellStyle name="Normal 332 6 2 2" xfId="26751" xr:uid="{00000000-0005-0000-0000-00007F680000}"/>
    <cellStyle name="Normal 332 6 3" xfId="26752" xr:uid="{00000000-0005-0000-0000-000080680000}"/>
    <cellStyle name="Normal 332 7" xfId="26753" xr:uid="{00000000-0005-0000-0000-000081680000}"/>
    <cellStyle name="Normal 333" xfId="26754" xr:uid="{00000000-0005-0000-0000-000082680000}"/>
    <cellStyle name="Normal 333 2" xfId="26755" xr:uid="{00000000-0005-0000-0000-000083680000}"/>
    <cellStyle name="Normal 333 2 2" xfId="26756" xr:uid="{00000000-0005-0000-0000-000084680000}"/>
    <cellStyle name="Normal 333 2 2 2" xfId="26757" xr:uid="{00000000-0005-0000-0000-000085680000}"/>
    <cellStyle name="Normal 333 2 3" xfId="26758" xr:uid="{00000000-0005-0000-0000-000086680000}"/>
    <cellStyle name="Normal 333 2 3 2" xfId="26759" xr:uid="{00000000-0005-0000-0000-000087680000}"/>
    <cellStyle name="Normal 333 2 3 2 2" xfId="26760" xr:uid="{00000000-0005-0000-0000-000088680000}"/>
    <cellStyle name="Normal 333 2 3 3" xfId="26761" xr:uid="{00000000-0005-0000-0000-000089680000}"/>
    <cellStyle name="Normal 333 2 4" xfId="26762" xr:uid="{00000000-0005-0000-0000-00008A680000}"/>
    <cellStyle name="Normal 333 2 4 2" xfId="26763" xr:uid="{00000000-0005-0000-0000-00008B680000}"/>
    <cellStyle name="Normal 333 2 4 2 2" xfId="26764" xr:uid="{00000000-0005-0000-0000-00008C680000}"/>
    <cellStyle name="Normal 333 2 4 3" xfId="26765" xr:uid="{00000000-0005-0000-0000-00008D680000}"/>
    <cellStyle name="Normal 333 2 5" xfId="26766" xr:uid="{00000000-0005-0000-0000-00008E680000}"/>
    <cellStyle name="Normal 333 3" xfId="26767" xr:uid="{00000000-0005-0000-0000-00008F680000}"/>
    <cellStyle name="Normal 333 3 2" xfId="26768" xr:uid="{00000000-0005-0000-0000-000090680000}"/>
    <cellStyle name="Normal 333 3 2 2" xfId="26769" xr:uid="{00000000-0005-0000-0000-000091680000}"/>
    <cellStyle name="Normal 333 3 2 2 2" xfId="26770" xr:uid="{00000000-0005-0000-0000-000092680000}"/>
    <cellStyle name="Normal 333 3 2 3" xfId="26771" xr:uid="{00000000-0005-0000-0000-000093680000}"/>
    <cellStyle name="Normal 333 3 2 3 2" xfId="26772" xr:uid="{00000000-0005-0000-0000-000094680000}"/>
    <cellStyle name="Normal 333 3 2 3 2 2" xfId="26773" xr:uid="{00000000-0005-0000-0000-000095680000}"/>
    <cellStyle name="Normal 333 3 2 3 3" xfId="26774" xr:uid="{00000000-0005-0000-0000-000096680000}"/>
    <cellStyle name="Normal 333 3 2 4" xfId="26775" xr:uid="{00000000-0005-0000-0000-000097680000}"/>
    <cellStyle name="Normal 333 3 3" xfId="26776" xr:uid="{00000000-0005-0000-0000-000098680000}"/>
    <cellStyle name="Normal 333 3 3 2" xfId="26777" xr:uid="{00000000-0005-0000-0000-000099680000}"/>
    <cellStyle name="Normal 333 3 3 2 2" xfId="26778" xr:uid="{00000000-0005-0000-0000-00009A680000}"/>
    <cellStyle name="Normal 333 3 3 3" xfId="26779" xr:uid="{00000000-0005-0000-0000-00009B680000}"/>
    <cellStyle name="Normal 333 3 4" xfId="26780" xr:uid="{00000000-0005-0000-0000-00009C680000}"/>
    <cellStyle name="Normal 333 3 4 2" xfId="26781" xr:uid="{00000000-0005-0000-0000-00009D680000}"/>
    <cellStyle name="Normal 333 3 4 2 2" xfId="26782" xr:uid="{00000000-0005-0000-0000-00009E680000}"/>
    <cellStyle name="Normal 333 3 4 3" xfId="26783" xr:uid="{00000000-0005-0000-0000-00009F680000}"/>
    <cellStyle name="Normal 333 3 5" xfId="26784" xr:uid="{00000000-0005-0000-0000-0000A0680000}"/>
    <cellStyle name="Normal 333 3 5 2" xfId="26785" xr:uid="{00000000-0005-0000-0000-0000A1680000}"/>
    <cellStyle name="Normal 333 3 5 2 2" xfId="26786" xr:uid="{00000000-0005-0000-0000-0000A2680000}"/>
    <cellStyle name="Normal 333 3 5 3" xfId="26787" xr:uid="{00000000-0005-0000-0000-0000A3680000}"/>
    <cellStyle name="Normal 333 3 6" xfId="26788" xr:uid="{00000000-0005-0000-0000-0000A4680000}"/>
    <cellStyle name="Normal 333 4" xfId="26789" xr:uid="{00000000-0005-0000-0000-0000A5680000}"/>
    <cellStyle name="Normal 333 4 2" xfId="26790" xr:uid="{00000000-0005-0000-0000-0000A6680000}"/>
    <cellStyle name="Normal 333 4 2 2" xfId="26791" xr:uid="{00000000-0005-0000-0000-0000A7680000}"/>
    <cellStyle name="Normal 333 4 3" xfId="26792" xr:uid="{00000000-0005-0000-0000-0000A8680000}"/>
    <cellStyle name="Normal 333 5" xfId="26793" xr:uid="{00000000-0005-0000-0000-0000A9680000}"/>
    <cellStyle name="Normal 333 5 2" xfId="26794" xr:uid="{00000000-0005-0000-0000-0000AA680000}"/>
    <cellStyle name="Normal 333 5 2 2" xfId="26795" xr:uid="{00000000-0005-0000-0000-0000AB680000}"/>
    <cellStyle name="Normal 333 5 3" xfId="26796" xr:uid="{00000000-0005-0000-0000-0000AC680000}"/>
    <cellStyle name="Normal 333 6" xfId="26797" xr:uid="{00000000-0005-0000-0000-0000AD680000}"/>
    <cellStyle name="Normal 333 6 2" xfId="26798" xr:uid="{00000000-0005-0000-0000-0000AE680000}"/>
    <cellStyle name="Normal 333 6 2 2" xfId="26799" xr:uid="{00000000-0005-0000-0000-0000AF680000}"/>
    <cellStyle name="Normal 333 6 3" xfId="26800" xr:uid="{00000000-0005-0000-0000-0000B0680000}"/>
    <cellStyle name="Normal 333 7" xfId="26801" xr:uid="{00000000-0005-0000-0000-0000B1680000}"/>
    <cellStyle name="Normal 334" xfId="26802" xr:uid="{00000000-0005-0000-0000-0000B2680000}"/>
    <cellStyle name="Normal 334 2" xfId="26803" xr:uid="{00000000-0005-0000-0000-0000B3680000}"/>
    <cellStyle name="Normal 334 2 2" xfId="26804" xr:uid="{00000000-0005-0000-0000-0000B4680000}"/>
    <cellStyle name="Normal 334 2 2 2" xfId="26805" xr:uid="{00000000-0005-0000-0000-0000B5680000}"/>
    <cellStyle name="Normal 334 2 3" xfId="26806" xr:uid="{00000000-0005-0000-0000-0000B6680000}"/>
    <cellStyle name="Normal 334 2 3 2" xfId="26807" xr:uid="{00000000-0005-0000-0000-0000B7680000}"/>
    <cellStyle name="Normal 334 2 3 2 2" xfId="26808" xr:uid="{00000000-0005-0000-0000-0000B8680000}"/>
    <cellStyle name="Normal 334 2 3 3" xfId="26809" xr:uid="{00000000-0005-0000-0000-0000B9680000}"/>
    <cellStyle name="Normal 334 2 4" xfId="26810" xr:uid="{00000000-0005-0000-0000-0000BA680000}"/>
    <cellStyle name="Normal 334 2 4 2" xfId="26811" xr:uid="{00000000-0005-0000-0000-0000BB680000}"/>
    <cellStyle name="Normal 334 2 4 2 2" xfId="26812" xr:uid="{00000000-0005-0000-0000-0000BC680000}"/>
    <cellStyle name="Normal 334 2 4 3" xfId="26813" xr:uid="{00000000-0005-0000-0000-0000BD680000}"/>
    <cellStyle name="Normal 334 2 5" xfId="26814" xr:uid="{00000000-0005-0000-0000-0000BE680000}"/>
    <cellStyle name="Normal 334 3" xfId="26815" xr:uid="{00000000-0005-0000-0000-0000BF680000}"/>
    <cellStyle name="Normal 334 3 2" xfId="26816" xr:uid="{00000000-0005-0000-0000-0000C0680000}"/>
    <cellStyle name="Normal 334 3 2 2" xfId="26817" xr:uid="{00000000-0005-0000-0000-0000C1680000}"/>
    <cellStyle name="Normal 334 3 2 2 2" xfId="26818" xr:uid="{00000000-0005-0000-0000-0000C2680000}"/>
    <cellStyle name="Normal 334 3 2 3" xfId="26819" xr:uid="{00000000-0005-0000-0000-0000C3680000}"/>
    <cellStyle name="Normal 334 3 2 3 2" xfId="26820" xr:uid="{00000000-0005-0000-0000-0000C4680000}"/>
    <cellStyle name="Normal 334 3 2 3 2 2" xfId="26821" xr:uid="{00000000-0005-0000-0000-0000C5680000}"/>
    <cellStyle name="Normal 334 3 2 3 3" xfId="26822" xr:uid="{00000000-0005-0000-0000-0000C6680000}"/>
    <cellStyle name="Normal 334 3 2 4" xfId="26823" xr:uid="{00000000-0005-0000-0000-0000C7680000}"/>
    <cellStyle name="Normal 334 3 3" xfId="26824" xr:uid="{00000000-0005-0000-0000-0000C8680000}"/>
    <cellStyle name="Normal 334 3 3 2" xfId="26825" xr:uid="{00000000-0005-0000-0000-0000C9680000}"/>
    <cellStyle name="Normal 334 3 3 2 2" xfId="26826" xr:uid="{00000000-0005-0000-0000-0000CA680000}"/>
    <cellStyle name="Normal 334 3 3 3" xfId="26827" xr:uid="{00000000-0005-0000-0000-0000CB680000}"/>
    <cellStyle name="Normal 334 3 4" xfId="26828" xr:uid="{00000000-0005-0000-0000-0000CC680000}"/>
    <cellStyle name="Normal 334 3 4 2" xfId="26829" xr:uid="{00000000-0005-0000-0000-0000CD680000}"/>
    <cellStyle name="Normal 334 3 4 2 2" xfId="26830" xr:uid="{00000000-0005-0000-0000-0000CE680000}"/>
    <cellStyle name="Normal 334 3 4 3" xfId="26831" xr:uid="{00000000-0005-0000-0000-0000CF680000}"/>
    <cellStyle name="Normal 334 3 5" xfId="26832" xr:uid="{00000000-0005-0000-0000-0000D0680000}"/>
    <cellStyle name="Normal 334 3 5 2" xfId="26833" xr:uid="{00000000-0005-0000-0000-0000D1680000}"/>
    <cellStyle name="Normal 334 3 5 2 2" xfId="26834" xr:uid="{00000000-0005-0000-0000-0000D2680000}"/>
    <cellStyle name="Normal 334 3 5 3" xfId="26835" xr:uid="{00000000-0005-0000-0000-0000D3680000}"/>
    <cellStyle name="Normal 334 3 6" xfId="26836" xr:uid="{00000000-0005-0000-0000-0000D4680000}"/>
    <cellStyle name="Normal 334 4" xfId="26837" xr:uid="{00000000-0005-0000-0000-0000D5680000}"/>
    <cellStyle name="Normal 334 4 2" xfId="26838" xr:uid="{00000000-0005-0000-0000-0000D6680000}"/>
    <cellStyle name="Normal 334 4 2 2" xfId="26839" xr:uid="{00000000-0005-0000-0000-0000D7680000}"/>
    <cellStyle name="Normal 334 4 3" xfId="26840" xr:uid="{00000000-0005-0000-0000-0000D8680000}"/>
    <cellStyle name="Normal 334 5" xfId="26841" xr:uid="{00000000-0005-0000-0000-0000D9680000}"/>
    <cellStyle name="Normal 334 5 2" xfId="26842" xr:uid="{00000000-0005-0000-0000-0000DA680000}"/>
    <cellStyle name="Normal 334 5 2 2" xfId="26843" xr:uid="{00000000-0005-0000-0000-0000DB680000}"/>
    <cellStyle name="Normal 334 5 3" xfId="26844" xr:uid="{00000000-0005-0000-0000-0000DC680000}"/>
    <cellStyle name="Normal 334 6" xfId="26845" xr:uid="{00000000-0005-0000-0000-0000DD680000}"/>
    <cellStyle name="Normal 334 6 2" xfId="26846" xr:uid="{00000000-0005-0000-0000-0000DE680000}"/>
    <cellStyle name="Normal 334 6 2 2" xfId="26847" xr:uid="{00000000-0005-0000-0000-0000DF680000}"/>
    <cellStyle name="Normal 334 6 3" xfId="26848" xr:uid="{00000000-0005-0000-0000-0000E0680000}"/>
    <cellStyle name="Normal 334 7" xfId="26849" xr:uid="{00000000-0005-0000-0000-0000E1680000}"/>
    <cellStyle name="Normal 335" xfId="26850" xr:uid="{00000000-0005-0000-0000-0000E2680000}"/>
    <cellStyle name="Normal 335 2" xfId="26851" xr:uid="{00000000-0005-0000-0000-0000E3680000}"/>
    <cellStyle name="Normal 335 2 2" xfId="26852" xr:uid="{00000000-0005-0000-0000-0000E4680000}"/>
    <cellStyle name="Normal 335 2 2 2" xfId="26853" xr:uid="{00000000-0005-0000-0000-0000E5680000}"/>
    <cellStyle name="Normal 335 2 3" xfId="26854" xr:uid="{00000000-0005-0000-0000-0000E6680000}"/>
    <cellStyle name="Normal 335 2 3 2" xfId="26855" xr:uid="{00000000-0005-0000-0000-0000E7680000}"/>
    <cellStyle name="Normal 335 2 3 2 2" xfId="26856" xr:uid="{00000000-0005-0000-0000-0000E8680000}"/>
    <cellStyle name="Normal 335 2 3 3" xfId="26857" xr:uid="{00000000-0005-0000-0000-0000E9680000}"/>
    <cellStyle name="Normal 335 2 4" xfId="26858" xr:uid="{00000000-0005-0000-0000-0000EA680000}"/>
    <cellStyle name="Normal 335 2 4 2" xfId="26859" xr:uid="{00000000-0005-0000-0000-0000EB680000}"/>
    <cellStyle name="Normal 335 2 4 2 2" xfId="26860" xr:uid="{00000000-0005-0000-0000-0000EC680000}"/>
    <cellStyle name="Normal 335 2 4 3" xfId="26861" xr:uid="{00000000-0005-0000-0000-0000ED680000}"/>
    <cellStyle name="Normal 335 2 5" xfId="26862" xr:uid="{00000000-0005-0000-0000-0000EE680000}"/>
    <cellStyle name="Normal 335 3" xfId="26863" xr:uid="{00000000-0005-0000-0000-0000EF680000}"/>
    <cellStyle name="Normal 335 3 2" xfId="26864" xr:uid="{00000000-0005-0000-0000-0000F0680000}"/>
    <cellStyle name="Normal 335 3 2 2" xfId="26865" xr:uid="{00000000-0005-0000-0000-0000F1680000}"/>
    <cellStyle name="Normal 335 3 2 2 2" xfId="26866" xr:uid="{00000000-0005-0000-0000-0000F2680000}"/>
    <cellStyle name="Normal 335 3 2 3" xfId="26867" xr:uid="{00000000-0005-0000-0000-0000F3680000}"/>
    <cellStyle name="Normal 335 3 2 3 2" xfId="26868" xr:uid="{00000000-0005-0000-0000-0000F4680000}"/>
    <cellStyle name="Normal 335 3 2 3 2 2" xfId="26869" xr:uid="{00000000-0005-0000-0000-0000F5680000}"/>
    <cellStyle name="Normal 335 3 2 3 3" xfId="26870" xr:uid="{00000000-0005-0000-0000-0000F6680000}"/>
    <cellStyle name="Normal 335 3 2 4" xfId="26871" xr:uid="{00000000-0005-0000-0000-0000F7680000}"/>
    <cellStyle name="Normal 335 3 3" xfId="26872" xr:uid="{00000000-0005-0000-0000-0000F8680000}"/>
    <cellStyle name="Normal 335 3 3 2" xfId="26873" xr:uid="{00000000-0005-0000-0000-0000F9680000}"/>
    <cellStyle name="Normal 335 3 3 2 2" xfId="26874" xr:uid="{00000000-0005-0000-0000-0000FA680000}"/>
    <cellStyle name="Normal 335 3 3 3" xfId="26875" xr:uid="{00000000-0005-0000-0000-0000FB680000}"/>
    <cellStyle name="Normal 335 3 4" xfId="26876" xr:uid="{00000000-0005-0000-0000-0000FC680000}"/>
    <cellStyle name="Normal 335 3 4 2" xfId="26877" xr:uid="{00000000-0005-0000-0000-0000FD680000}"/>
    <cellStyle name="Normal 335 3 4 2 2" xfId="26878" xr:uid="{00000000-0005-0000-0000-0000FE680000}"/>
    <cellStyle name="Normal 335 3 4 3" xfId="26879" xr:uid="{00000000-0005-0000-0000-0000FF680000}"/>
    <cellStyle name="Normal 335 3 5" xfId="26880" xr:uid="{00000000-0005-0000-0000-000000690000}"/>
    <cellStyle name="Normal 335 3 5 2" xfId="26881" xr:uid="{00000000-0005-0000-0000-000001690000}"/>
    <cellStyle name="Normal 335 3 5 2 2" xfId="26882" xr:uid="{00000000-0005-0000-0000-000002690000}"/>
    <cellStyle name="Normal 335 3 5 3" xfId="26883" xr:uid="{00000000-0005-0000-0000-000003690000}"/>
    <cellStyle name="Normal 335 3 6" xfId="26884" xr:uid="{00000000-0005-0000-0000-000004690000}"/>
    <cellStyle name="Normal 335 4" xfId="26885" xr:uid="{00000000-0005-0000-0000-000005690000}"/>
    <cellStyle name="Normal 335 4 2" xfId="26886" xr:uid="{00000000-0005-0000-0000-000006690000}"/>
    <cellStyle name="Normal 335 4 2 2" xfId="26887" xr:uid="{00000000-0005-0000-0000-000007690000}"/>
    <cellStyle name="Normal 335 4 3" xfId="26888" xr:uid="{00000000-0005-0000-0000-000008690000}"/>
    <cellStyle name="Normal 335 5" xfId="26889" xr:uid="{00000000-0005-0000-0000-000009690000}"/>
    <cellStyle name="Normal 335 5 2" xfId="26890" xr:uid="{00000000-0005-0000-0000-00000A690000}"/>
    <cellStyle name="Normal 335 5 2 2" xfId="26891" xr:uid="{00000000-0005-0000-0000-00000B690000}"/>
    <cellStyle name="Normal 335 5 3" xfId="26892" xr:uid="{00000000-0005-0000-0000-00000C690000}"/>
    <cellStyle name="Normal 335 6" xfId="26893" xr:uid="{00000000-0005-0000-0000-00000D690000}"/>
    <cellStyle name="Normal 335 6 2" xfId="26894" xr:uid="{00000000-0005-0000-0000-00000E690000}"/>
    <cellStyle name="Normal 335 6 2 2" xfId="26895" xr:uid="{00000000-0005-0000-0000-00000F690000}"/>
    <cellStyle name="Normal 335 6 3" xfId="26896" xr:uid="{00000000-0005-0000-0000-000010690000}"/>
    <cellStyle name="Normal 335 7" xfId="26897" xr:uid="{00000000-0005-0000-0000-000011690000}"/>
    <cellStyle name="Normal 336" xfId="26898" xr:uid="{00000000-0005-0000-0000-000012690000}"/>
    <cellStyle name="Normal 336 2" xfId="26899" xr:uid="{00000000-0005-0000-0000-000013690000}"/>
    <cellStyle name="Normal 336 2 2" xfId="26900" xr:uid="{00000000-0005-0000-0000-000014690000}"/>
    <cellStyle name="Normal 336 2 2 2" xfId="26901" xr:uid="{00000000-0005-0000-0000-000015690000}"/>
    <cellStyle name="Normal 336 2 3" xfId="26902" xr:uid="{00000000-0005-0000-0000-000016690000}"/>
    <cellStyle name="Normal 336 2 3 2" xfId="26903" xr:uid="{00000000-0005-0000-0000-000017690000}"/>
    <cellStyle name="Normal 336 2 3 2 2" xfId="26904" xr:uid="{00000000-0005-0000-0000-000018690000}"/>
    <cellStyle name="Normal 336 2 3 3" xfId="26905" xr:uid="{00000000-0005-0000-0000-000019690000}"/>
    <cellStyle name="Normal 336 2 4" xfId="26906" xr:uid="{00000000-0005-0000-0000-00001A690000}"/>
    <cellStyle name="Normal 336 2 4 2" xfId="26907" xr:uid="{00000000-0005-0000-0000-00001B690000}"/>
    <cellStyle name="Normal 336 2 4 2 2" xfId="26908" xr:uid="{00000000-0005-0000-0000-00001C690000}"/>
    <cellStyle name="Normal 336 2 4 3" xfId="26909" xr:uid="{00000000-0005-0000-0000-00001D690000}"/>
    <cellStyle name="Normal 336 2 5" xfId="26910" xr:uid="{00000000-0005-0000-0000-00001E690000}"/>
    <cellStyle name="Normal 336 3" xfId="26911" xr:uid="{00000000-0005-0000-0000-00001F690000}"/>
    <cellStyle name="Normal 336 3 2" xfId="26912" xr:uid="{00000000-0005-0000-0000-000020690000}"/>
    <cellStyle name="Normal 336 3 2 2" xfId="26913" xr:uid="{00000000-0005-0000-0000-000021690000}"/>
    <cellStyle name="Normal 336 3 2 2 2" xfId="26914" xr:uid="{00000000-0005-0000-0000-000022690000}"/>
    <cellStyle name="Normal 336 3 2 3" xfId="26915" xr:uid="{00000000-0005-0000-0000-000023690000}"/>
    <cellStyle name="Normal 336 3 2 3 2" xfId="26916" xr:uid="{00000000-0005-0000-0000-000024690000}"/>
    <cellStyle name="Normal 336 3 2 3 2 2" xfId="26917" xr:uid="{00000000-0005-0000-0000-000025690000}"/>
    <cellStyle name="Normal 336 3 2 3 3" xfId="26918" xr:uid="{00000000-0005-0000-0000-000026690000}"/>
    <cellStyle name="Normal 336 3 2 4" xfId="26919" xr:uid="{00000000-0005-0000-0000-000027690000}"/>
    <cellStyle name="Normal 336 3 3" xfId="26920" xr:uid="{00000000-0005-0000-0000-000028690000}"/>
    <cellStyle name="Normal 336 3 3 2" xfId="26921" xr:uid="{00000000-0005-0000-0000-000029690000}"/>
    <cellStyle name="Normal 336 3 3 2 2" xfId="26922" xr:uid="{00000000-0005-0000-0000-00002A690000}"/>
    <cellStyle name="Normal 336 3 3 3" xfId="26923" xr:uid="{00000000-0005-0000-0000-00002B690000}"/>
    <cellStyle name="Normal 336 3 4" xfId="26924" xr:uid="{00000000-0005-0000-0000-00002C690000}"/>
    <cellStyle name="Normal 336 3 4 2" xfId="26925" xr:uid="{00000000-0005-0000-0000-00002D690000}"/>
    <cellStyle name="Normal 336 3 4 2 2" xfId="26926" xr:uid="{00000000-0005-0000-0000-00002E690000}"/>
    <cellStyle name="Normal 336 3 4 3" xfId="26927" xr:uid="{00000000-0005-0000-0000-00002F690000}"/>
    <cellStyle name="Normal 336 3 5" xfId="26928" xr:uid="{00000000-0005-0000-0000-000030690000}"/>
    <cellStyle name="Normal 336 3 5 2" xfId="26929" xr:uid="{00000000-0005-0000-0000-000031690000}"/>
    <cellStyle name="Normal 336 3 5 2 2" xfId="26930" xr:uid="{00000000-0005-0000-0000-000032690000}"/>
    <cellStyle name="Normal 336 3 5 3" xfId="26931" xr:uid="{00000000-0005-0000-0000-000033690000}"/>
    <cellStyle name="Normal 336 3 6" xfId="26932" xr:uid="{00000000-0005-0000-0000-000034690000}"/>
    <cellStyle name="Normal 336 4" xfId="26933" xr:uid="{00000000-0005-0000-0000-000035690000}"/>
    <cellStyle name="Normal 336 4 2" xfId="26934" xr:uid="{00000000-0005-0000-0000-000036690000}"/>
    <cellStyle name="Normal 336 4 2 2" xfId="26935" xr:uid="{00000000-0005-0000-0000-000037690000}"/>
    <cellStyle name="Normal 336 4 3" xfId="26936" xr:uid="{00000000-0005-0000-0000-000038690000}"/>
    <cellStyle name="Normal 336 5" xfId="26937" xr:uid="{00000000-0005-0000-0000-000039690000}"/>
    <cellStyle name="Normal 336 5 2" xfId="26938" xr:uid="{00000000-0005-0000-0000-00003A690000}"/>
    <cellStyle name="Normal 336 5 2 2" xfId="26939" xr:uid="{00000000-0005-0000-0000-00003B690000}"/>
    <cellStyle name="Normal 336 5 3" xfId="26940" xr:uid="{00000000-0005-0000-0000-00003C690000}"/>
    <cellStyle name="Normal 336 6" xfId="26941" xr:uid="{00000000-0005-0000-0000-00003D690000}"/>
    <cellStyle name="Normal 336 6 2" xfId="26942" xr:uid="{00000000-0005-0000-0000-00003E690000}"/>
    <cellStyle name="Normal 336 6 2 2" xfId="26943" xr:uid="{00000000-0005-0000-0000-00003F690000}"/>
    <cellStyle name="Normal 336 6 3" xfId="26944" xr:uid="{00000000-0005-0000-0000-000040690000}"/>
    <cellStyle name="Normal 336 7" xfId="26945" xr:uid="{00000000-0005-0000-0000-000041690000}"/>
    <cellStyle name="Normal 337" xfId="26946" xr:uid="{00000000-0005-0000-0000-000042690000}"/>
    <cellStyle name="Normal 337 2" xfId="26947" xr:uid="{00000000-0005-0000-0000-000043690000}"/>
    <cellStyle name="Normal 337 2 2" xfId="26948" xr:uid="{00000000-0005-0000-0000-000044690000}"/>
    <cellStyle name="Normal 337 2 2 2" xfId="26949" xr:uid="{00000000-0005-0000-0000-000045690000}"/>
    <cellStyle name="Normal 337 2 3" xfId="26950" xr:uid="{00000000-0005-0000-0000-000046690000}"/>
    <cellStyle name="Normal 337 2 3 2" xfId="26951" xr:uid="{00000000-0005-0000-0000-000047690000}"/>
    <cellStyle name="Normal 337 2 3 2 2" xfId="26952" xr:uid="{00000000-0005-0000-0000-000048690000}"/>
    <cellStyle name="Normal 337 2 3 3" xfId="26953" xr:uid="{00000000-0005-0000-0000-000049690000}"/>
    <cellStyle name="Normal 337 2 4" xfId="26954" xr:uid="{00000000-0005-0000-0000-00004A690000}"/>
    <cellStyle name="Normal 337 2 4 2" xfId="26955" xr:uid="{00000000-0005-0000-0000-00004B690000}"/>
    <cellStyle name="Normal 337 2 4 2 2" xfId="26956" xr:uid="{00000000-0005-0000-0000-00004C690000}"/>
    <cellStyle name="Normal 337 2 4 3" xfId="26957" xr:uid="{00000000-0005-0000-0000-00004D690000}"/>
    <cellStyle name="Normal 337 2 5" xfId="26958" xr:uid="{00000000-0005-0000-0000-00004E690000}"/>
    <cellStyle name="Normal 337 3" xfId="26959" xr:uid="{00000000-0005-0000-0000-00004F690000}"/>
    <cellStyle name="Normal 337 3 2" xfId="26960" xr:uid="{00000000-0005-0000-0000-000050690000}"/>
    <cellStyle name="Normal 337 3 2 2" xfId="26961" xr:uid="{00000000-0005-0000-0000-000051690000}"/>
    <cellStyle name="Normal 337 3 2 2 2" xfId="26962" xr:uid="{00000000-0005-0000-0000-000052690000}"/>
    <cellStyle name="Normal 337 3 2 3" xfId="26963" xr:uid="{00000000-0005-0000-0000-000053690000}"/>
    <cellStyle name="Normal 337 3 2 3 2" xfId="26964" xr:uid="{00000000-0005-0000-0000-000054690000}"/>
    <cellStyle name="Normal 337 3 2 3 2 2" xfId="26965" xr:uid="{00000000-0005-0000-0000-000055690000}"/>
    <cellStyle name="Normal 337 3 2 3 3" xfId="26966" xr:uid="{00000000-0005-0000-0000-000056690000}"/>
    <cellStyle name="Normal 337 3 2 4" xfId="26967" xr:uid="{00000000-0005-0000-0000-000057690000}"/>
    <cellStyle name="Normal 337 3 3" xfId="26968" xr:uid="{00000000-0005-0000-0000-000058690000}"/>
    <cellStyle name="Normal 337 3 3 2" xfId="26969" xr:uid="{00000000-0005-0000-0000-000059690000}"/>
    <cellStyle name="Normal 337 3 3 2 2" xfId="26970" xr:uid="{00000000-0005-0000-0000-00005A690000}"/>
    <cellStyle name="Normal 337 3 3 3" xfId="26971" xr:uid="{00000000-0005-0000-0000-00005B690000}"/>
    <cellStyle name="Normal 337 3 4" xfId="26972" xr:uid="{00000000-0005-0000-0000-00005C690000}"/>
    <cellStyle name="Normal 337 3 4 2" xfId="26973" xr:uid="{00000000-0005-0000-0000-00005D690000}"/>
    <cellStyle name="Normal 337 3 4 2 2" xfId="26974" xr:uid="{00000000-0005-0000-0000-00005E690000}"/>
    <cellStyle name="Normal 337 3 4 3" xfId="26975" xr:uid="{00000000-0005-0000-0000-00005F690000}"/>
    <cellStyle name="Normal 337 3 5" xfId="26976" xr:uid="{00000000-0005-0000-0000-000060690000}"/>
    <cellStyle name="Normal 337 3 5 2" xfId="26977" xr:uid="{00000000-0005-0000-0000-000061690000}"/>
    <cellStyle name="Normal 337 3 5 2 2" xfId="26978" xr:uid="{00000000-0005-0000-0000-000062690000}"/>
    <cellStyle name="Normal 337 3 5 3" xfId="26979" xr:uid="{00000000-0005-0000-0000-000063690000}"/>
    <cellStyle name="Normal 337 3 6" xfId="26980" xr:uid="{00000000-0005-0000-0000-000064690000}"/>
    <cellStyle name="Normal 337 4" xfId="26981" xr:uid="{00000000-0005-0000-0000-000065690000}"/>
    <cellStyle name="Normal 337 4 2" xfId="26982" xr:uid="{00000000-0005-0000-0000-000066690000}"/>
    <cellStyle name="Normal 337 4 2 2" xfId="26983" xr:uid="{00000000-0005-0000-0000-000067690000}"/>
    <cellStyle name="Normal 337 4 3" xfId="26984" xr:uid="{00000000-0005-0000-0000-000068690000}"/>
    <cellStyle name="Normal 337 5" xfId="26985" xr:uid="{00000000-0005-0000-0000-000069690000}"/>
    <cellStyle name="Normal 337 5 2" xfId="26986" xr:uid="{00000000-0005-0000-0000-00006A690000}"/>
    <cellStyle name="Normal 337 5 2 2" xfId="26987" xr:uid="{00000000-0005-0000-0000-00006B690000}"/>
    <cellStyle name="Normal 337 5 3" xfId="26988" xr:uid="{00000000-0005-0000-0000-00006C690000}"/>
    <cellStyle name="Normal 337 6" xfId="26989" xr:uid="{00000000-0005-0000-0000-00006D690000}"/>
    <cellStyle name="Normal 337 6 2" xfId="26990" xr:uid="{00000000-0005-0000-0000-00006E690000}"/>
    <cellStyle name="Normal 337 6 2 2" xfId="26991" xr:uid="{00000000-0005-0000-0000-00006F690000}"/>
    <cellStyle name="Normal 337 6 3" xfId="26992" xr:uid="{00000000-0005-0000-0000-000070690000}"/>
    <cellStyle name="Normal 337 7" xfId="26993" xr:uid="{00000000-0005-0000-0000-000071690000}"/>
    <cellStyle name="Normal 338" xfId="65" xr:uid="{00000000-0005-0000-0000-000041000000}"/>
    <cellStyle name="Normal 338 2" xfId="26994" xr:uid="{00000000-0005-0000-0000-000072690000}"/>
    <cellStyle name="Normal 338 2 2" xfId="26995" xr:uid="{00000000-0005-0000-0000-000073690000}"/>
    <cellStyle name="Normal 338 2 2 2" xfId="26996" xr:uid="{00000000-0005-0000-0000-000074690000}"/>
    <cellStyle name="Normal 338 2 3" xfId="26997" xr:uid="{00000000-0005-0000-0000-000075690000}"/>
    <cellStyle name="Normal 338 2 3 2" xfId="26998" xr:uid="{00000000-0005-0000-0000-000076690000}"/>
    <cellStyle name="Normal 338 2 3 2 2" xfId="26999" xr:uid="{00000000-0005-0000-0000-000077690000}"/>
    <cellStyle name="Normal 338 2 3 3" xfId="27000" xr:uid="{00000000-0005-0000-0000-000078690000}"/>
    <cellStyle name="Normal 338 2 4" xfId="27001" xr:uid="{00000000-0005-0000-0000-000079690000}"/>
    <cellStyle name="Normal 338 2 4 2" xfId="27002" xr:uid="{00000000-0005-0000-0000-00007A690000}"/>
    <cellStyle name="Normal 338 2 4 2 2" xfId="27003" xr:uid="{00000000-0005-0000-0000-00007B690000}"/>
    <cellStyle name="Normal 338 2 4 3" xfId="27004" xr:uid="{00000000-0005-0000-0000-00007C690000}"/>
    <cellStyle name="Normal 338 2 5" xfId="27005" xr:uid="{00000000-0005-0000-0000-00007D690000}"/>
    <cellStyle name="Normal 338 3" xfId="27006" xr:uid="{00000000-0005-0000-0000-00007E690000}"/>
    <cellStyle name="Normal 338 3 2" xfId="27007" xr:uid="{00000000-0005-0000-0000-00007F690000}"/>
    <cellStyle name="Normal 338 3 2 2" xfId="27008" xr:uid="{00000000-0005-0000-0000-000080690000}"/>
    <cellStyle name="Normal 338 3 2 2 2" xfId="27009" xr:uid="{00000000-0005-0000-0000-000081690000}"/>
    <cellStyle name="Normal 338 3 2 3" xfId="27010" xr:uid="{00000000-0005-0000-0000-000082690000}"/>
    <cellStyle name="Normal 338 3 2 3 2" xfId="27011" xr:uid="{00000000-0005-0000-0000-000083690000}"/>
    <cellStyle name="Normal 338 3 2 3 2 2" xfId="27012" xr:uid="{00000000-0005-0000-0000-000084690000}"/>
    <cellStyle name="Normal 338 3 2 3 3" xfId="27013" xr:uid="{00000000-0005-0000-0000-000085690000}"/>
    <cellStyle name="Normal 338 3 2 4" xfId="27014" xr:uid="{00000000-0005-0000-0000-000086690000}"/>
    <cellStyle name="Normal 338 3 3" xfId="27015" xr:uid="{00000000-0005-0000-0000-000087690000}"/>
    <cellStyle name="Normal 338 3 3 2" xfId="27016" xr:uid="{00000000-0005-0000-0000-000088690000}"/>
    <cellStyle name="Normal 338 3 3 2 2" xfId="27017" xr:uid="{00000000-0005-0000-0000-000089690000}"/>
    <cellStyle name="Normal 338 3 3 3" xfId="27018" xr:uid="{00000000-0005-0000-0000-00008A690000}"/>
    <cellStyle name="Normal 338 3 4" xfId="27019" xr:uid="{00000000-0005-0000-0000-00008B690000}"/>
    <cellStyle name="Normal 338 3 4 2" xfId="27020" xr:uid="{00000000-0005-0000-0000-00008C690000}"/>
    <cellStyle name="Normal 338 3 4 2 2" xfId="27021" xr:uid="{00000000-0005-0000-0000-00008D690000}"/>
    <cellStyle name="Normal 338 3 4 3" xfId="27022" xr:uid="{00000000-0005-0000-0000-00008E690000}"/>
    <cellStyle name="Normal 338 3 5" xfId="27023" xr:uid="{00000000-0005-0000-0000-00008F690000}"/>
    <cellStyle name="Normal 338 3 5 2" xfId="27024" xr:uid="{00000000-0005-0000-0000-000090690000}"/>
    <cellStyle name="Normal 338 3 5 2 2" xfId="27025" xr:uid="{00000000-0005-0000-0000-000091690000}"/>
    <cellStyle name="Normal 338 3 5 3" xfId="27026" xr:uid="{00000000-0005-0000-0000-000092690000}"/>
    <cellStyle name="Normal 338 3 6" xfId="27027" xr:uid="{00000000-0005-0000-0000-000093690000}"/>
    <cellStyle name="Normal 338 4" xfId="27028" xr:uid="{00000000-0005-0000-0000-000094690000}"/>
    <cellStyle name="Normal 338 4 2" xfId="27029" xr:uid="{00000000-0005-0000-0000-000095690000}"/>
    <cellStyle name="Normal 338 4 2 2" xfId="27030" xr:uid="{00000000-0005-0000-0000-000096690000}"/>
    <cellStyle name="Normal 338 4 3" xfId="27031" xr:uid="{00000000-0005-0000-0000-000097690000}"/>
    <cellStyle name="Normal 338 5" xfId="27032" xr:uid="{00000000-0005-0000-0000-000098690000}"/>
    <cellStyle name="Normal 338 5 2" xfId="27033" xr:uid="{00000000-0005-0000-0000-000099690000}"/>
    <cellStyle name="Normal 338 5 2 2" xfId="27034" xr:uid="{00000000-0005-0000-0000-00009A690000}"/>
    <cellStyle name="Normal 338 5 3" xfId="27035" xr:uid="{00000000-0005-0000-0000-00009B690000}"/>
    <cellStyle name="Normal 338 6" xfId="27036" xr:uid="{00000000-0005-0000-0000-00009C690000}"/>
    <cellStyle name="Normal 338 6 2" xfId="27037" xr:uid="{00000000-0005-0000-0000-00009D690000}"/>
    <cellStyle name="Normal 338 6 2 2" xfId="27038" xr:uid="{00000000-0005-0000-0000-00009E690000}"/>
    <cellStyle name="Normal 338 6 3" xfId="27039" xr:uid="{00000000-0005-0000-0000-00009F690000}"/>
    <cellStyle name="Normal 338 7" xfId="27040" xr:uid="{00000000-0005-0000-0000-0000A0690000}"/>
    <cellStyle name="Normal 339" xfId="27041" xr:uid="{00000000-0005-0000-0000-0000A1690000}"/>
    <cellStyle name="Normal 339 2" xfId="27042" xr:uid="{00000000-0005-0000-0000-0000A2690000}"/>
    <cellStyle name="Normal 339 2 2" xfId="27043" xr:uid="{00000000-0005-0000-0000-0000A3690000}"/>
    <cellStyle name="Normal 339 2 2 2" xfId="27044" xr:uid="{00000000-0005-0000-0000-0000A4690000}"/>
    <cellStyle name="Normal 339 2 3" xfId="27045" xr:uid="{00000000-0005-0000-0000-0000A5690000}"/>
    <cellStyle name="Normal 339 2 3 2" xfId="27046" xr:uid="{00000000-0005-0000-0000-0000A6690000}"/>
    <cellStyle name="Normal 339 2 3 2 2" xfId="27047" xr:uid="{00000000-0005-0000-0000-0000A7690000}"/>
    <cellStyle name="Normal 339 2 3 3" xfId="27048" xr:uid="{00000000-0005-0000-0000-0000A8690000}"/>
    <cellStyle name="Normal 339 2 4" xfId="27049" xr:uid="{00000000-0005-0000-0000-0000A9690000}"/>
    <cellStyle name="Normal 339 2 4 2" xfId="27050" xr:uid="{00000000-0005-0000-0000-0000AA690000}"/>
    <cellStyle name="Normal 339 2 4 2 2" xfId="27051" xr:uid="{00000000-0005-0000-0000-0000AB690000}"/>
    <cellStyle name="Normal 339 2 4 3" xfId="27052" xr:uid="{00000000-0005-0000-0000-0000AC690000}"/>
    <cellStyle name="Normal 339 2 5" xfId="27053" xr:uid="{00000000-0005-0000-0000-0000AD690000}"/>
    <cellStyle name="Normal 339 3" xfId="27054" xr:uid="{00000000-0005-0000-0000-0000AE690000}"/>
    <cellStyle name="Normal 339 3 2" xfId="27055" xr:uid="{00000000-0005-0000-0000-0000AF690000}"/>
    <cellStyle name="Normal 339 3 2 2" xfId="27056" xr:uid="{00000000-0005-0000-0000-0000B0690000}"/>
    <cellStyle name="Normal 339 3 2 2 2" xfId="27057" xr:uid="{00000000-0005-0000-0000-0000B1690000}"/>
    <cellStyle name="Normal 339 3 2 3" xfId="27058" xr:uid="{00000000-0005-0000-0000-0000B2690000}"/>
    <cellStyle name="Normal 339 3 2 3 2" xfId="27059" xr:uid="{00000000-0005-0000-0000-0000B3690000}"/>
    <cellStyle name="Normal 339 3 2 3 2 2" xfId="27060" xr:uid="{00000000-0005-0000-0000-0000B4690000}"/>
    <cellStyle name="Normal 339 3 2 3 3" xfId="27061" xr:uid="{00000000-0005-0000-0000-0000B5690000}"/>
    <cellStyle name="Normal 339 3 2 4" xfId="27062" xr:uid="{00000000-0005-0000-0000-0000B6690000}"/>
    <cellStyle name="Normal 339 3 3" xfId="27063" xr:uid="{00000000-0005-0000-0000-0000B7690000}"/>
    <cellStyle name="Normal 339 3 3 2" xfId="27064" xr:uid="{00000000-0005-0000-0000-0000B8690000}"/>
    <cellStyle name="Normal 339 3 3 2 2" xfId="27065" xr:uid="{00000000-0005-0000-0000-0000B9690000}"/>
    <cellStyle name="Normal 339 3 3 3" xfId="27066" xr:uid="{00000000-0005-0000-0000-0000BA690000}"/>
    <cellStyle name="Normal 339 3 4" xfId="27067" xr:uid="{00000000-0005-0000-0000-0000BB690000}"/>
    <cellStyle name="Normal 339 3 4 2" xfId="27068" xr:uid="{00000000-0005-0000-0000-0000BC690000}"/>
    <cellStyle name="Normal 339 3 4 2 2" xfId="27069" xr:uid="{00000000-0005-0000-0000-0000BD690000}"/>
    <cellStyle name="Normal 339 3 4 3" xfId="27070" xr:uid="{00000000-0005-0000-0000-0000BE690000}"/>
    <cellStyle name="Normal 339 3 5" xfId="27071" xr:uid="{00000000-0005-0000-0000-0000BF690000}"/>
    <cellStyle name="Normal 339 3 5 2" xfId="27072" xr:uid="{00000000-0005-0000-0000-0000C0690000}"/>
    <cellStyle name="Normal 339 3 5 2 2" xfId="27073" xr:uid="{00000000-0005-0000-0000-0000C1690000}"/>
    <cellStyle name="Normal 339 3 5 3" xfId="27074" xr:uid="{00000000-0005-0000-0000-0000C2690000}"/>
    <cellStyle name="Normal 339 3 6" xfId="27075" xr:uid="{00000000-0005-0000-0000-0000C3690000}"/>
    <cellStyle name="Normal 339 4" xfId="27076" xr:uid="{00000000-0005-0000-0000-0000C4690000}"/>
    <cellStyle name="Normal 339 4 2" xfId="27077" xr:uid="{00000000-0005-0000-0000-0000C5690000}"/>
    <cellStyle name="Normal 339 4 2 2" xfId="27078" xr:uid="{00000000-0005-0000-0000-0000C6690000}"/>
    <cellStyle name="Normal 339 4 3" xfId="27079" xr:uid="{00000000-0005-0000-0000-0000C7690000}"/>
    <cellStyle name="Normal 339 5" xfId="27080" xr:uid="{00000000-0005-0000-0000-0000C8690000}"/>
    <cellStyle name="Normal 339 5 2" xfId="27081" xr:uid="{00000000-0005-0000-0000-0000C9690000}"/>
    <cellStyle name="Normal 339 5 2 2" xfId="27082" xr:uid="{00000000-0005-0000-0000-0000CA690000}"/>
    <cellStyle name="Normal 339 5 3" xfId="27083" xr:uid="{00000000-0005-0000-0000-0000CB690000}"/>
    <cellStyle name="Normal 339 6" xfId="27084" xr:uid="{00000000-0005-0000-0000-0000CC690000}"/>
    <cellStyle name="Normal 339 6 2" xfId="27085" xr:uid="{00000000-0005-0000-0000-0000CD690000}"/>
    <cellStyle name="Normal 339 6 2 2" xfId="27086" xr:uid="{00000000-0005-0000-0000-0000CE690000}"/>
    <cellStyle name="Normal 339 6 3" xfId="27087" xr:uid="{00000000-0005-0000-0000-0000CF690000}"/>
    <cellStyle name="Normal 339 7" xfId="27088" xr:uid="{00000000-0005-0000-0000-0000D0690000}"/>
    <cellStyle name="Normal 34" xfId="27089" xr:uid="{00000000-0005-0000-0000-0000D1690000}"/>
    <cellStyle name="Normal 34 2" xfId="27090" xr:uid="{00000000-0005-0000-0000-0000D2690000}"/>
    <cellStyle name="Normal 34 2 2" xfId="27091" xr:uid="{00000000-0005-0000-0000-0000D3690000}"/>
    <cellStyle name="Normal 34 2 2 2" xfId="27092" xr:uid="{00000000-0005-0000-0000-0000D4690000}"/>
    <cellStyle name="Normal 34 2 2 2 2" xfId="27093" xr:uid="{00000000-0005-0000-0000-0000D5690000}"/>
    <cellStyle name="Normal 34 2 2 3" xfId="27094" xr:uid="{00000000-0005-0000-0000-0000D6690000}"/>
    <cellStyle name="Normal 34 2 2 3 2" xfId="27095" xr:uid="{00000000-0005-0000-0000-0000D7690000}"/>
    <cellStyle name="Normal 34 2 2 3 2 2" xfId="27096" xr:uid="{00000000-0005-0000-0000-0000D8690000}"/>
    <cellStyle name="Normal 34 2 2 3 3" xfId="27097" xr:uid="{00000000-0005-0000-0000-0000D9690000}"/>
    <cellStyle name="Normal 34 2 2 4" xfId="27098" xr:uid="{00000000-0005-0000-0000-0000DA690000}"/>
    <cellStyle name="Normal 34 2 2 4 2" xfId="27099" xr:uid="{00000000-0005-0000-0000-0000DB690000}"/>
    <cellStyle name="Normal 34 2 2 4 2 2" xfId="27100" xr:uid="{00000000-0005-0000-0000-0000DC690000}"/>
    <cellStyle name="Normal 34 2 2 4 3" xfId="27101" xr:uid="{00000000-0005-0000-0000-0000DD690000}"/>
    <cellStyle name="Normal 34 2 2 5" xfId="27102" xr:uid="{00000000-0005-0000-0000-0000DE690000}"/>
    <cellStyle name="Normal 34 2 3" xfId="27103" xr:uid="{00000000-0005-0000-0000-0000DF690000}"/>
    <cellStyle name="Normal 34 2 3 2" xfId="27104" xr:uid="{00000000-0005-0000-0000-0000E0690000}"/>
    <cellStyle name="Normal 34 2 3 2 2" xfId="27105" xr:uid="{00000000-0005-0000-0000-0000E1690000}"/>
    <cellStyle name="Normal 34 2 3 3" xfId="27106" xr:uid="{00000000-0005-0000-0000-0000E2690000}"/>
    <cellStyle name="Normal 34 2 4" xfId="27107" xr:uid="{00000000-0005-0000-0000-0000E3690000}"/>
    <cellStyle name="Normal 34 2 4 2" xfId="27108" xr:uid="{00000000-0005-0000-0000-0000E4690000}"/>
    <cellStyle name="Normal 34 2 4 2 2" xfId="27109" xr:uid="{00000000-0005-0000-0000-0000E5690000}"/>
    <cellStyle name="Normal 34 2 4 3" xfId="27110" xr:uid="{00000000-0005-0000-0000-0000E6690000}"/>
    <cellStyle name="Normal 34 2 5" xfId="27111" xr:uid="{00000000-0005-0000-0000-0000E7690000}"/>
    <cellStyle name="Normal 34 2 5 2" xfId="27112" xr:uid="{00000000-0005-0000-0000-0000E8690000}"/>
    <cellStyle name="Normal 34 2 5 2 2" xfId="27113" xr:uid="{00000000-0005-0000-0000-0000E9690000}"/>
    <cellStyle name="Normal 34 2 5 3" xfId="27114" xr:uid="{00000000-0005-0000-0000-0000EA690000}"/>
    <cellStyle name="Normal 34 2 6" xfId="27115" xr:uid="{00000000-0005-0000-0000-0000EB690000}"/>
    <cellStyle name="Normal 34 3" xfId="27116" xr:uid="{00000000-0005-0000-0000-0000EC690000}"/>
    <cellStyle name="Normal 34 3 2" xfId="27117" xr:uid="{00000000-0005-0000-0000-0000ED690000}"/>
    <cellStyle name="Normal 34 3 2 2" xfId="27118" xr:uid="{00000000-0005-0000-0000-0000EE690000}"/>
    <cellStyle name="Normal 34 3 3" xfId="27119" xr:uid="{00000000-0005-0000-0000-0000EF690000}"/>
    <cellStyle name="Normal 34 3 3 2" xfId="27120" xr:uid="{00000000-0005-0000-0000-0000F0690000}"/>
    <cellStyle name="Normal 34 3 3 2 2" xfId="27121" xr:uid="{00000000-0005-0000-0000-0000F1690000}"/>
    <cellStyle name="Normal 34 3 3 3" xfId="27122" xr:uid="{00000000-0005-0000-0000-0000F2690000}"/>
    <cellStyle name="Normal 34 3 4" xfId="27123" xr:uid="{00000000-0005-0000-0000-0000F3690000}"/>
    <cellStyle name="Normal 34 3 4 2" xfId="27124" xr:uid="{00000000-0005-0000-0000-0000F4690000}"/>
    <cellStyle name="Normal 34 3 4 2 2" xfId="27125" xr:uid="{00000000-0005-0000-0000-0000F5690000}"/>
    <cellStyle name="Normal 34 3 4 3" xfId="27126" xr:uid="{00000000-0005-0000-0000-0000F6690000}"/>
    <cellStyle name="Normal 34 3 5" xfId="27127" xr:uid="{00000000-0005-0000-0000-0000F7690000}"/>
    <cellStyle name="Normal 34 4" xfId="27128" xr:uid="{00000000-0005-0000-0000-0000F8690000}"/>
    <cellStyle name="Normal 34 4 2" xfId="27129" xr:uid="{00000000-0005-0000-0000-0000F9690000}"/>
    <cellStyle name="Normal 34 4 2 2" xfId="27130" xr:uid="{00000000-0005-0000-0000-0000FA690000}"/>
    <cellStyle name="Normal 34 4 3" xfId="27131" xr:uid="{00000000-0005-0000-0000-0000FB690000}"/>
    <cellStyle name="Normal 34 5" xfId="27132" xr:uid="{00000000-0005-0000-0000-0000FC690000}"/>
    <cellStyle name="Normal 34 5 2" xfId="27133" xr:uid="{00000000-0005-0000-0000-0000FD690000}"/>
    <cellStyle name="Normal 34 5 2 2" xfId="27134" xr:uid="{00000000-0005-0000-0000-0000FE690000}"/>
    <cellStyle name="Normal 34 5 3" xfId="27135" xr:uid="{00000000-0005-0000-0000-0000FF690000}"/>
    <cellStyle name="Normal 34 6" xfId="27136" xr:uid="{00000000-0005-0000-0000-0000006A0000}"/>
    <cellStyle name="Normal 34 6 2" xfId="27137" xr:uid="{00000000-0005-0000-0000-0000016A0000}"/>
    <cellStyle name="Normal 34 6 2 2" xfId="27138" xr:uid="{00000000-0005-0000-0000-0000026A0000}"/>
    <cellStyle name="Normal 34 6 3" xfId="27139" xr:uid="{00000000-0005-0000-0000-0000036A0000}"/>
    <cellStyle name="Normal 34 7" xfId="27140" xr:uid="{00000000-0005-0000-0000-0000046A0000}"/>
    <cellStyle name="Normal 340" xfId="27141" xr:uid="{00000000-0005-0000-0000-0000056A0000}"/>
    <cellStyle name="Normal 340 2" xfId="27142" xr:uid="{00000000-0005-0000-0000-0000066A0000}"/>
    <cellStyle name="Normal 340 2 2" xfId="27143" xr:uid="{00000000-0005-0000-0000-0000076A0000}"/>
    <cellStyle name="Normal 340 2 2 2" xfId="27144" xr:uid="{00000000-0005-0000-0000-0000086A0000}"/>
    <cellStyle name="Normal 340 2 3" xfId="27145" xr:uid="{00000000-0005-0000-0000-0000096A0000}"/>
    <cellStyle name="Normal 340 2 3 2" xfId="27146" xr:uid="{00000000-0005-0000-0000-00000A6A0000}"/>
    <cellStyle name="Normal 340 2 3 2 2" xfId="27147" xr:uid="{00000000-0005-0000-0000-00000B6A0000}"/>
    <cellStyle name="Normal 340 2 3 3" xfId="27148" xr:uid="{00000000-0005-0000-0000-00000C6A0000}"/>
    <cellStyle name="Normal 340 2 4" xfId="27149" xr:uid="{00000000-0005-0000-0000-00000D6A0000}"/>
    <cellStyle name="Normal 340 2 4 2" xfId="27150" xr:uid="{00000000-0005-0000-0000-00000E6A0000}"/>
    <cellStyle name="Normal 340 2 4 2 2" xfId="27151" xr:uid="{00000000-0005-0000-0000-00000F6A0000}"/>
    <cellStyle name="Normal 340 2 4 3" xfId="27152" xr:uid="{00000000-0005-0000-0000-0000106A0000}"/>
    <cellStyle name="Normal 340 2 5" xfId="27153" xr:uid="{00000000-0005-0000-0000-0000116A0000}"/>
    <cellStyle name="Normal 340 3" xfId="27154" xr:uid="{00000000-0005-0000-0000-0000126A0000}"/>
    <cellStyle name="Normal 340 3 2" xfId="27155" xr:uid="{00000000-0005-0000-0000-0000136A0000}"/>
    <cellStyle name="Normal 340 3 2 2" xfId="27156" xr:uid="{00000000-0005-0000-0000-0000146A0000}"/>
    <cellStyle name="Normal 340 3 2 2 2" xfId="27157" xr:uid="{00000000-0005-0000-0000-0000156A0000}"/>
    <cellStyle name="Normal 340 3 2 3" xfId="27158" xr:uid="{00000000-0005-0000-0000-0000166A0000}"/>
    <cellStyle name="Normal 340 3 2 3 2" xfId="27159" xr:uid="{00000000-0005-0000-0000-0000176A0000}"/>
    <cellStyle name="Normal 340 3 2 3 2 2" xfId="27160" xr:uid="{00000000-0005-0000-0000-0000186A0000}"/>
    <cellStyle name="Normal 340 3 2 3 3" xfId="27161" xr:uid="{00000000-0005-0000-0000-0000196A0000}"/>
    <cellStyle name="Normal 340 3 2 4" xfId="27162" xr:uid="{00000000-0005-0000-0000-00001A6A0000}"/>
    <cellStyle name="Normal 340 3 3" xfId="27163" xr:uid="{00000000-0005-0000-0000-00001B6A0000}"/>
    <cellStyle name="Normal 340 3 3 2" xfId="27164" xr:uid="{00000000-0005-0000-0000-00001C6A0000}"/>
    <cellStyle name="Normal 340 3 3 2 2" xfId="27165" xr:uid="{00000000-0005-0000-0000-00001D6A0000}"/>
    <cellStyle name="Normal 340 3 3 3" xfId="27166" xr:uid="{00000000-0005-0000-0000-00001E6A0000}"/>
    <cellStyle name="Normal 340 3 4" xfId="27167" xr:uid="{00000000-0005-0000-0000-00001F6A0000}"/>
    <cellStyle name="Normal 340 3 4 2" xfId="27168" xr:uid="{00000000-0005-0000-0000-0000206A0000}"/>
    <cellStyle name="Normal 340 3 4 2 2" xfId="27169" xr:uid="{00000000-0005-0000-0000-0000216A0000}"/>
    <cellStyle name="Normal 340 3 4 3" xfId="27170" xr:uid="{00000000-0005-0000-0000-0000226A0000}"/>
    <cellStyle name="Normal 340 3 5" xfId="27171" xr:uid="{00000000-0005-0000-0000-0000236A0000}"/>
    <cellStyle name="Normal 340 3 5 2" xfId="27172" xr:uid="{00000000-0005-0000-0000-0000246A0000}"/>
    <cellStyle name="Normal 340 3 5 2 2" xfId="27173" xr:uid="{00000000-0005-0000-0000-0000256A0000}"/>
    <cellStyle name="Normal 340 3 5 3" xfId="27174" xr:uid="{00000000-0005-0000-0000-0000266A0000}"/>
    <cellStyle name="Normal 340 3 6" xfId="27175" xr:uid="{00000000-0005-0000-0000-0000276A0000}"/>
    <cellStyle name="Normal 340 4" xfId="27176" xr:uid="{00000000-0005-0000-0000-0000286A0000}"/>
    <cellStyle name="Normal 340 4 2" xfId="27177" xr:uid="{00000000-0005-0000-0000-0000296A0000}"/>
    <cellStyle name="Normal 340 4 2 2" xfId="27178" xr:uid="{00000000-0005-0000-0000-00002A6A0000}"/>
    <cellStyle name="Normal 340 4 3" xfId="27179" xr:uid="{00000000-0005-0000-0000-00002B6A0000}"/>
    <cellStyle name="Normal 340 5" xfId="27180" xr:uid="{00000000-0005-0000-0000-00002C6A0000}"/>
    <cellStyle name="Normal 340 5 2" xfId="27181" xr:uid="{00000000-0005-0000-0000-00002D6A0000}"/>
    <cellStyle name="Normal 340 5 2 2" xfId="27182" xr:uid="{00000000-0005-0000-0000-00002E6A0000}"/>
    <cellStyle name="Normal 340 5 3" xfId="27183" xr:uid="{00000000-0005-0000-0000-00002F6A0000}"/>
    <cellStyle name="Normal 340 6" xfId="27184" xr:uid="{00000000-0005-0000-0000-0000306A0000}"/>
    <cellStyle name="Normal 340 6 2" xfId="27185" xr:uid="{00000000-0005-0000-0000-0000316A0000}"/>
    <cellStyle name="Normal 340 6 2 2" xfId="27186" xr:uid="{00000000-0005-0000-0000-0000326A0000}"/>
    <cellStyle name="Normal 340 6 3" xfId="27187" xr:uid="{00000000-0005-0000-0000-0000336A0000}"/>
    <cellStyle name="Normal 340 7" xfId="27188" xr:uid="{00000000-0005-0000-0000-0000346A0000}"/>
    <cellStyle name="Normal 341" xfId="27189" xr:uid="{00000000-0005-0000-0000-0000356A0000}"/>
    <cellStyle name="Normal 341 2" xfId="27190" xr:uid="{00000000-0005-0000-0000-0000366A0000}"/>
    <cellStyle name="Normal 341 2 2" xfId="27191" xr:uid="{00000000-0005-0000-0000-0000376A0000}"/>
    <cellStyle name="Normal 341 2 2 2" xfId="27192" xr:uid="{00000000-0005-0000-0000-0000386A0000}"/>
    <cellStyle name="Normal 341 2 3" xfId="27193" xr:uid="{00000000-0005-0000-0000-0000396A0000}"/>
    <cellStyle name="Normal 341 2 3 2" xfId="27194" xr:uid="{00000000-0005-0000-0000-00003A6A0000}"/>
    <cellStyle name="Normal 341 2 3 2 2" xfId="27195" xr:uid="{00000000-0005-0000-0000-00003B6A0000}"/>
    <cellStyle name="Normal 341 2 3 3" xfId="27196" xr:uid="{00000000-0005-0000-0000-00003C6A0000}"/>
    <cellStyle name="Normal 341 2 4" xfId="27197" xr:uid="{00000000-0005-0000-0000-00003D6A0000}"/>
    <cellStyle name="Normal 341 2 4 2" xfId="27198" xr:uid="{00000000-0005-0000-0000-00003E6A0000}"/>
    <cellStyle name="Normal 341 2 4 2 2" xfId="27199" xr:uid="{00000000-0005-0000-0000-00003F6A0000}"/>
    <cellStyle name="Normal 341 2 4 3" xfId="27200" xr:uid="{00000000-0005-0000-0000-0000406A0000}"/>
    <cellStyle name="Normal 341 2 5" xfId="27201" xr:uid="{00000000-0005-0000-0000-0000416A0000}"/>
    <cellStyle name="Normal 341 3" xfId="27202" xr:uid="{00000000-0005-0000-0000-0000426A0000}"/>
    <cellStyle name="Normal 341 3 2" xfId="27203" xr:uid="{00000000-0005-0000-0000-0000436A0000}"/>
    <cellStyle name="Normal 341 3 2 2" xfId="27204" xr:uid="{00000000-0005-0000-0000-0000446A0000}"/>
    <cellStyle name="Normal 341 3 2 2 2" xfId="27205" xr:uid="{00000000-0005-0000-0000-0000456A0000}"/>
    <cellStyle name="Normal 341 3 2 3" xfId="27206" xr:uid="{00000000-0005-0000-0000-0000466A0000}"/>
    <cellStyle name="Normal 341 3 2 3 2" xfId="27207" xr:uid="{00000000-0005-0000-0000-0000476A0000}"/>
    <cellStyle name="Normal 341 3 2 3 2 2" xfId="27208" xr:uid="{00000000-0005-0000-0000-0000486A0000}"/>
    <cellStyle name="Normal 341 3 2 3 3" xfId="27209" xr:uid="{00000000-0005-0000-0000-0000496A0000}"/>
    <cellStyle name="Normal 341 3 2 4" xfId="27210" xr:uid="{00000000-0005-0000-0000-00004A6A0000}"/>
    <cellStyle name="Normal 341 3 3" xfId="27211" xr:uid="{00000000-0005-0000-0000-00004B6A0000}"/>
    <cellStyle name="Normal 341 3 3 2" xfId="27212" xr:uid="{00000000-0005-0000-0000-00004C6A0000}"/>
    <cellStyle name="Normal 341 3 3 2 2" xfId="27213" xr:uid="{00000000-0005-0000-0000-00004D6A0000}"/>
    <cellStyle name="Normal 341 3 3 3" xfId="27214" xr:uid="{00000000-0005-0000-0000-00004E6A0000}"/>
    <cellStyle name="Normal 341 3 4" xfId="27215" xr:uid="{00000000-0005-0000-0000-00004F6A0000}"/>
    <cellStyle name="Normal 341 3 4 2" xfId="27216" xr:uid="{00000000-0005-0000-0000-0000506A0000}"/>
    <cellStyle name="Normal 341 3 4 2 2" xfId="27217" xr:uid="{00000000-0005-0000-0000-0000516A0000}"/>
    <cellStyle name="Normal 341 3 4 3" xfId="27218" xr:uid="{00000000-0005-0000-0000-0000526A0000}"/>
    <cellStyle name="Normal 341 3 5" xfId="27219" xr:uid="{00000000-0005-0000-0000-0000536A0000}"/>
    <cellStyle name="Normal 341 3 5 2" xfId="27220" xr:uid="{00000000-0005-0000-0000-0000546A0000}"/>
    <cellStyle name="Normal 341 3 5 2 2" xfId="27221" xr:uid="{00000000-0005-0000-0000-0000556A0000}"/>
    <cellStyle name="Normal 341 3 5 3" xfId="27222" xr:uid="{00000000-0005-0000-0000-0000566A0000}"/>
    <cellStyle name="Normal 341 3 6" xfId="27223" xr:uid="{00000000-0005-0000-0000-0000576A0000}"/>
    <cellStyle name="Normal 341 4" xfId="27224" xr:uid="{00000000-0005-0000-0000-0000586A0000}"/>
    <cellStyle name="Normal 341 4 2" xfId="27225" xr:uid="{00000000-0005-0000-0000-0000596A0000}"/>
    <cellStyle name="Normal 341 4 2 2" xfId="27226" xr:uid="{00000000-0005-0000-0000-00005A6A0000}"/>
    <cellStyle name="Normal 341 4 3" xfId="27227" xr:uid="{00000000-0005-0000-0000-00005B6A0000}"/>
    <cellStyle name="Normal 341 5" xfId="27228" xr:uid="{00000000-0005-0000-0000-00005C6A0000}"/>
    <cellStyle name="Normal 341 5 2" xfId="27229" xr:uid="{00000000-0005-0000-0000-00005D6A0000}"/>
    <cellStyle name="Normal 341 5 2 2" xfId="27230" xr:uid="{00000000-0005-0000-0000-00005E6A0000}"/>
    <cellStyle name="Normal 341 5 3" xfId="27231" xr:uid="{00000000-0005-0000-0000-00005F6A0000}"/>
    <cellStyle name="Normal 341 6" xfId="27232" xr:uid="{00000000-0005-0000-0000-0000606A0000}"/>
    <cellStyle name="Normal 341 6 2" xfId="27233" xr:uid="{00000000-0005-0000-0000-0000616A0000}"/>
    <cellStyle name="Normal 341 6 2 2" xfId="27234" xr:uid="{00000000-0005-0000-0000-0000626A0000}"/>
    <cellStyle name="Normal 341 6 3" xfId="27235" xr:uid="{00000000-0005-0000-0000-0000636A0000}"/>
    <cellStyle name="Normal 341 7" xfId="27236" xr:uid="{00000000-0005-0000-0000-0000646A0000}"/>
    <cellStyle name="Normal 342" xfId="27237" xr:uid="{00000000-0005-0000-0000-0000656A0000}"/>
    <cellStyle name="Normal 342 2" xfId="27238" xr:uid="{00000000-0005-0000-0000-0000666A0000}"/>
    <cellStyle name="Normal 342 2 2" xfId="27239" xr:uid="{00000000-0005-0000-0000-0000676A0000}"/>
    <cellStyle name="Normal 342 2 2 2" xfId="27240" xr:uid="{00000000-0005-0000-0000-0000686A0000}"/>
    <cellStyle name="Normal 342 2 3" xfId="27241" xr:uid="{00000000-0005-0000-0000-0000696A0000}"/>
    <cellStyle name="Normal 342 2 3 2" xfId="27242" xr:uid="{00000000-0005-0000-0000-00006A6A0000}"/>
    <cellStyle name="Normal 342 2 3 2 2" xfId="27243" xr:uid="{00000000-0005-0000-0000-00006B6A0000}"/>
    <cellStyle name="Normal 342 2 3 3" xfId="27244" xr:uid="{00000000-0005-0000-0000-00006C6A0000}"/>
    <cellStyle name="Normal 342 2 4" xfId="27245" xr:uid="{00000000-0005-0000-0000-00006D6A0000}"/>
    <cellStyle name="Normal 342 2 4 2" xfId="27246" xr:uid="{00000000-0005-0000-0000-00006E6A0000}"/>
    <cellStyle name="Normal 342 2 4 2 2" xfId="27247" xr:uid="{00000000-0005-0000-0000-00006F6A0000}"/>
    <cellStyle name="Normal 342 2 4 3" xfId="27248" xr:uid="{00000000-0005-0000-0000-0000706A0000}"/>
    <cellStyle name="Normal 342 2 5" xfId="27249" xr:uid="{00000000-0005-0000-0000-0000716A0000}"/>
    <cellStyle name="Normal 342 3" xfId="27250" xr:uid="{00000000-0005-0000-0000-0000726A0000}"/>
    <cellStyle name="Normal 342 3 2" xfId="27251" xr:uid="{00000000-0005-0000-0000-0000736A0000}"/>
    <cellStyle name="Normal 342 3 2 2" xfId="27252" xr:uid="{00000000-0005-0000-0000-0000746A0000}"/>
    <cellStyle name="Normal 342 3 2 2 2" xfId="27253" xr:uid="{00000000-0005-0000-0000-0000756A0000}"/>
    <cellStyle name="Normal 342 3 2 3" xfId="27254" xr:uid="{00000000-0005-0000-0000-0000766A0000}"/>
    <cellStyle name="Normal 342 3 2 3 2" xfId="27255" xr:uid="{00000000-0005-0000-0000-0000776A0000}"/>
    <cellStyle name="Normal 342 3 2 3 2 2" xfId="27256" xr:uid="{00000000-0005-0000-0000-0000786A0000}"/>
    <cellStyle name="Normal 342 3 2 3 3" xfId="27257" xr:uid="{00000000-0005-0000-0000-0000796A0000}"/>
    <cellStyle name="Normal 342 3 2 4" xfId="27258" xr:uid="{00000000-0005-0000-0000-00007A6A0000}"/>
    <cellStyle name="Normal 342 3 3" xfId="27259" xr:uid="{00000000-0005-0000-0000-00007B6A0000}"/>
    <cellStyle name="Normal 342 3 3 2" xfId="27260" xr:uid="{00000000-0005-0000-0000-00007C6A0000}"/>
    <cellStyle name="Normal 342 3 3 2 2" xfId="27261" xr:uid="{00000000-0005-0000-0000-00007D6A0000}"/>
    <cellStyle name="Normal 342 3 3 3" xfId="27262" xr:uid="{00000000-0005-0000-0000-00007E6A0000}"/>
    <cellStyle name="Normal 342 3 4" xfId="27263" xr:uid="{00000000-0005-0000-0000-00007F6A0000}"/>
    <cellStyle name="Normal 342 3 4 2" xfId="27264" xr:uid="{00000000-0005-0000-0000-0000806A0000}"/>
    <cellStyle name="Normal 342 3 4 2 2" xfId="27265" xr:uid="{00000000-0005-0000-0000-0000816A0000}"/>
    <cellStyle name="Normal 342 3 4 3" xfId="27266" xr:uid="{00000000-0005-0000-0000-0000826A0000}"/>
    <cellStyle name="Normal 342 3 5" xfId="27267" xr:uid="{00000000-0005-0000-0000-0000836A0000}"/>
    <cellStyle name="Normal 342 3 5 2" xfId="27268" xr:uid="{00000000-0005-0000-0000-0000846A0000}"/>
    <cellStyle name="Normal 342 3 5 2 2" xfId="27269" xr:uid="{00000000-0005-0000-0000-0000856A0000}"/>
    <cellStyle name="Normal 342 3 5 3" xfId="27270" xr:uid="{00000000-0005-0000-0000-0000866A0000}"/>
    <cellStyle name="Normal 342 3 6" xfId="27271" xr:uid="{00000000-0005-0000-0000-0000876A0000}"/>
    <cellStyle name="Normal 342 4" xfId="27272" xr:uid="{00000000-0005-0000-0000-0000886A0000}"/>
    <cellStyle name="Normal 342 4 2" xfId="27273" xr:uid="{00000000-0005-0000-0000-0000896A0000}"/>
    <cellStyle name="Normal 342 4 2 2" xfId="27274" xr:uid="{00000000-0005-0000-0000-00008A6A0000}"/>
    <cellStyle name="Normal 342 4 3" xfId="27275" xr:uid="{00000000-0005-0000-0000-00008B6A0000}"/>
    <cellStyle name="Normal 342 5" xfId="27276" xr:uid="{00000000-0005-0000-0000-00008C6A0000}"/>
    <cellStyle name="Normal 342 5 2" xfId="27277" xr:uid="{00000000-0005-0000-0000-00008D6A0000}"/>
    <cellStyle name="Normal 342 5 2 2" xfId="27278" xr:uid="{00000000-0005-0000-0000-00008E6A0000}"/>
    <cellStyle name="Normal 342 5 3" xfId="27279" xr:uid="{00000000-0005-0000-0000-00008F6A0000}"/>
    <cellStyle name="Normal 342 6" xfId="27280" xr:uid="{00000000-0005-0000-0000-0000906A0000}"/>
    <cellStyle name="Normal 342 6 2" xfId="27281" xr:uid="{00000000-0005-0000-0000-0000916A0000}"/>
    <cellStyle name="Normal 342 6 2 2" xfId="27282" xr:uid="{00000000-0005-0000-0000-0000926A0000}"/>
    <cellStyle name="Normal 342 6 3" xfId="27283" xr:uid="{00000000-0005-0000-0000-0000936A0000}"/>
    <cellStyle name="Normal 342 7" xfId="27284" xr:uid="{00000000-0005-0000-0000-0000946A0000}"/>
    <cellStyle name="Normal 343" xfId="27285" xr:uid="{00000000-0005-0000-0000-0000956A0000}"/>
    <cellStyle name="Normal 343 2" xfId="27286" xr:uid="{00000000-0005-0000-0000-0000966A0000}"/>
    <cellStyle name="Normal 343 2 2" xfId="27287" xr:uid="{00000000-0005-0000-0000-0000976A0000}"/>
    <cellStyle name="Normal 343 2 2 2" xfId="27288" xr:uid="{00000000-0005-0000-0000-0000986A0000}"/>
    <cellStyle name="Normal 343 2 3" xfId="27289" xr:uid="{00000000-0005-0000-0000-0000996A0000}"/>
    <cellStyle name="Normal 343 2 3 2" xfId="27290" xr:uid="{00000000-0005-0000-0000-00009A6A0000}"/>
    <cellStyle name="Normal 343 2 3 2 2" xfId="27291" xr:uid="{00000000-0005-0000-0000-00009B6A0000}"/>
    <cellStyle name="Normal 343 2 3 3" xfId="27292" xr:uid="{00000000-0005-0000-0000-00009C6A0000}"/>
    <cellStyle name="Normal 343 2 4" xfId="27293" xr:uid="{00000000-0005-0000-0000-00009D6A0000}"/>
    <cellStyle name="Normal 343 2 4 2" xfId="27294" xr:uid="{00000000-0005-0000-0000-00009E6A0000}"/>
    <cellStyle name="Normal 343 2 4 2 2" xfId="27295" xr:uid="{00000000-0005-0000-0000-00009F6A0000}"/>
    <cellStyle name="Normal 343 2 4 3" xfId="27296" xr:uid="{00000000-0005-0000-0000-0000A06A0000}"/>
    <cellStyle name="Normal 343 2 5" xfId="27297" xr:uid="{00000000-0005-0000-0000-0000A16A0000}"/>
    <cellStyle name="Normal 343 3" xfId="27298" xr:uid="{00000000-0005-0000-0000-0000A26A0000}"/>
    <cellStyle name="Normal 343 3 2" xfId="27299" xr:uid="{00000000-0005-0000-0000-0000A36A0000}"/>
    <cellStyle name="Normal 343 3 2 2" xfId="27300" xr:uid="{00000000-0005-0000-0000-0000A46A0000}"/>
    <cellStyle name="Normal 343 3 2 2 2" xfId="27301" xr:uid="{00000000-0005-0000-0000-0000A56A0000}"/>
    <cellStyle name="Normal 343 3 2 3" xfId="27302" xr:uid="{00000000-0005-0000-0000-0000A66A0000}"/>
    <cellStyle name="Normal 343 3 2 3 2" xfId="27303" xr:uid="{00000000-0005-0000-0000-0000A76A0000}"/>
    <cellStyle name="Normal 343 3 2 3 2 2" xfId="27304" xr:uid="{00000000-0005-0000-0000-0000A86A0000}"/>
    <cellStyle name="Normal 343 3 2 3 3" xfId="27305" xr:uid="{00000000-0005-0000-0000-0000A96A0000}"/>
    <cellStyle name="Normal 343 3 2 4" xfId="27306" xr:uid="{00000000-0005-0000-0000-0000AA6A0000}"/>
    <cellStyle name="Normal 343 3 3" xfId="27307" xr:uid="{00000000-0005-0000-0000-0000AB6A0000}"/>
    <cellStyle name="Normal 343 3 3 2" xfId="27308" xr:uid="{00000000-0005-0000-0000-0000AC6A0000}"/>
    <cellStyle name="Normal 343 3 3 2 2" xfId="27309" xr:uid="{00000000-0005-0000-0000-0000AD6A0000}"/>
    <cellStyle name="Normal 343 3 3 3" xfId="27310" xr:uid="{00000000-0005-0000-0000-0000AE6A0000}"/>
    <cellStyle name="Normal 343 3 4" xfId="27311" xr:uid="{00000000-0005-0000-0000-0000AF6A0000}"/>
    <cellStyle name="Normal 343 3 4 2" xfId="27312" xr:uid="{00000000-0005-0000-0000-0000B06A0000}"/>
    <cellStyle name="Normal 343 3 4 2 2" xfId="27313" xr:uid="{00000000-0005-0000-0000-0000B16A0000}"/>
    <cellStyle name="Normal 343 3 4 3" xfId="27314" xr:uid="{00000000-0005-0000-0000-0000B26A0000}"/>
    <cellStyle name="Normal 343 3 5" xfId="27315" xr:uid="{00000000-0005-0000-0000-0000B36A0000}"/>
    <cellStyle name="Normal 343 3 5 2" xfId="27316" xr:uid="{00000000-0005-0000-0000-0000B46A0000}"/>
    <cellStyle name="Normal 343 3 5 2 2" xfId="27317" xr:uid="{00000000-0005-0000-0000-0000B56A0000}"/>
    <cellStyle name="Normal 343 3 5 3" xfId="27318" xr:uid="{00000000-0005-0000-0000-0000B66A0000}"/>
    <cellStyle name="Normal 343 3 6" xfId="27319" xr:uid="{00000000-0005-0000-0000-0000B76A0000}"/>
    <cellStyle name="Normal 343 4" xfId="27320" xr:uid="{00000000-0005-0000-0000-0000B86A0000}"/>
    <cellStyle name="Normal 343 4 2" xfId="27321" xr:uid="{00000000-0005-0000-0000-0000B96A0000}"/>
    <cellStyle name="Normal 343 4 2 2" xfId="27322" xr:uid="{00000000-0005-0000-0000-0000BA6A0000}"/>
    <cellStyle name="Normal 343 4 3" xfId="27323" xr:uid="{00000000-0005-0000-0000-0000BB6A0000}"/>
    <cellStyle name="Normal 343 5" xfId="27324" xr:uid="{00000000-0005-0000-0000-0000BC6A0000}"/>
    <cellStyle name="Normal 343 5 2" xfId="27325" xr:uid="{00000000-0005-0000-0000-0000BD6A0000}"/>
    <cellStyle name="Normal 343 5 2 2" xfId="27326" xr:uid="{00000000-0005-0000-0000-0000BE6A0000}"/>
    <cellStyle name="Normal 343 5 3" xfId="27327" xr:uid="{00000000-0005-0000-0000-0000BF6A0000}"/>
    <cellStyle name="Normal 343 6" xfId="27328" xr:uid="{00000000-0005-0000-0000-0000C06A0000}"/>
    <cellStyle name="Normal 343 6 2" xfId="27329" xr:uid="{00000000-0005-0000-0000-0000C16A0000}"/>
    <cellStyle name="Normal 343 6 2 2" xfId="27330" xr:uid="{00000000-0005-0000-0000-0000C26A0000}"/>
    <cellStyle name="Normal 343 6 3" xfId="27331" xr:uid="{00000000-0005-0000-0000-0000C36A0000}"/>
    <cellStyle name="Normal 343 7" xfId="27332" xr:uid="{00000000-0005-0000-0000-0000C46A0000}"/>
    <cellStyle name="Normal 344" xfId="27333" xr:uid="{00000000-0005-0000-0000-0000C56A0000}"/>
    <cellStyle name="Normal 344 2" xfId="27334" xr:uid="{00000000-0005-0000-0000-0000C66A0000}"/>
    <cellStyle name="Normal 344 2 2" xfId="27335" xr:uid="{00000000-0005-0000-0000-0000C76A0000}"/>
    <cellStyle name="Normal 344 2 2 2" xfId="27336" xr:uid="{00000000-0005-0000-0000-0000C86A0000}"/>
    <cellStyle name="Normal 344 2 3" xfId="27337" xr:uid="{00000000-0005-0000-0000-0000C96A0000}"/>
    <cellStyle name="Normal 344 2 3 2" xfId="27338" xr:uid="{00000000-0005-0000-0000-0000CA6A0000}"/>
    <cellStyle name="Normal 344 2 3 2 2" xfId="27339" xr:uid="{00000000-0005-0000-0000-0000CB6A0000}"/>
    <cellStyle name="Normal 344 2 3 3" xfId="27340" xr:uid="{00000000-0005-0000-0000-0000CC6A0000}"/>
    <cellStyle name="Normal 344 2 4" xfId="27341" xr:uid="{00000000-0005-0000-0000-0000CD6A0000}"/>
    <cellStyle name="Normal 344 2 4 2" xfId="27342" xr:uid="{00000000-0005-0000-0000-0000CE6A0000}"/>
    <cellStyle name="Normal 344 2 4 2 2" xfId="27343" xr:uid="{00000000-0005-0000-0000-0000CF6A0000}"/>
    <cellStyle name="Normal 344 2 4 3" xfId="27344" xr:uid="{00000000-0005-0000-0000-0000D06A0000}"/>
    <cellStyle name="Normal 344 2 5" xfId="27345" xr:uid="{00000000-0005-0000-0000-0000D16A0000}"/>
    <cellStyle name="Normal 344 3" xfId="27346" xr:uid="{00000000-0005-0000-0000-0000D26A0000}"/>
    <cellStyle name="Normal 344 3 2" xfId="27347" xr:uid="{00000000-0005-0000-0000-0000D36A0000}"/>
    <cellStyle name="Normal 344 3 2 2" xfId="27348" xr:uid="{00000000-0005-0000-0000-0000D46A0000}"/>
    <cellStyle name="Normal 344 3 2 2 2" xfId="27349" xr:uid="{00000000-0005-0000-0000-0000D56A0000}"/>
    <cellStyle name="Normal 344 3 2 3" xfId="27350" xr:uid="{00000000-0005-0000-0000-0000D66A0000}"/>
    <cellStyle name="Normal 344 3 2 3 2" xfId="27351" xr:uid="{00000000-0005-0000-0000-0000D76A0000}"/>
    <cellStyle name="Normal 344 3 2 3 2 2" xfId="27352" xr:uid="{00000000-0005-0000-0000-0000D86A0000}"/>
    <cellStyle name="Normal 344 3 2 3 3" xfId="27353" xr:uid="{00000000-0005-0000-0000-0000D96A0000}"/>
    <cellStyle name="Normal 344 3 2 4" xfId="27354" xr:uid="{00000000-0005-0000-0000-0000DA6A0000}"/>
    <cellStyle name="Normal 344 3 3" xfId="27355" xr:uid="{00000000-0005-0000-0000-0000DB6A0000}"/>
    <cellStyle name="Normal 344 3 3 2" xfId="27356" xr:uid="{00000000-0005-0000-0000-0000DC6A0000}"/>
    <cellStyle name="Normal 344 3 3 2 2" xfId="27357" xr:uid="{00000000-0005-0000-0000-0000DD6A0000}"/>
    <cellStyle name="Normal 344 3 3 3" xfId="27358" xr:uid="{00000000-0005-0000-0000-0000DE6A0000}"/>
    <cellStyle name="Normal 344 3 4" xfId="27359" xr:uid="{00000000-0005-0000-0000-0000DF6A0000}"/>
    <cellStyle name="Normal 344 3 4 2" xfId="27360" xr:uid="{00000000-0005-0000-0000-0000E06A0000}"/>
    <cellStyle name="Normal 344 3 4 2 2" xfId="27361" xr:uid="{00000000-0005-0000-0000-0000E16A0000}"/>
    <cellStyle name="Normal 344 3 4 3" xfId="27362" xr:uid="{00000000-0005-0000-0000-0000E26A0000}"/>
    <cellStyle name="Normal 344 3 5" xfId="27363" xr:uid="{00000000-0005-0000-0000-0000E36A0000}"/>
    <cellStyle name="Normal 344 3 5 2" xfId="27364" xr:uid="{00000000-0005-0000-0000-0000E46A0000}"/>
    <cellStyle name="Normal 344 3 5 2 2" xfId="27365" xr:uid="{00000000-0005-0000-0000-0000E56A0000}"/>
    <cellStyle name="Normal 344 3 5 3" xfId="27366" xr:uid="{00000000-0005-0000-0000-0000E66A0000}"/>
    <cellStyle name="Normal 344 3 6" xfId="27367" xr:uid="{00000000-0005-0000-0000-0000E76A0000}"/>
    <cellStyle name="Normal 344 4" xfId="27368" xr:uid="{00000000-0005-0000-0000-0000E86A0000}"/>
    <cellStyle name="Normal 344 4 2" xfId="27369" xr:uid="{00000000-0005-0000-0000-0000E96A0000}"/>
    <cellStyle name="Normal 344 4 2 2" xfId="27370" xr:uid="{00000000-0005-0000-0000-0000EA6A0000}"/>
    <cellStyle name="Normal 344 4 3" xfId="27371" xr:uid="{00000000-0005-0000-0000-0000EB6A0000}"/>
    <cellStyle name="Normal 344 5" xfId="27372" xr:uid="{00000000-0005-0000-0000-0000EC6A0000}"/>
    <cellStyle name="Normal 344 5 2" xfId="27373" xr:uid="{00000000-0005-0000-0000-0000ED6A0000}"/>
    <cellStyle name="Normal 344 5 2 2" xfId="27374" xr:uid="{00000000-0005-0000-0000-0000EE6A0000}"/>
    <cellStyle name="Normal 344 5 3" xfId="27375" xr:uid="{00000000-0005-0000-0000-0000EF6A0000}"/>
    <cellStyle name="Normal 344 6" xfId="27376" xr:uid="{00000000-0005-0000-0000-0000F06A0000}"/>
    <cellStyle name="Normal 344 6 2" xfId="27377" xr:uid="{00000000-0005-0000-0000-0000F16A0000}"/>
    <cellStyle name="Normal 344 6 2 2" xfId="27378" xr:uid="{00000000-0005-0000-0000-0000F26A0000}"/>
    <cellStyle name="Normal 344 6 3" xfId="27379" xr:uid="{00000000-0005-0000-0000-0000F36A0000}"/>
    <cellStyle name="Normal 344 7" xfId="27380" xr:uid="{00000000-0005-0000-0000-0000F46A0000}"/>
    <cellStyle name="Normal 345" xfId="27381" xr:uid="{00000000-0005-0000-0000-0000F56A0000}"/>
    <cellStyle name="Normal 345 2" xfId="27382" xr:uid="{00000000-0005-0000-0000-0000F66A0000}"/>
    <cellStyle name="Normal 345 2 2" xfId="27383" xr:uid="{00000000-0005-0000-0000-0000F76A0000}"/>
    <cellStyle name="Normal 345 2 2 2" xfId="27384" xr:uid="{00000000-0005-0000-0000-0000F86A0000}"/>
    <cellStyle name="Normal 345 2 3" xfId="27385" xr:uid="{00000000-0005-0000-0000-0000F96A0000}"/>
    <cellStyle name="Normal 345 2 3 2" xfId="27386" xr:uid="{00000000-0005-0000-0000-0000FA6A0000}"/>
    <cellStyle name="Normal 345 2 3 2 2" xfId="27387" xr:uid="{00000000-0005-0000-0000-0000FB6A0000}"/>
    <cellStyle name="Normal 345 2 3 3" xfId="27388" xr:uid="{00000000-0005-0000-0000-0000FC6A0000}"/>
    <cellStyle name="Normal 345 2 4" xfId="27389" xr:uid="{00000000-0005-0000-0000-0000FD6A0000}"/>
    <cellStyle name="Normal 345 2 4 2" xfId="27390" xr:uid="{00000000-0005-0000-0000-0000FE6A0000}"/>
    <cellStyle name="Normal 345 2 4 2 2" xfId="27391" xr:uid="{00000000-0005-0000-0000-0000FF6A0000}"/>
    <cellStyle name="Normal 345 2 4 3" xfId="27392" xr:uid="{00000000-0005-0000-0000-0000006B0000}"/>
    <cellStyle name="Normal 345 2 5" xfId="27393" xr:uid="{00000000-0005-0000-0000-0000016B0000}"/>
    <cellStyle name="Normal 345 3" xfId="27394" xr:uid="{00000000-0005-0000-0000-0000026B0000}"/>
    <cellStyle name="Normal 345 3 2" xfId="27395" xr:uid="{00000000-0005-0000-0000-0000036B0000}"/>
    <cellStyle name="Normal 345 3 2 2" xfId="27396" xr:uid="{00000000-0005-0000-0000-0000046B0000}"/>
    <cellStyle name="Normal 345 3 2 2 2" xfId="27397" xr:uid="{00000000-0005-0000-0000-0000056B0000}"/>
    <cellStyle name="Normal 345 3 2 3" xfId="27398" xr:uid="{00000000-0005-0000-0000-0000066B0000}"/>
    <cellStyle name="Normal 345 3 2 3 2" xfId="27399" xr:uid="{00000000-0005-0000-0000-0000076B0000}"/>
    <cellStyle name="Normal 345 3 2 3 2 2" xfId="27400" xr:uid="{00000000-0005-0000-0000-0000086B0000}"/>
    <cellStyle name="Normal 345 3 2 3 3" xfId="27401" xr:uid="{00000000-0005-0000-0000-0000096B0000}"/>
    <cellStyle name="Normal 345 3 2 4" xfId="27402" xr:uid="{00000000-0005-0000-0000-00000A6B0000}"/>
    <cellStyle name="Normal 345 3 3" xfId="27403" xr:uid="{00000000-0005-0000-0000-00000B6B0000}"/>
    <cellStyle name="Normal 345 3 3 2" xfId="27404" xr:uid="{00000000-0005-0000-0000-00000C6B0000}"/>
    <cellStyle name="Normal 345 3 3 2 2" xfId="27405" xr:uid="{00000000-0005-0000-0000-00000D6B0000}"/>
    <cellStyle name="Normal 345 3 3 3" xfId="27406" xr:uid="{00000000-0005-0000-0000-00000E6B0000}"/>
    <cellStyle name="Normal 345 3 4" xfId="27407" xr:uid="{00000000-0005-0000-0000-00000F6B0000}"/>
    <cellStyle name="Normal 345 3 4 2" xfId="27408" xr:uid="{00000000-0005-0000-0000-0000106B0000}"/>
    <cellStyle name="Normal 345 3 4 2 2" xfId="27409" xr:uid="{00000000-0005-0000-0000-0000116B0000}"/>
    <cellStyle name="Normal 345 3 4 3" xfId="27410" xr:uid="{00000000-0005-0000-0000-0000126B0000}"/>
    <cellStyle name="Normal 345 3 5" xfId="27411" xr:uid="{00000000-0005-0000-0000-0000136B0000}"/>
    <cellStyle name="Normal 345 3 5 2" xfId="27412" xr:uid="{00000000-0005-0000-0000-0000146B0000}"/>
    <cellStyle name="Normal 345 3 5 2 2" xfId="27413" xr:uid="{00000000-0005-0000-0000-0000156B0000}"/>
    <cellStyle name="Normal 345 3 5 3" xfId="27414" xr:uid="{00000000-0005-0000-0000-0000166B0000}"/>
    <cellStyle name="Normal 345 3 6" xfId="27415" xr:uid="{00000000-0005-0000-0000-0000176B0000}"/>
    <cellStyle name="Normal 345 4" xfId="27416" xr:uid="{00000000-0005-0000-0000-0000186B0000}"/>
    <cellStyle name="Normal 345 4 2" xfId="27417" xr:uid="{00000000-0005-0000-0000-0000196B0000}"/>
    <cellStyle name="Normal 345 4 2 2" xfId="27418" xr:uid="{00000000-0005-0000-0000-00001A6B0000}"/>
    <cellStyle name="Normal 345 4 3" xfId="27419" xr:uid="{00000000-0005-0000-0000-00001B6B0000}"/>
    <cellStyle name="Normal 345 5" xfId="27420" xr:uid="{00000000-0005-0000-0000-00001C6B0000}"/>
    <cellStyle name="Normal 345 5 2" xfId="27421" xr:uid="{00000000-0005-0000-0000-00001D6B0000}"/>
    <cellStyle name="Normal 345 5 2 2" xfId="27422" xr:uid="{00000000-0005-0000-0000-00001E6B0000}"/>
    <cellStyle name="Normal 345 5 3" xfId="27423" xr:uid="{00000000-0005-0000-0000-00001F6B0000}"/>
    <cellStyle name="Normal 345 6" xfId="27424" xr:uid="{00000000-0005-0000-0000-0000206B0000}"/>
    <cellStyle name="Normal 345 6 2" xfId="27425" xr:uid="{00000000-0005-0000-0000-0000216B0000}"/>
    <cellStyle name="Normal 345 6 2 2" xfId="27426" xr:uid="{00000000-0005-0000-0000-0000226B0000}"/>
    <cellStyle name="Normal 345 6 3" xfId="27427" xr:uid="{00000000-0005-0000-0000-0000236B0000}"/>
    <cellStyle name="Normal 345 7" xfId="27428" xr:uid="{00000000-0005-0000-0000-0000246B0000}"/>
    <cellStyle name="Normal 346" xfId="27429" xr:uid="{00000000-0005-0000-0000-0000256B0000}"/>
    <cellStyle name="Normal 346 2" xfId="66" xr:uid="{00000000-0005-0000-0000-000042000000}"/>
    <cellStyle name="Normal 346 2 2" xfId="27430" xr:uid="{00000000-0005-0000-0000-0000266B0000}"/>
    <cellStyle name="Normal 346 2 2 2" xfId="27431" xr:uid="{00000000-0005-0000-0000-0000276B0000}"/>
    <cellStyle name="Normal 346 2 3" xfId="27432" xr:uid="{00000000-0005-0000-0000-0000286B0000}"/>
    <cellStyle name="Normal 346 2 3 2" xfId="27433" xr:uid="{00000000-0005-0000-0000-0000296B0000}"/>
    <cellStyle name="Normal 346 2 3 2 2" xfId="27434" xr:uid="{00000000-0005-0000-0000-00002A6B0000}"/>
    <cellStyle name="Normal 346 2 3 3" xfId="27435" xr:uid="{00000000-0005-0000-0000-00002B6B0000}"/>
    <cellStyle name="Normal 346 2 4" xfId="27436" xr:uid="{00000000-0005-0000-0000-00002C6B0000}"/>
    <cellStyle name="Normal 346 2 4 2" xfId="27437" xr:uid="{00000000-0005-0000-0000-00002D6B0000}"/>
    <cellStyle name="Normal 346 2 4 2 2" xfId="27438" xr:uid="{00000000-0005-0000-0000-00002E6B0000}"/>
    <cellStyle name="Normal 346 2 4 3" xfId="27439" xr:uid="{00000000-0005-0000-0000-00002F6B0000}"/>
    <cellStyle name="Normal 346 2 5" xfId="27440" xr:uid="{00000000-0005-0000-0000-0000306B0000}"/>
    <cellStyle name="Normal 346 3" xfId="27441" xr:uid="{00000000-0005-0000-0000-0000316B0000}"/>
    <cellStyle name="Normal 346 3 2" xfId="27442" xr:uid="{00000000-0005-0000-0000-0000326B0000}"/>
    <cellStyle name="Normal 346 3 2 2" xfId="27443" xr:uid="{00000000-0005-0000-0000-0000336B0000}"/>
    <cellStyle name="Normal 346 3 2 2 2" xfId="27444" xr:uid="{00000000-0005-0000-0000-0000346B0000}"/>
    <cellStyle name="Normal 346 3 2 3" xfId="27445" xr:uid="{00000000-0005-0000-0000-0000356B0000}"/>
    <cellStyle name="Normal 346 3 2 3 2" xfId="27446" xr:uid="{00000000-0005-0000-0000-0000366B0000}"/>
    <cellStyle name="Normal 346 3 2 3 2 2" xfId="27447" xr:uid="{00000000-0005-0000-0000-0000376B0000}"/>
    <cellStyle name="Normal 346 3 2 3 3" xfId="27448" xr:uid="{00000000-0005-0000-0000-0000386B0000}"/>
    <cellStyle name="Normal 346 3 2 4" xfId="27449" xr:uid="{00000000-0005-0000-0000-0000396B0000}"/>
    <cellStyle name="Normal 346 3 3" xfId="27450" xr:uid="{00000000-0005-0000-0000-00003A6B0000}"/>
    <cellStyle name="Normal 346 3 3 2" xfId="27451" xr:uid="{00000000-0005-0000-0000-00003B6B0000}"/>
    <cellStyle name="Normal 346 3 3 2 2" xfId="27452" xr:uid="{00000000-0005-0000-0000-00003C6B0000}"/>
    <cellStyle name="Normal 346 3 3 3" xfId="27453" xr:uid="{00000000-0005-0000-0000-00003D6B0000}"/>
    <cellStyle name="Normal 346 3 4" xfId="27454" xr:uid="{00000000-0005-0000-0000-00003E6B0000}"/>
    <cellStyle name="Normal 346 3 4 2" xfId="27455" xr:uid="{00000000-0005-0000-0000-00003F6B0000}"/>
    <cellStyle name="Normal 346 3 4 2 2" xfId="27456" xr:uid="{00000000-0005-0000-0000-0000406B0000}"/>
    <cellStyle name="Normal 346 3 4 3" xfId="27457" xr:uid="{00000000-0005-0000-0000-0000416B0000}"/>
    <cellStyle name="Normal 346 3 5" xfId="27458" xr:uid="{00000000-0005-0000-0000-0000426B0000}"/>
    <cellStyle name="Normal 346 3 5 2" xfId="27459" xr:uid="{00000000-0005-0000-0000-0000436B0000}"/>
    <cellStyle name="Normal 346 3 5 2 2" xfId="27460" xr:uid="{00000000-0005-0000-0000-0000446B0000}"/>
    <cellStyle name="Normal 346 3 5 3" xfId="27461" xr:uid="{00000000-0005-0000-0000-0000456B0000}"/>
    <cellStyle name="Normal 346 3 6" xfId="27462" xr:uid="{00000000-0005-0000-0000-0000466B0000}"/>
    <cellStyle name="Normal 346 4" xfId="27463" xr:uid="{00000000-0005-0000-0000-0000476B0000}"/>
    <cellStyle name="Normal 346 4 2" xfId="27464" xr:uid="{00000000-0005-0000-0000-0000486B0000}"/>
    <cellStyle name="Normal 346 4 2 2" xfId="27465" xr:uid="{00000000-0005-0000-0000-0000496B0000}"/>
    <cellStyle name="Normal 346 4 3" xfId="27466" xr:uid="{00000000-0005-0000-0000-00004A6B0000}"/>
    <cellStyle name="Normal 346 5" xfId="27467" xr:uid="{00000000-0005-0000-0000-00004B6B0000}"/>
    <cellStyle name="Normal 346 5 2" xfId="27468" xr:uid="{00000000-0005-0000-0000-00004C6B0000}"/>
    <cellStyle name="Normal 346 5 2 2" xfId="27469" xr:uid="{00000000-0005-0000-0000-00004D6B0000}"/>
    <cellStyle name="Normal 346 5 3" xfId="27470" xr:uid="{00000000-0005-0000-0000-00004E6B0000}"/>
    <cellStyle name="Normal 346 6" xfId="27471" xr:uid="{00000000-0005-0000-0000-00004F6B0000}"/>
    <cellStyle name="Normal 346 6 2" xfId="27472" xr:uid="{00000000-0005-0000-0000-0000506B0000}"/>
    <cellStyle name="Normal 346 6 2 2" xfId="27473" xr:uid="{00000000-0005-0000-0000-0000516B0000}"/>
    <cellStyle name="Normal 346 6 3" xfId="27474" xr:uid="{00000000-0005-0000-0000-0000526B0000}"/>
    <cellStyle name="Normal 346 7" xfId="27475" xr:uid="{00000000-0005-0000-0000-0000536B0000}"/>
    <cellStyle name="Normal 347" xfId="27476" xr:uid="{00000000-0005-0000-0000-0000546B0000}"/>
    <cellStyle name="Normal 347 2" xfId="27477" xr:uid="{00000000-0005-0000-0000-0000556B0000}"/>
    <cellStyle name="Normal 347 2 2" xfId="27478" xr:uid="{00000000-0005-0000-0000-0000566B0000}"/>
    <cellStyle name="Normal 347 2 2 2" xfId="27479" xr:uid="{00000000-0005-0000-0000-0000576B0000}"/>
    <cellStyle name="Normal 347 2 3" xfId="27480" xr:uid="{00000000-0005-0000-0000-0000586B0000}"/>
    <cellStyle name="Normal 347 2 3 2" xfId="27481" xr:uid="{00000000-0005-0000-0000-0000596B0000}"/>
    <cellStyle name="Normal 347 2 3 2 2" xfId="27482" xr:uid="{00000000-0005-0000-0000-00005A6B0000}"/>
    <cellStyle name="Normal 347 2 3 3" xfId="27483" xr:uid="{00000000-0005-0000-0000-00005B6B0000}"/>
    <cellStyle name="Normal 347 2 4" xfId="27484" xr:uid="{00000000-0005-0000-0000-00005C6B0000}"/>
    <cellStyle name="Normal 347 2 4 2" xfId="27485" xr:uid="{00000000-0005-0000-0000-00005D6B0000}"/>
    <cellStyle name="Normal 347 2 4 2 2" xfId="27486" xr:uid="{00000000-0005-0000-0000-00005E6B0000}"/>
    <cellStyle name="Normal 347 2 4 3" xfId="27487" xr:uid="{00000000-0005-0000-0000-00005F6B0000}"/>
    <cellStyle name="Normal 347 2 5" xfId="27488" xr:uid="{00000000-0005-0000-0000-0000606B0000}"/>
    <cellStyle name="Normal 347 3" xfId="27489" xr:uid="{00000000-0005-0000-0000-0000616B0000}"/>
    <cellStyle name="Normal 347 3 2" xfId="27490" xr:uid="{00000000-0005-0000-0000-0000626B0000}"/>
    <cellStyle name="Normal 347 3 2 2" xfId="27491" xr:uid="{00000000-0005-0000-0000-0000636B0000}"/>
    <cellStyle name="Normal 347 3 2 2 2" xfId="27492" xr:uid="{00000000-0005-0000-0000-0000646B0000}"/>
    <cellStyle name="Normal 347 3 2 3" xfId="27493" xr:uid="{00000000-0005-0000-0000-0000656B0000}"/>
    <cellStyle name="Normal 347 3 2 3 2" xfId="27494" xr:uid="{00000000-0005-0000-0000-0000666B0000}"/>
    <cellStyle name="Normal 347 3 2 3 2 2" xfId="27495" xr:uid="{00000000-0005-0000-0000-0000676B0000}"/>
    <cellStyle name="Normal 347 3 2 3 3" xfId="27496" xr:uid="{00000000-0005-0000-0000-0000686B0000}"/>
    <cellStyle name="Normal 347 3 2 4" xfId="27497" xr:uid="{00000000-0005-0000-0000-0000696B0000}"/>
    <cellStyle name="Normal 347 3 3" xfId="27498" xr:uid="{00000000-0005-0000-0000-00006A6B0000}"/>
    <cellStyle name="Normal 347 3 3 2" xfId="27499" xr:uid="{00000000-0005-0000-0000-00006B6B0000}"/>
    <cellStyle name="Normal 347 3 3 2 2" xfId="27500" xr:uid="{00000000-0005-0000-0000-00006C6B0000}"/>
    <cellStyle name="Normal 347 3 3 3" xfId="27501" xr:uid="{00000000-0005-0000-0000-00006D6B0000}"/>
    <cellStyle name="Normal 347 3 4" xfId="27502" xr:uid="{00000000-0005-0000-0000-00006E6B0000}"/>
    <cellStyle name="Normal 347 3 4 2" xfId="27503" xr:uid="{00000000-0005-0000-0000-00006F6B0000}"/>
    <cellStyle name="Normal 347 3 4 2 2" xfId="27504" xr:uid="{00000000-0005-0000-0000-0000706B0000}"/>
    <cellStyle name="Normal 347 3 4 3" xfId="27505" xr:uid="{00000000-0005-0000-0000-0000716B0000}"/>
    <cellStyle name="Normal 347 3 5" xfId="27506" xr:uid="{00000000-0005-0000-0000-0000726B0000}"/>
    <cellStyle name="Normal 347 3 5 2" xfId="27507" xr:uid="{00000000-0005-0000-0000-0000736B0000}"/>
    <cellStyle name="Normal 347 3 5 2 2" xfId="27508" xr:uid="{00000000-0005-0000-0000-0000746B0000}"/>
    <cellStyle name="Normal 347 3 5 3" xfId="27509" xr:uid="{00000000-0005-0000-0000-0000756B0000}"/>
    <cellStyle name="Normal 347 3 6" xfId="27510" xr:uid="{00000000-0005-0000-0000-0000766B0000}"/>
    <cellStyle name="Normal 347 4" xfId="27511" xr:uid="{00000000-0005-0000-0000-0000776B0000}"/>
    <cellStyle name="Normal 347 4 2" xfId="27512" xr:uid="{00000000-0005-0000-0000-0000786B0000}"/>
    <cellStyle name="Normal 347 4 2 2" xfId="27513" xr:uid="{00000000-0005-0000-0000-0000796B0000}"/>
    <cellStyle name="Normal 347 4 3" xfId="27514" xr:uid="{00000000-0005-0000-0000-00007A6B0000}"/>
    <cellStyle name="Normal 347 5" xfId="27515" xr:uid="{00000000-0005-0000-0000-00007B6B0000}"/>
    <cellStyle name="Normal 347 5 2" xfId="27516" xr:uid="{00000000-0005-0000-0000-00007C6B0000}"/>
    <cellStyle name="Normal 347 5 2 2" xfId="27517" xr:uid="{00000000-0005-0000-0000-00007D6B0000}"/>
    <cellStyle name="Normal 347 5 3" xfId="27518" xr:uid="{00000000-0005-0000-0000-00007E6B0000}"/>
    <cellStyle name="Normal 347 6" xfId="27519" xr:uid="{00000000-0005-0000-0000-00007F6B0000}"/>
    <cellStyle name="Normal 347 6 2" xfId="27520" xr:uid="{00000000-0005-0000-0000-0000806B0000}"/>
    <cellStyle name="Normal 347 6 2 2" xfId="27521" xr:uid="{00000000-0005-0000-0000-0000816B0000}"/>
    <cellStyle name="Normal 347 6 3" xfId="27522" xr:uid="{00000000-0005-0000-0000-0000826B0000}"/>
    <cellStyle name="Normal 347 7" xfId="27523" xr:uid="{00000000-0005-0000-0000-0000836B0000}"/>
    <cellStyle name="Normal 348" xfId="27524" xr:uid="{00000000-0005-0000-0000-0000846B0000}"/>
    <cellStyle name="Normal 348 2" xfId="67" xr:uid="{00000000-0005-0000-0000-000043000000}"/>
    <cellStyle name="Normal 348 2 2" xfId="27525" xr:uid="{00000000-0005-0000-0000-0000856B0000}"/>
    <cellStyle name="Normal 348 2 2 2" xfId="27526" xr:uid="{00000000-0005-0000-0000-0000866B0000}"/>
    <cellStyle name="Normal 348 2 3" xfId="27527" xr:uid="{00000000-0005-0000-0000-0000876B0000}"/>
    <cellStyle name="Normal 348 2 3 2" xfId="27528" xr:uid="{00000000-0005-0000-0000-0000886B0000}"/>
    <cellStyle name="Normal 348 2 3 2 2" xfId="27529" xr:uid="{00000000-0005-0000-0000-0000896B0000}"/>
    <cellStyle name="Normal 348 2 3 3" xfId="27530" xr:uid="{00000000-0005-0000-0000-00008A6B0000}"/>
    <cellStyle name="Normal 348 2 4" xfId="27531" xr:uid="{00000000-0005-0000-0000-00008B6B0000}"/>
    <cellStyle name="Normal 348 2 4 2" xfId="27532" xr:uid="{00000000-0005-0000-0000-00008C6B0000}"/>
    <cellStyle name="Normal 348 2 4 2 2" xfId="27533" xr:uid="{00000000-0005-0000-0000-00008D6B0000}"/>
    <cellStyle name="Normal 348 2 4 3" xfId="27534" xr:uid="{00000000-0005-0000-0000-00008E6B0000}"/>
    <cellStyle name="Normal 348 2 5" xfId="27535" xr:uid="{00000000-0005-0000-0000-00008F6B0000}"/>
    <cellStyle name="Normal 348 3" xfId="27536" xr:uid="{00000000-0005-0000-0000-0000906B0000}"/>
    <cellStyle name="Normal 348 3 2" xfId="27537" xr:uid="{00000000-0005-0000-0000-0000916B0000}"/>
    <cellStyle name="Normal 348 3 2 2" xfId="27538" xr:uid="{00000000-0005-0000-0000-0000926B0000}"/>
    <cellStyle name="Normal 348 3 2 2 2" xfId="27539" xr:uid="{00000000-0005-0000-0000-0000936B0000}"/>
    <cellStyle name="Normal 348 3 2 3" xfId="27540" xr:uid="{00000000-0005-0000-0000-0000946B0000}"/>
    <cellStyle name="Normal 348 3 2 3 2" xfId="27541" xr:uid="{00000000-0005-0000-0000-0000956B0000}"/>
    <cellStyle name="Normal 348 3 2 3 2 2" xfId="27542" xr:uid="{00000000-0005-0000-0000-0000966B0000}"/>
    <cellStyle name="Normal 348 3 2 3 3" xfId="27543" xr:uid="{00000000-0005-0000-0000-0000976B0000}"/>
    <cellStyle name="Normal 348 3 2 4" xfId="27544" xr:uid="{00000000-0005-0000-0000-0000986B0000}"/>
    <cellStyle name="Normal 348 3 3" xfId="27545" xr:uid="{00000000-0005-0000-0000-0000996B0000}"/>
    <cellStyle name="Normal 348 3 3 2" xfId="27546" xr:uid="{00000000-0005-0000-0000-00009A6B0000}"/>
    <cellStyle name="Normal 348 3 3 2 2" xfId="27547" xr:uid="{00000000-0005-0000-0000-00009B6B0000}"/>
    <cellStyle name="Normal 348 3 3 3" xfId="27548" xr:uid="{00000000-0005-0000-0000-00009C6B0000}"/>
    <cellStyle name="Normal 348 3 4" xfId="27549" xr:uid="{00000000-0005-0000-0000-00009D6B0000}"/>
    <cellStyle name="Normal 348 3 4 2" xfId="27550" xr:uid="{00000000-0005-0000-0000-00009E6B0000}"/>
    <cellStyle name="Normal 348 3 4 2 2" xfId="27551" xr:uid="{00000000-0005-0000-0000-00009F6B0000}"/>
    <cellStyle name="Normal 348 3 4 3" xfId="27552" xr:uid="{00000000-0005-0000-0000-0000A06B0000}"/>
    <cellStyle name="Normal 348 3 5" xfId="27553" xr:uid="{00000000-0005-0000-0000-0000A16B0000}"/>
    <cellStyle name="Normal 348 3 5 2" xfId="27554" xr:uid="{00000000-0005-0000-0000-0000A26B0000}"/>
    <cellStyle name="Normal 348 3 5 2 2" xfId="27555" xr:uid="{00000000-0005-0000-0000-0000A36B0000}"/>
    <cellStyle name="Normal 348 3 5 3" xfId="27556" xr:uid="{00000000-0005-0000-0000-0000A46B0000}"/>
    <cellStyle name="Normal 348 3 6" xfId="27557" xr:uid="{00000000-0005-0000-0000-0000A56B0000}"/>
    <cellStyle name="Normal 348 4" xfId="27558" xr:uid="{00000000-0005-0000-0000-0000A66B0000}"/>
    <cellStyle name="Normal 348 4 2" xfId="27559" xr:uid="{00000000-0005-0000-0000-0000A76B0000}"/>
    <cellStyle name="Normal 348 4 2 2" xfId="27560" xr:uid="{00000000-0005-0000-0000-0000A86B0000}"/>
    <cellStyle name="Normal 348 4 3" xfId="27561" xr:uid="{00000000-0005-0000-0000-0000A96B0000}"/>
    <cellStyle name="Normal 348 5" xfId="27562" xr:uid="{00000000-0005-0000-0000-0000AA6B0000}"/>
    <cellStyle name="Normal 348 5 2" xfId="27563" xr:uid="{00000000-0005-0000-0000-0000AB6B0000}"/>
    <cellStyle name="Normal 348 5 2 2" xfId="27564" xr:uid="{00000000-0005-0000-0000-0000AC6B0000}"/>
    <cellStyle name="Normal 348 5 3" xfId="27565" xr:uid="{00000000-0005-0000-0000-0000AD6B0000}"/>
    <cellStyle name="Normal 348 6" xfId="27566" xr:uid="{00000000-0005-0000-0000-0000AE6B0000}"/>
    <cellStyle name="Normal 348 6 2" xfId="27567" xr:uid="{00000000-0005-0000-0000-0000AF6B0000}"/>
    <cellStyle name="Normal 348 6 2 2" xfId="27568" xr:uid="{00000000-0005-0000-0000-0000B06B0000}"/>
    <cellStyle name="Normal 348 6 3" xfId="27569" xr:uid="{00000000-0005-0000-0000-0000B16B0000}"/>
    <cellStyle name="Normal 348 7" xfId="27570" xr:uid="{00000000-0005-0000-0000-0000B26B0000}"/>
    <cellStyle name="Normal 349" xfId="27571" xr:uid="{00000000-0005-0000-0000-0000B36B0000}"/>
    <cellStyle name="Normal 349 2" xfId="27572" xr:uid="{00000000-0005-0000-0000-0000B46B0000}"/>
    <cellStyle name="Normal 349 2 2" xfId="27573" xr:uid="{00000000-0005-0000-0000-0000B56B0000}"/>
    <cellStyle name="Normal 349 2 2 2" xfId="27574" xr:uid="{00000000-0005-0000-0000-0000B66B0000}"/>
    <cellStyle name="Normal 349 2 3" xfId="27575" xr:uid="{00000000-0005-0000-0000-0000B76B0000}"/>
    <cellStyle name="Normal 349 2 3 2" xfId="27576" xr:uid="{00000000-0005-0000-0000-0000B86B0000}"/>
    <cellStyle name="Normal 349 2 3 2 2" xfId="27577" xr:uid="{00000000-0005-0000-0000-0000B96B0000}"/>
    <cellStyle name="Normal 349 2 3 3" xfId="27578" xr:uid="{00000000-0005-0000-0000-0000BA6B0000}"/>
    <cellStyle name="Normal 349 2 4" xfId="27579" xr:uid="{00000000-0005-0000-0000-0000BB6B0000}"/>
    <cellStyle name="Normal 349 2 4 2" xfId="27580" xr:uid="{00000000-0005-0000-0000-0000BC6B0000}"/>
    <cellStyle name="Normal 349 2 4 2 2" xfId="27581" xr:uid="{00000000-0005-0000-0000-0000BD6B0000}"/>
    <cellStyle name="Normal 349 2 4 3" xfId="27582" xr:uid="{00000000-0005-0000-0000-0000BE6B0000}"/>
    <cellStyle name="Normal 349 2 5" xfId="27583" xr:uid="{00000000-0005-0000-0000-0000BF6B0000}"/>
    <cellStyle name="Normal 349 3" xfId="27584" xr:uid="{00000000-0005-0000-0000-0000C06B0000}"/>
    <cellStyle name="Normal 349 3 2" xfId="27585" xr:uid="{00000000-0005-0000-0000-0000C16B0000}"/>
    <cellStyle name="Normal 349 3 2 2" xfId="27586" xr:uid="{00000000-0005-0000-0000-0000C26B0000}"/>
    <cellStyle name="Normal 349 3 2 2 2" xfId="27587" xr:uid="{00000000-0005-0000-0000-0000C36B0000}"/>
    <cellStyle name="Normal 349 3 2 3" xfId="27588" xr:uid="{00000000-0005-0000-0000-0000C46B0000}"/>
    <cellStyle name="Normal 349 3 2 3 2" xfId="27589" xr:uid="{00000000-0005-0000-0000-0000C56B0000}"/>
    <cellStyle name="Normal 349 3 2 3 2 2" xfId="27590" xr:uid="{00000000-0005-0000-0000-0000C66B0000}"/>
    <cellStyle name="Normal 349 3 2 3 3" xfId="27591" xr:uid="{00000000-0005-0000-0000-0000C76B0000}"/>
    <cellStyle name="Normal 349 3 2 4" xfId="27592" xr:uid="{00000000-0005-0000-0000-0000C86B0000}"/>
    <cellStyle name="Normal 349 3 3" xfId="27593" xr:uid="{00000000-0005-0000-0000-0000C96B0000}"/>
    <cellStyle name="Normal 349 3 3 2" xfId="27594" xr:uid="{00000000-0005-0000-0000-0000CA6B0000}"/>
    <cellStyle name="Normal 349 3 3 2 2" xfId="27595" xr:uid="{00000000-0005-0000-0000-0000CB6B0000}"/>
    <cellStyle name="Normal 349 3 3 3" xfId="27596" xr:uid="{00000000-0005-0000-0000-0000CC6B0000}"/>
    <cellStyle name="Normal 349 3 4" xfId="27597" xr:uid="{00000000-0005-0000-0000-0000CD6B0000}"/>
    <cellStyle name="Normal 349 3 4 2" xfId="27598" xr:uid="{00000000-0005-0000-0000-0000CE6B0000}"/>
    <cellStyle name="Normal 349 3 4 2 2" xfId="27599" xr:uid="{00000000-0005-0000-0000-0000CF6B0000}"/>
    <cellStyle name="Normal 349 3 4 3" xfId="27600" xr:uid="{00000000-0005-0000-0000-0000D06B0000}"/>
    <cellStyle name="Normal 349 3 5" xfId="27601" xr:uid="{00000000-0005-0000-0000-0000D16B0000}"/>
    <cellStyle name="Normal 349 3 5 2" xfId="27602" xr:uid="{00000000-0005-0000-0000-0000D26B0000}"/>
    <cellStyle name="Normal 349 3 5 2 2" xfId="27603" xr:uid="{00000000-0005-0000-0000-0000D36B0000}"/>
    <cellStyle name="Normal 349 3 5 3" xfId="27604" xr:uid="{00000000-0005-0000-0000-0000D46B0000}"/>
    <cellStyle name="Normal 349 3 6" xfId="27605" xr:uid="{00000000-0005-0000-0000-0000D56B0000}"/>
    <cellStyle name="Normal 349 4" xfId="27606" xr:uid="{00000000-0005-0000-0000-0000D66B0000}"/>
    <cellStyle name="Normal 349 4 2" xfId="27607" xr:uid="{00000000-0005-0000-0000-0000D76B0000}"/>
    <cellStyle name="Normal 349 4 2 2" xfId="27608" xr:uid="{00000000-0005-0000-0000-0000D86B0000}"/>
    <cellStyle name="Normal 349 4 3" xfId="27609" xr:uid="{00000000-0005-0000-0000-0000D96B0000}"/>
    <cellStyle name="Normal 349 5" xfId="27610" xr:uid="{00000000-0005-0000-0000-0000DA6B0000}"/>
    <cellStyle name="Normal 349 5 2" xfId="27611" xr:uid="{00000000-0005-0000-0000-0000DB6B0000}"/>
    <cellStyle name="Normal 349 5 2 2" xfId="27612" xr:uid="{00000000-0005-0000-0000-0000DC6B0000}"/>
    <cellStyle name="Normal 349 5 3" xfId="27613" xr:uid="{00000000-0005-0000-0000-0000DD6B0000}"/>
    <cellStyle name="Normal 349 6" xfId="27614" xr:uid="{00000000-0005-0000-0000-0000DE6B0000}"/>
    <cellStyle name="Normal 349 6 2" xfId="27615" xr:uid="{00000000-0005-0000-0000-0000DF6B0000}"/>
    <cellStyle name="Normal 349 6 2 2" xfId="27616" xr:uid="{00000000-0005-0000-0000-0000E06B0000}"/>
    <cellStyle name="Normal 349 6 3" xfId="27617" xr:uid="{00000000-0005-0000-0000-0000E16B0000}"/>
    <cellStyle name="Normal 349 7" xfId="27618" xr:uid="{00000000-0005-0000-0000-0000E26B0000}"/>
    <cellStyle name="Normal 35" xfId="27619" xr:uid="{00000000-0005-0000-0000-0000E36B0000}"/>
    <cellStyle name="Normal 35 2" xfId="27620" xr:uid="{00000000-0005-0000-0000-0000E46B0000}"/>
    <cellStyle name="Normal 35 2 2" xfId="27621" xr:uid="{00000000-0005-0000-0000-0000E56B0000}"/>
    <cellStyle name="Normal 35 2 2 2" xfId="27622" xr:uid="{00000000-0005-0000-0000-0000E66B0000}"/>
    <cellStyle name="Normal 35 2 2 2 2" xfId="27623" xr:uid="{00000000-0005-0000-0000-0000E76B0000}"/>
    <cellStyle name="Normal 35 2 2 3" xfId="27624" xr:uid="{00000000-0005-0000-0000-0000E86B0000}"/>
    <cellStyle name="Normal 35 2 2 3 2" xfId="27625" xr:uid="{00000000-0005-0000-0000-0000E96B0000}"/>
    <cellStyle name="Normal 35 2 2 3 2 2" xfId="27626" xr:uid="{00000000-0005-0000-0000-0000EA6B0000}"/>
    <cellStyle name="Normal 35 2 2 3 3" xfId="27627" xr:uid="{00000000-0005-0000-0000-0000EB6B0000}"/>
    <cellStyle name="Normal 35 2 2 4" xfId="27628" xr:uid="{00000000-0005-0000-0000-0000EC6B0000}"/>
    <cellStyle name="Normal 35 2 2 4 2" xfId="27629" xr:uid="{00000000-0005-0000-0000-0000ED6B0000}"/>
    <cellStyle name="Normal 35 2 2 4 2 2" xfId="27630" xr:uid="{00000000-0005-0000-0000-0000EE6B0000}"/>
    <cellStyle name="Normal 35 2 2 4 3" xfId="27631" xr:uid="{00000000-0005-0000-0000-0000EF6B0000}"/>
    <cellStyle name="Normal 35 2 2 5" xfId="27632" xr:uid="{00000000-0005-0000-0000-0000F06B0000}"/>
    <cellStyle name="Normal 35 2 3" xfId="27633" xr:uid="{00000000-0005-0000-0000-0000F16B0000}"/>
    <cellStyle name="Normal 35 2 3 2" xfId="27634" xr:uid="{00000000-0005-0000-0000-0000F26B0000}"/>
    <cellStyle name="Normal 35 2 3 2 2" xfId="27635" xr:uid="{00000000-0005-0000-0000-0000F36B0000}"/>
    <cellStyle name="Normal 35 2 3 3" xfId="27636" xr:uid="{00000000-0005-0000-0000-0000F46B0000}"/>
    <cellStyle name="Normal 35 2 4" xfId="27637" xr:uid="{00000000-0005-0000-0000-0000F56B0000}"/>
    <cellStyle name="Normal 35 2 4 2" xfId="27638" xr:uid="{00000000-0005-0000-0000-0000F66B0000}"/>
    <cellStyle name="Normal 35 2 4 2 2" xfId="27639" xr:uid="{00000000-0005-0000-0000-0000F76B0000}"/>
    <cellStyle name="Normal 35 2 4 3" xfId="27640" xr:uid="{00000000-0005-0000-0000-0000F86B0000}"/>
    <cellStyle name="Normal 35 2 5" xfId="27641" xr:uid="{00000000-0005-0000-0000-0000F96B0000}"/>
    <cellStyle name="Normal 35 2 5 2" xfId="27642" xr:uid="{00000000-0005-0000-0000-0000FA6B0000}"/>
    <cellStyle name="Normal 35 2 5 2 2" xfId="27643" xr:uid="{00000000-0005-0000-0000-0000FB6B0000}"/>
    <cellStyle name="Normal 35 2 5 3" xfId="27644" xr:uid="{00000000-0005-0000-0000-0000FC6B0000}"/>
    <cellStyle name="Normal 35 2 6" xfId="27645" xr:uid="{00000000-0005-0000-0000-0000FD6B0000}"/>
    <cellStyle name="Normal 35 3" xfId="27646" xr:uid="{00000000-0005-0000-0000-0000FE6B0000}"/>
    <cellStyle name="Normal 35 3 2" xfId="27647" xr:uid="{00000000-0005-0000-0000-0000FF6B0000}"/>
    <cellStyle name="Normal 35 3 2 2" xfId="27648" xr:uid="{00000000-0005-0000-0000-0000006C0000}"/>
    <cellStyle name="Normal 35 3 3" xfId="27649" xr:uid="{00000000-0005-0000-0000-0000016C0000}"/>
    <cellStyle name="Normal 35 3 3 2" xfId="27650" xr:uid="{00000000-0005-0000-0000-0000026C0000}"/>
    <cellStyle name="Normal 35 3 3 2 2" xfId="27651" xr:uid="{00000000-0005-0000-0000-0000036C0000}"/>
    <cellStyle name="Normal 35 3 3 3" xfId="27652" xr:uid="{00000000-0005-0000-0000-0000046C0000}"/>
    <cellStyle name="Normal 35 3 4" xfId="27653" xr:uid="{00000000-0005-0000-0000-0000056C0000}"/>
    <cellStyle name="Normal 35 3 4 2" xfId="27654" xr:uid="{00000000-0005-0000-0000-0000066C0000}"/>
    <cellStyle name="Normal 35 3 4 2 2" xfId="27655" xr:uid="{00000000-0005-0000-0000-0000076C0000}"/>
    <cellStyle name="Normal 35 3 4 3" xfId="27656" xr:uid="{00000000-0005-0000-0000-0000086C0000}"/>
    <cellStyle name="Normal 35 3 5" xfId="27657" xr:uid="{00000000-0005-0000-0000-0000096C0000}"/>
    <cellStyle name="Normal 35 4" xfId="27658" xr:uid="{00000000-0005-0000-0000-00000A6C0000}"/>
    <cellStyle name="Normal 35 4 2" xfId="27659" xr:uid="{00000000-0005-0000-0000-00000B6C0000}"/>
    <cellStyle name="Normal 35 4 2 2" xfId="27660" xr:uid="{00000000-0005-0000-0000-00000C6C0000}"/>
    <cellStyle name="Normal 35 4 3" xfId="27661" xr:uid="{00000000-0005-0000-0000-00000D6C0000}"/>
    <cellStyle name="Normal 35 5" xfId="27662" xr:uid="{00000000-0005-0000-0000-00000E6C0000}"/>
    <cellStyle name="Normal 35 5 2" xfId="27663" xr:uid="{00000000-0005-0000-0000-00000F6C0000}"/>
    <cellStyle name="Normal 35 5 2 2" xfId="27664" xr:uid="{00000000-0005-0000-0000-0000106C0000}"/>
    <cellStyle name="Normal 35 5 3" xfId="27665" xr:uid="{00000000-0005-0000-0000-0000116C0000}"/>
    <cellStyle name="Normal 35 6" xfId="27666" xr:uid="{00000000-0005-0000-0000-0000126C0000}"/>
    <cellStyle name="Normal 35 6 2" xfId="27667" xr:uid="{00000000-0005-0000-0000-0000136C0000}"/>
    <cellStyle name="Normal 35 6 2 2" xfId="27668" xr:uid="{00000000-0005-0000-0000-0000146C0000}"/>
    <cellStyle name="Normal 35 6 3" xfId="27669" xr:uid="{00000000-0005-0000-0000-0000156C0000}"/>
    <cellStyle name="Normal 35 7" xfId="27670" xr:uid="{00000000-0005-0000-0000-0000166C0000}"/>
    <cellStyle name="Normal 350" xfId="68" xr:uid="{00000000-0005-0000-0000-000044000000}"/>
    <cellStyle name="Normal 350 2" xfId="27671" xr:uid="{00000000-0005-0000-0000-0000176C0000}"/>
    <cellStyle name="Normal 350 2 2" xfId="27672" xr:uid="{00000000-0005-0000-0000-0000186C0000}"/>
    <cellStyle name="Normal 350 2 2 2" xfId="27673" xr:uid="{00000000-0005-0000-0000-0000196C0000}"/>
    <cellStyle name="Normal 350 2 3" xfId="27674" xr:uid="{00000000-0005-0000-0000-00001A6C0000}"/>
    <cellStyle name="Normal 350 2 3 2" xfId="27675" xr:uid="{00000000-0005-0000-0000-00001B6C0000}"/>
    <cellStyle name="Normal 350 2 3 2 2" xfId="27676" xr:uid="{00000000-0005-0000-0000-00001C6C0000}"/>
    <cellStyle name="Normal 350 2 3 3" xfId="27677" xr:uid="{00000000-0005-0000-0000-00001D6C0000}"/>
    <cellStyle name="Normal 350 2 4" xfId="27678" xr:uid="{00000000-0005-0000-0000-00001E6C0000}"/>
    <cellStyle name="Normal 350 2 4 2" xfId="27679" xr:uid="{00000000-0005-0000-0000-00001F6C0000}"/>
    <cellStyle name="Normal 350 2 4 2 2" xfId="27680" xr:uid="{00000000-0005-0000-0000-0000206C0000}"/>
    <cellStyle name="Normal 350 2 4 3" xfId="27681" xr:uid="{00000000-0005-0000-0000-0000216C0000}"/>
    <cellStyle name="Normal 350 2 5" xfId="27682" xr:uid="{00000000-0005-0000-0000-0000226C0000}"/>
    <cellStyle name="Normal 350 3" xfId="27683" xr:uid="{00000000-0005-0000-0000-0000236C0000}"/>
    <cellStyle name="Normal 350 3 2" xfId="27684" xr:uid="{00000000-0005-0000-0000-0000246C0000}"/>
    <cellStyle name="Normal 350 3 2 2" xfId="27685" xr:uid="{00000000-0005-0000-0000-0000256C0000}"/>
    <cellStyle name="Normal 350 3 2 2 2" xfId="27686" xr:uid="{00000000-0005-0000-0000-0000266C0000}"/>
    <cellStyle name="Normal 350 3 2 3" xfId="27687" xr:uid="{00000000-0005-0000-0000-0000276C0000}"/>
    <cellStyle name="Normal 350 3 2 3 2" xfId="27688" xr:uid="{00000000-0005-0000-0000-0000286C0000}"/>
    <cellStyle name="Normal 350 3 2 3 2 2" xfId="27689" xr:uid="{00000000-0005-0000-0000-0000296C0000}"/>
    <cellStyle name="Normal 350 3 2 3 3" xfId="27690" xr:uid="{00000000-0005-0000-0000-00002A6C0000}"/>
    <cellStyle name="Normal 350 3 2 4" xfId="27691" xr:uid="{00000000-0005-0000-0000-00002B6C0000}"/>
    <cellStyle name="Normal 350 3 3" xfId="27692" xr:uid="{00000000-0005-0000-0000-00002C6C0000}"/>
    <cellStyle name="Normal 350 3 3 2" xfId="27693" xr:uid="{00000000-0005-0000-0000-00002D6C0000}"/>
    <cellStyle name="Normal 350 3 3 2 2" xfId="27694" xr:uid="{00000000-0005-0000-0000-00002E6C0000}"/>
    <cellStyle name="Normal 350 3 3 3" xfId="27695" xr:uid="{00000000-0005-0000-0000-00002F6C0000}"/>
    <cellStyle name="Normal 350 3 4" xfId="27696" xr:uid="{00000000-0005-0000-0000-0000306C0000}"/>
    <cellStyle name="Normal 350 3 4 2" xfId="27697" xr:uid="{00000000-0005-0000-0000-0000316C0000}"/>
    <cellStyle name="Normal 350 3 4 2 2" xfId="27698" xr:uid="{00000000-0005-0000-0000-0000326C0000}"/>
    <cellStyle name="Normal 350 3 4 3" xfId="27699" xr:uid="{00000000-0005-0000-0000-0000336C0000}"/>
    <cellStyle name="Normal 350 3 5" xfId="27700" xr:uid="{00000000-0005-0000-0000-0000346C0000}"/>
    <cellStyle name="Normal 350 3 5 2" xfId="27701" xr:uid="{00000000-0005-0000-0000-0000356C0000}"/>
    <cellStyle name="Normal 350 3 5 2 2" xfId="27702" xr:uid="{00000000-0005-0000-0000-0000366C0000}"/>
    <cellStyle name="Normal 350 3 5 3" xfId="27703" xr:uid="{00000000-0005-0000-0000-0000376C0000}"/>
    <cellStyle name="Normal 350 3 6" xfId="27704" xr:uid="{00000000-0005-0000-0000-0000386C0000}"/>
    <cellStyle name="Normal 350 4" xfId="27705" xr:uid="{00000000-0005-0000-0000-0000396C0000}"/>
    <cellStyle name="Normal 350 4 2" xfId="27706" xr:uid="{00000000-0005-0000-0000-00003A6C0000}"/>
    <cellStyle name="Normal 350 4 2 2" xfId="27707" xr:uid="{00000000-0005-0000-0000-00003B6C0000}"/>
    <cellStyle name="Normal 350 4 3" xfId="27708" xr:uid="{00000000-0005-0000-0000-00003C6C0000}"/>
    <cellStyle name="Normal 350 5" xfId="27709" xr:uid="{00000000-0005-0000-0000-00003D6C0000}"/>
    <cellStyle name="Normal 350 5 2" xfId="27710" xr:uid="{00000000-0005-0000-0000-00003E6C0000}"/>
    <cellStyle name="Normal 350 5 2 2" xfId="27711" xr:uid="{00000000-0005-0000-0000-00003F6C0000}"/>
    <cellStyle name="Normal 350 5 3" xfId="27712" xr:uid="{00000000-0005-0000-0000-0000406C0000}"/>
    <cellStyle name="Normal 350 6" xfId="27713" xr:uid="{00000000-0005-0000-0000-0000416C0000}"/>
    <cellStyle name="Normal 350 6 2" xfId="27714" xr:uid="{00000000-0005-0000-0000-0000426C0000}"/>
    <cellStyle name="Normal 350 6 2 2" xfId="27715" xr:uid="{00000000-0005-0000-0000-0000436C0000}"/>
    <cellStyle name="Normal 350 6 3" xfId="27716" xr:uid="{00000000-0005-0000-0000-0000446C0000}"/>
    <cellStyle name="Normal 350 7" xfId="27717" xr:uid="{00000000-0005-0000-0000-0000456C0000}"/>
    <cellStyle name="Normal 351" xfId="69" xr:uid="{00000000-0005-0000-0000-000045000000}"/>
    <cellStyle name="Normal 351 2" xfId="27718" xr:uid="{00000000-0005-0000-0000-0000466C0000}"/>
    <cellStyle name="Normal 351 2 2" xfId="27719" xr:uid="{00000000-0005-0000-0000-0000476C0000}"/>
    <cellStyle name="Normal 351 2 2 2" xfId="27720" xr:uid="{00000000-0005-0000-0000-0000486C0000}"/>
    <cellStyle name="Normal 351 2 3" xfId="27721" xr:uid="{00000000-0005-0000-0000-0000496C0000}"/>
    <cellStyle name="Normal 351 2 3 2" xfId="27722" xr:uid="{00000000-0005-0000-0000-00004A6C0000}"/>
    <cellStyle name="Normal 351 2 3 2 2" xfId="27723" xr:uid="{00000000-0005-0000-0000-00004B6C0000}"/>
    <cellStyle name="Normal 351 2 3 3" xfId="27724" xr:uid="{00000000-0005-0000-0000-00004C6C0000}"/>
    <cellStyle name="Normal 351 2 4" xfId="27725" xr:uid="{00000000-0005-0000-0000-00004D6C0000}"/>
    <cellStyle name="Normal 351 2 4 2" xfId="27726" xr:uid="{00000000-0005-0000-0000-00004E6C0000}"/>
    <cellStyle name="Normal 351 2 4 2 2" xfId="27727" xr:uid="{00000000-0005-0000-0000-00004F6C0000}"/>
    <cellStyle name="Normal 351 2 4 3" xfId="27728" xr:uid="{00000000-0005-0000-0000-0000506C0000}"/>
    <cellStyle name="Normal 351 2 5" xfId="27729" xr:uid="{00000000-0005-0000-0000-0000516C0000}"/>
    <cellStyle name="Normal 351 3" xfId="27730" xr:uid="{00000000-0005-0000-0000-0000526C0000}"/>
    <cellStyle name="Normal 351 3 2" xfId="27731" xr:uid="{00000000-0005-0000-0000-0000536C0000}"/>
    <cellStyle name="Normal 351 3 2 2" xfId="27732" xr:uid="{00000000-0005-0000-0000-0000546C0000}"/>
    <cellStyle name="Normal 351 3 2 2 2" xfId="27733" xr:uid="{00000000-0005-0000-0000-0000556C0000}"/>
    <cellStyle name="Normal 351 3 2 3" xfId="27734" xr:uid="{00000000-0005-0000-0000-0000566C0000}"/>
    <cellStyle name="Normal 351 3 2 3 2" xfId="27735" xr:uid="{00000000-0005-0000-0000-0000576C0000}"/>
    <cellStyle name="Normal 351 3 2 3 2 2" xfId="27736" xr:uid="{00000000-0005-0000-0000-0000586C0000}"/>
    <cellStyle name="Normal 351 3 2 3 3" xfId="27737" xr:uid="{00000000-0005-0000-0000-0000596C0000}"/>
    <cellStyle name="Normal 351 3 2 4" xfId="27738" xr:uid="{00000000-0005-0000-0000-00005A6C0000}"/>
    <cellStyle name="Normal 351 3 3" xfId="27739" xr:uid="{00000000-0005-0000-0000-00005B6C0000}"/>
    <cellStyle name="Normal 351 3 3 2" xfId="27740" xr:uid="{00000000-0005-0000-0000-00005C6C0000}"/>
    <cellStyle name="Normal 351 3 3 2 2" xfId="27741" xr:uid="{00000000-0005-0000-0000-00005D6C0000}"/>
    <cellStyle name="Normal 351 3 3 3" xfId="27742" xr:uid="{00000000-0005-0000-0000-00005E6C0000}"/>
    <cellStyle name="Normal 351 3 4" xfId="27743" xr:uid="{00000000-0005-0000-0000-00005F6C0000}"/>
    <cellStyle name="Normal 351 3 4 2" xfId="27744" xr:uid="{00000000-0005-0000-0000-0000606C0000}"/>
    <cellStyle name="Normal 351 3 4 2 2" xfId="27745" xr:uid="{00000000-0005-0000-0000-0000616C0000}"/>
    <cellStyle name="Normal 351 3 4 3" xfId="27746" xr:uid="{00000000-0005-0000-0000-0000626C0000}"/>
    <cellStyle name="Normal 351 3 5" xfId="27747" xr:uid="{00000000-0005-0000-0000-0000636C0000}"/>
    <cellStyle name="Normal 351 3 5 2" xfId="27748" xr:uid="{00000000-0005-0000-0000-0000646C0000}"/>
    <cellStyle name="Normal 351 3 5 2 2" xfId="27749" xr:uid="{00000000-0005-0000-0000-0000656C0000}"/>
    <cellStyle name="Normal 351 3 5 3" xfId="27750" xr:uid="{00000000-0005-0000-0000-0000666C0000}"/>
    <cellStyle name="Normal 351 3 6" xfId="27751" xr:uid="{00000000-0005-0000-0000-0000676C0000}"/>
    <cellStyle name="Normal 351 4" xfId="27752" xr:uid="{00000000-0005-0000-0000-0000686C0000}"/>
    <cellStyle name="Normal 351 4 2" xfId="27753" xr:uid="{00000000-0005-0000-0000-0000696C0000}"/>
    <cellStyle name="Normal 351 4 2 2" xfId="27754" xr:uid="{00000000-0005-0000-0000-00006A6C0000}"/>
    <cellStyle name="Normal 351 4 3" xfId="27755" xr:uid="{00000000-0005-0000-0000-00006B6C0000}"/>
    <cellStyle name="Normal 351 5" xfId="27756" xr:uid="{00000000-0005-0000-0000-00006C6C0000}"/>
    <cellStyle name="Normal 351 5 2" xfId="27757" xr:uid="{00000000-0005-0000-0000-00006D6C0000}"/>
    <cellStyle name="Normal 351 5 2 2" xfId="27758" xr:uid="{00000000-0005-0000-0000-00006E6C0000}"/>
    <cellStyle name="Normal 351 5 3" xfId="27759" xr:uid="{00000000-0005-0000-0000-00006F6C0000}"/>
    <cellStyle name="Normal 351 6" xfId="27760" xr:uid="{00000000-0005-0000-0000-0000706C0000}"/>
    <cellStyle name="Normal 351 6 2" xfId="27761" xr:uid="{00000000-0005-0000-0000-0000716C0000}"/>
    <cellStyle name="Normal 351 6 2 2" xfId="27762" xr:uid="{00000000-0005-0000-0000-0000726C0000}"/>
    <cellStyle name="Normal 351 6 3" xfId="27763" xr:uid="{00000000-0005-0000-0000-0000736C0000}"/>
    <cellStyle name="Normal 351 7" xfId="27764" xr:uid="{00000000-0005-0000-0000-0000746C0000}"/>
    <cellStyle name="Normal 352" xfId="70" xr:uid="{00000000-0005-0000-0000-000046000000}"/>
    <cellStyle name="Normal 352 2" xfId="27765" xr:uid="{00000000-0005-0000-0000-0000756C0000}"/>
    <cellStyle name="Normal 352 2 2" xfId="27766" xr:uid="{00000000-0005-0000-0000-0000766C0000}"/>
    <cellStyle name="Normal 352 2 2 2" xfId="27767" xr:uid="{00000000-0005-0000-0000-0000776C0000}"/>
    <cellStyle name="Normal 352 2 3" xfId="27768" xr:uid="{00000000-0005-0000-0000-0000786C0000}"/>
    <cellStyle name="Normal 352 2 3 2" xfId="27769" xr:uid="{00000000-0005-0000-0000-0000796C0000}"/>
    <cellStyle name="Normal 352 2 3 2 2" xfId="27770" xr:uid="{00000000-0005-0000-0000-00007A6C0000}"/>
    <cellStyle name="Normal 352 2 3 3" xfId="27771" xr:uid="{00000000-0005-0000-0000-00007B6C0000}"/>
    <cellStyle name="Normal 352 2 4" xfId="27772" xr:uid="{00000000-0005-0000-0000-00007C6C0000}"/>
    <cellStyle name="Normal 352 2 4 2" xfId="27773" xr:uid="{00000000-0005-0000-0000-00007D6C0000}"/>
    <cellStyle name="Normal 352 2 4 2 2" xfId="27774" xr:uid="{00000000-0005-0000-0000-00007E6C0000}"/>
    <cellStyle name="Normal 352 2 4 3" xfId="27775" xr:uid="{00000000-0005-0000-0000-00007F6C0000}"/>
    <cellStyle name="Normal 352 2 5" xfId="27776" xr:uid="{00000000-0005-0000-0000-0000806C0000}"/>
    <cellStyle name="Normal 352 3" xfId="27777" xr:uid="{00000000-0005-0000-0000-0000816C0000}"/>
    <cellStyle name="Normal 352 3 2" xfId="27778" xr:uid="{00000000-0005-0000-0000-0000826C0000}"/>
    <cellStyle name="Normal 352 3 2 2" xfId="27779" xr:uid="{00000000-0005-0000-0000-0000836C0000}"/>
    <cellStyle name="Normal 352 3 2 2 2" xfId="27780" xr:uid="{00000000-0005-0000-0000-0000846C0000}"/>
    <cellStyle name="Normal 352 3 2 3" xfId="27781" xr:uid="{00000000-0005-0000-0000-0000856C0000}"/>
    <cellStyle name="Normal 352 3 2 3 2" xfId="27782" xr:uid="{00000000-0005-0000-0000-0000866C0000}"/>
    <cellStyle name="Normal 352 3 2 3 2 2" xfId="27783" xr:uid="{00000000-0005-0000-0000-0000876C0000}"/>
    <cellStyle name="Normal 352 3 2 3 3" xfId="27784" xr:uid="{00000000-0005-0000-0000-0000886C0000}"/>
    <cellStyle name="Normal 352 3 2 4" xfId="27785" xr:uid="{00000000-0005-0000-0000-0000896C0000}"/>
    <cellStyle name="Normal 352 3 3" xfId="27786" xr:uid="{00000000-0005-0000-0000-00008A6C0000}"/>
    <cellStyle name="Normal 352 3 3 2" xfId="27787" xr:uid="{00000000-0005-0000-0000-00008B6C0000}"/>
    <cellStyle name="Normal 352 3 3 2 2" xfId="27788" xr:uid="{00000000-0005-0000-0000-00008C6C0000}"/>
    <cellStyle name="Normal 352 3 3 3" xfId="27789" xr:uid="{00000000-0005-0000-0000-00008D6C0000}"/>
    <cellStyle name="Normal 352 3 4" xfId="27790" xr:uid="{00000000-0005-0000-0000-00008E6C0000}"/>
    <cellStyle name="Normal 352 3 4 2" xfId="27791" xr:uid="{00000000-0005-0000-0000-00008F6C0000}"/>
    <cellStyle name="Normal 352 3 4 2 2" xfId="27792" xr:uid="{00000000-0005-0000-0000-0000906C0000}"/>
    <cellStyle name="Normal 352 3 4 3" xfId="27793" xr:uid="{00000000-0005-0000-0000-0000916C0000}"/>
    <cellStyle name="Normal 352 3 5" xfId="27794" xr:uid="{00000000-0005-0000-0000-0000926C0000}"/>
    <cellStyle name="Normal 352 3 5 2" xfId="27795" xr:uid="{00000000-0005-0000-0000-0000936C0000}"/>
    <cellStyle name="Normal 352 3 5 2 2" xfId="27796" xr:uid="{00000000-0005-0000-0000-0000946C0000}"/>
    <cellStyle name="Normal 352 3 5 3" xfId="27797" xr:uid="{00000000-0005-0000-0000-0000956C0000}"/>
    <cellStyle name="Normal 352 3 6" xfId="27798" xr:uid="{00000000-0005-0000-0000-0000966C0000}"/>
    <cellStyle name="Normal 352 4" xfId="27799" xr:uid="{00000000-0005-0000-0000-0000976C0000}"/>
    <cellStyle name="Normal 352 4 2" xfId="27800" xr:uid="{00000000-0005-0000-0000-0000986C0000}"/>
    <cellStyle name="Normal 352 4 2 2" xfId="27801" xr:uid="{00000000-0005-0000-0000-0000996C0000}"/>
    <cellStyle name="Normal 352 4 3" xfId="27802" xr:uid="{00000000-0005-0000-0000-00009A6C0000}"/>
    <cellStyle name="Normal 352 5" xfId="27803" xr:uid="{00000000-0005-0000-0000-00009B6C0000}"/>
    <cellStyle name="Normal 352 5 2" xfId="27804" xr:uid="{00000000-0005-0000-0000-00009C6C0000}"/>
    <cellStyle name="Normal 352 5 2 2" xfId="27805" xr:uid="{00000000-0005-0000-0000-00009D6C0000}"/>
    <cellStyle name="Normal 352 5 3" xfId="27806" xr:uid="{00000000-0005-0000-0000-00009E6C0000}"/>
    <cellStyle name="Normal 352 6" xfId="27807" xr:uid="{00000000-0005-0000-0000-00009F6C0000}"/>
    <cellStyle name="Normal 352 6 2" xfId="27808" xr:uid="{00000000-0005-0000-0000-0000A06C0000}"/>
    <cellStyle name="Normal 352 6 2 2" xfId="27809" xr:uid="{00000000-0005-0000-0000-0000A16C0000}"/>
    <cellStyle name="Normal 352 6 3" xfId="27810" xr:uid="{00000000-0005-0000-0000-0000A26C0000}"/>
    <cellStyle name="Normal 352 7" xfId="27811" xr:uid="{00000000-0005-0000-0000-0000A36C0000}"/>
    <cellStyle name="Normal 353" xfId="71" xr:uid="{00000000-0005-0000-0000-000047000000}"/>
    <cellStyle name="Normal 353 2" xfId="27812" xr:uid="{00000000-0005-0000-0000-0000A46C0000}"/>
    <cellStyle name="Normal 353 2 2" xfId="27813" xr:uid="{00000000-0005-0000-0000-0000A56C0000}"/>
    <cellStyle name="Normal 353 2 2 2" xfId="27814" xr:uid="{00000000-0005-0000-0000-0000A66C0000}"/>
    <cellStyle name="Normal 353 2 3" xfId="27815" xr:uid="{00000000-0005-0000-0000-0000A76C0000}"/>
    <cellStyle name="Normal 353 2 3 2" xfId="27816" xr:uid="{00000000-0005-0000-0000-0000A86C0000}"/>
    <cellStyle name="Normal 353 2 3 2 2" xfId="27817" xr:uid="{00000000-0005-0000-0000-0000A96C0000}"/>
    <cellStyle name="Normal 353 2 3 3" xfId="27818" xr:uid="{00000000-0005-0000-0000-0000AA6C0000}"/>
    <cellStyle name="Normal 353 2 4" xfId="27819" xr:uid="{00000000-0005-0000-0000-0000AB6C0000}"/>
    <cellStyle name="Normal 353 2 4 2" xfId="27820" xr:uid="{00000000-0005-0000-0000-0000AC6C0000}"/>
    <cellStyle name="Normal 353 2 4 2 2" xfId="27821" xr:uid="{00000000-0005-0000-0000-0000AD6C0000}"/>
    <cellStyle name="Normal 353 2 4 3" xfId="27822" xr:uid="{00000000-0005-0000-0000-0000AE6C0000}"/>
    <cellStyle name="Normal 353 2 5" xfId="27823" xr:uid="{00000000-0005-0000-0000-0000AF6C0000}"/>
    <cellStyle name="Normal 353 3" xfId="27824" xr:uid="{00000000-0005-0000-0000-0000B06C0000}"/>
    <cellStyle name="Normal 353 3 2" xfId="27825" xr:uid="{00000000-0005-0000-0000-0000B16C0000}"/>
    <cellStyle name="Normal 353 3 2 2" xfId="27826" xr:uid="{00000000-0005-0000-0000-0000B26C0000}"/>
    <cellStyle name="Normal 353 3 2 2 2" xfId="27827" xr:uid="{00000000-0005-0000-0000-0000B36C0000}"/>
    <cellStyle name="Normal 353 3 2 3" xfId="27828" xr:uid="{00000000-0005-0000-0000-0000B46C0000}"/>
    <cellStyle name="Normal 353 3 2 3 2" xfId="27829" xr:uid="{00000000-0005-0000-0000-0000B56C0000}"/>
    <cellStyle name="Normal 353 3 2 3 2 2" xfId="27830" xr:uid="{00000000-0005-0000-0000-0000B66C0000}"/>
    <cellStyle name="Normal 353 3 2 3 3" xfId="27831" xr:uid="{00000000-0005-0000-0000-0000B76C0000}"/>
    <cellStyle name="Normal 353 3 2 4" xfId="27832" xr:uid="{00000000-0005-0000-0000-0000B86C0000}"/>
    <cellStyle name="Normal 353 3 3" xfId="27833" xr:uid="{00000000-0005-0000-0000-0000B96C0000}"/>
    <cellStyle name="Normal 353 3 3 2" xfId="27834" xr:uid="{00000000-0005-0000-0000-0000BA6C0000}"/>
    <cellStyle name="Normal 353 3 3 2 2" xfId="27835" xr:uid="{00000000-0005-0000-0000-0000BB6C0000}"/>
    <cellStyle name="Normal 353 3 3 3" xfId="27836" xr:uid="{00000000-0005-0000-0000-0000BC6C0000}"/>
    <cellStyle name="Normal 353 3 4" xfId="27837" xr:uid="{00000000-0005-0000-0000-0000BD6C0000}"/>
    <cellStyle name="Normal 353 3 4 2" xfId="27838" xr:uid="{00000000-0005-0000-0000-0000BE6C0000}"/>
    <cellStyle name="Normal 353 3 4 2 2" xfId="27839" xr:uid="{00000000-0005-0000-0000-0000BF6C0000}"/>
    <cellStyle name="Normal 353 3 4 3" xfId="27840" xr:uid="{00000000-0005-0000-0000-0000C06C0000}"/>
    <cellStyle name="Normal 353 3 5" xfId="27841" xr:uid="{00000000-0005-0000-0000-0000C16C0000}"/>
    <cellStyle name="Normal 353 3 5 2" xfId="27842" xr:uid="{00000000-0005-0000-0000-0000C26C0000}"/>
    <cellStyle name="Normal 353 3 5 2 2" xfId="27843" xr:uid="{00000000-0005-0000-0000-0000C36C0000}"/>
    <cellStyle name="Normal 353 3 5 3" xfId="27844" xr:uid="{00000000-0005-0000-0000-0000C46C0000}"/>
    <cellStyle name="Normal 353 3 6" xfId="27845" xr:uid="{00000000-0005-0000-0000-0000C56C0000}"/>
    <cellStyle name="Normal 353 4" xfId="27846" xr:uid="{00000000-0005-0000-0000-0000C66C0000}"/>
    <cellStyle name="Normal 353 4 2" xfId="27847" xr:uid="{00000000-0005-0000-0000-0000C76C0000}"/>
    <cellStyle name="Normal 353 4 2 2" xfId="27848" xr:uid="{00000000-0005-0000-0000-0000C86C0000}"/>
    <cellStyle name="Normal 353 4 3" xfId="27849" xr:uid="{00000000-0005-0000-0000-0000C96C0000}"/>
    <cellStyle name="Normal 353 5" xfId="27850" xr:uid="{00000000-0005-0000-0000-0000CA6C0000}"/>
    <cellStyle name="Normal 353 5 2" xfId="27851" xr:uid="{00000000-0005-0000-0000-0000CB6C0000}"/>
    <cellStyle name="Normal 353 5 2 2" xfId="27852" xr:uid="{00000000-0005-0000-0000-0000CC6C0000}"/>
    <cellStyle name="Normal 353 5 3" xfId="27853" xr:uid="{00000000-0005-0000-0000-0000CD6C0000}"/>
    <cellStyle name="Normal 353 6" xfId="27854" xr:uid="{00000000-0005-0000-0000-0000CE6C0000}"/>
    <cellStyle name="Normal 353 6 2" xfId="27855" xr:uid="{00000000-0005-0000-0000-0000CF6C0000}"/>
    <cellStyle name="Normal 353 6 2 2" xfId="27856" xr:uid="{00000000-0005-0000-0000-0000D06C0000}"/>
    <cellStyle name="Normal 353 6 3" xfId="27857" xr:uid="{00000000-0005-0000-0000-0000D16C0000}"/>
    <cellStyle name="Normal 353 7" xfId="27858" xr:uid="{00000000-0005-0000-0000-0000D26C0000}"/>
    <cellStyle name="Normal 354" xfId="72" xr:uid="{00000000-0005-0000-0000-000048000000}"/>
    <cellStyle name="Normal 354 2" xfId="27859" xr:uid="{00000000-0005-0000-0000-0000D36C0000}"/>
    <cellStyle name="Normal 354 2 2" xfId="27860" xr:uid="{00000000-0005-0000-0000-0000D46C0000}"/>
    <cellStyle name="Normal 354 2 2 2" xfId="27861" xr:uid="{00000000-0005-0000-0000-0000D56C0000}"/>
    <cellStyle name="Normal 354 2 3" xfId="27862" xr:uid="{00000000-0005-0000-0000-0000D66C0000}"/>
    <cellStyle name="Normal 354 2 3 2" xfId="27863" xr:uid="{00000000-0005-0000-0000-0000D76C0000}"/>
    <cellStyle name="Normal 354 2 3 2 2" xfId="27864" xr:uid="{00000000-0005-0000-0000-0000D86C0000}"/>
    <cellStyle name="Normal 354 2 3 3" xfId="27865" xr:uid="{00000000-0005-0000-0000-0000D96C0000}"/>
    <cellStyle name="Normal 354 2 4" xfId="27866" xr:uid="{00000000-0005-0000-0000-0000DA6C0000}"/>
    <cellStyle name="Normal 354 2 4 2" xfId="27867" xr:uid="{00000000-0005-0000-0000-0000DB6C0000}"/>
    <cellStyle name="Normal 354 2 4 2 2" xfId="27868" xr:uid="{00000000-0005-0000-0000-0000DC6C0000}"/>
    <cellStyle name="Normal 354 2 4 3" xfId="27869" xr:uid="{00000000-0005-0000-0000-0000DD6C0000}"/>
    <cellStyle name="Normal 354 2 5" xfId="27870" xr:uid="{00000000-0005-0000-0000-0000DE6C0000}"/>
    <cellStyle name="Normal 354 3" xfId="27871" xr:uid="{00000000-0005-0000-0000-0000DF6C0000}"/>
    <cellStyle name="Normal 354 3 2" xfId="27872" xr:uid="{00000000-0005-0000-0000-0000E06C0000}"/>
    <cellStyle name="Normal 354 3 2 2" xfId="27873" xr:uid="{00000000-0005-0000-0000-0000E16C0000}"/>
    <cellStyle name="Normal 354 3 2 2 2" xfId="27874" xr:uid="{00000000-0005-0000-0000-0000E26C0000}"/>
    <cellStyle name="Normal 354 3 2 3" xfId="27875" xr:uid="{00000000-0005-0000-0000-0000E36C0000}"/>
    <cellStyle name="Normal 354 3 2 3 2" xfId="27876" xr:uid="{00000000-0005-0000-0000-0000E46C0000}"/>
    <cellStyle name="Normal 354 3 2 3 2 2" xfId="27877" xr:uid="{00000000-0005-0000-0000-0000E56C0000}"/>
    <cellStyle name="Normal 354 3 2 3 3" xfId="27878" xr:uid="{00000000-0005-0000-0000-0000E66C0000}"/>
    <cellStyle name="Normal 354 3 2 4" xfId="27879" xr:uid="{00000000-0005-0000-0000-0000E76C0000}"/>
    <cellStyle name="Normal 354 3 3" xfId="27880" xr:uid="{00000000-0005-0000-0000-0000E86C0000}"/>
    <cellStyle name="Normal 354 3 3 2" xfId="27881" xr:uid="{00000000-0005-0000-0000-0000E96C0000}"/>
    <cellStyle name="Normal 354 3 3 2 2" xfId="27882" xr:uid="{00000000-0005-0000-0000-0000EA6C0000}"/>
    <cellStyle name="Normal 354 3 3 3" xfId="27883" xr:uid="{00000000-0005-0000-0000-0000EB6C0000}"/>
    <cellStyle name="Normal 354 3 4" xfId="27884" xr:uid="{00000000-0005-0000-0000-0000EC6C0000}"/>
    <cellStyle name="Normal 354 3 4 2" xfId="27885" xr:uid="{00000000-0005-0000-0000-0000ED6C0000}"/>
    <cellStyle name="Normal 354 3 4 2 2" xfId="27886" xr:uid="{00000000-0005-0000-0000-0000EE6C0000}"/>
    <cellStyle name="Normal 354 3 4 3" xfId="27887" xr:uid="{00000000-0005-0000-0000-0000EF6C0000}"/>
    <cellStyle name="Normal 354 3 5" xfId="27888" xr:uid="{00000000-0005-0000-0000-0000F06C0000}"/>
    <cellStyle name="Normal 354 3 5 2" xfId="27889" xr:uid="{00000000-0005-0000-0000-0000F16C0000}"/>
    <cellStyle name="Normal 354 3 5 2 2" xfId="27890" xr:uid="{00000000-0005-0000-0000-0000F26C0000}"/>
    <cellStyle name="Normal 354 3 5 3" xfId="27891" xr:uid="{00000000-0005-0000-0000-0000F36C0000}"/>
    <cellStyle name="Normal 354 3 6" xfId="27892" xr:uid="{00000000-0005-0000-0000-0000F46C0000}"/>
    <cellStyle name="Normal 354 4" xfId="27893" xr:uid="{00000000-0005-0000-0000-0000F56C0000}"/>
    <cellStyle name="Normal 354 4 2" xfId="27894" xr:uid="{00000000-0005-0000-0000-0000F66C0000}"/>
    <cellStyle name="Normal 354 4 2 2" xfId="27895" xr:uid="{00000000-0005-0000-0000-0000F76C0000}"/>
    <cellStyle name="Normal 354 4 3" xfId="27896" xr:uid="{00000000-0005-0000-0000-0000F86C0000}"/>
    <cellStyle name="Normal 354 5" xfId="27897" xr:uid="{00000000-0005-0000-0000-0000F96C0000}"/>
    <cellStyle name="Normal 354 5 2" xfId="27898" xr:uid="{00000000-0005-0000-0000-0000FA6C0000}"/>
    <cellStyle name="Normal 354 5 2 2" xfId="27899" xr:uid="{00000000-0005-0000-0000-0000FB6C0000}"/>
    <cellStyle name="Normal 354 5 3" xfId="27900" xr:uid="{00000000-0005-0000-0000-0000FC6C0000}"/>
    <cellStyle name="Normal 354 6" xfId="27901" xr:uid="{00000000-0005-0000-0000-0000FD6C0000}"/>
    <cellStyle name="Normal 354 6 2" xfId="27902" xr:uid="{00000000-0005-0000-0000-0000FE6C0000}"/>
    <cellStyle name="Normal 354 6 2 2" xfId="27903" xr:uid="{00000000-0005-0000-0000-0000FF6C0000}"/>
    <cellStyle name="Normal 354 6 3" xfId="27904" xr:uid="{00000000-0005-0000-0000-0000006D0000}"/>
    <cellStyle name="Normal 354 7" xfId="27905" xr:uid="{00000000-0005-0000-0000-0000016D0000}"/>
    <cellStyle name="Normal 355" xfId="73" xr:uid="{00000000-0005-0000-0000-000049000000}"/>
    <cellStyle name="Normal 355 2" xfId="27906" xr:uid="{00000000-0005-0000-0000-0000026D0000}"/>
    <cellStyle name="Normal 355 2 2" xfId="27907" xr:uid="{00000000-0005-0000-0000-0000036D0000}"/>
    <cellStyle name="Normal 355 2 2 2" xfId="27908" xr:uid="{00000000-0005-0000-0000-0000046D0000}"/>
    <cellStyle name="Normal 355 2 3" xfId="27909" xr:uid="{00000000-0005-0000-0000-0000056D0000}"/>
    <cellStyle name="Normal 355 2 3 2" xfId="27910" xr:uid="{00000000-0005-0000-0000-0000066D0000}"/>
    <cellStyle name="Normal 355 2 3 2 2" xfId="27911" xr:uid="{00000000-0005-0000-0000-0000076D0000}"/>
    <cellStyle name="Normal 355 2 3 3" xfId="27912" xr:uid="{00000000-0005-0000-0000-0000086D0000}"/>
    <cellStyle name="Normal 355 2 4" xfId="27913" xr:uid="{00000000-0005-0000-0000-0000096D0000}"/>
    <cellStyle name="Normal 355 2 4 2" xfId="27914" xr:uid="{00000000-0005-0000-0000-00000A6D0000}"/>
    <cellStyle name="Normal 355 2 4 2 2" xfId="27915" xr:uid="{00000000-0005-0000-0000-00000B6D0000}"/>
    <cellStyle name="Normal 355 2 4 3" xfId="27916" xr:uid="{00000000-0005-0000-0000-00000C6D0000}"/>
    <cellStyle name="Normal 355 2 5" xfId="27917" xr:uid="{00000000-0005-0000-0000-00000D6D0000}"/>
    <cellStyle name="Normal 355 3" xfId="27918" xr:uid="{00000000-0005-0000-0000-00000E6D0000}"/>
    <cellStyle name="Normal 355 3 2" xfId="27919" xr:uid="{00000000-0005-0000-0000-00000F6D0000}"/>
    <cellStyle name="Normal 355 3 2 2" xfId="27920" xr:uid="{00000000-0005-0000-0000-0000106D0000}"/>
    <cellStyle name="Normal 355 3 2 2 2" xfId="27921" xr:uid="{00000000-0005-0000-0000-0000116D0000}"/>
    <cellStyle name="Normal 355 3 2 3" xfId="27922" xr:uid="{00000000-0005-0000-0000-0000126D0000}"/>
    <cellStyle name="Normal 355 3 2 3 2" xfId="27923" xr:uid="{00000000-0005-0000-0000-0000136D0000}"/>
    <cellStyle name="Normal 355 3 2 3 2 2" xfId="27924" xr:uid="{00000000-0005-0000-0000-0000146D0000}"/>
    <cellStyle name="Normal 355 3 2 3 3" xfId="27925" xr:uid="{00000000-0005-0000-0000-0000156D0000}"/>
    <cellStyle name="Normal 355 3 2 4" xfId="27926" xr:uid="{00000000-0005-0000-0000-0000166D0000}"/>
    <cellStyle name="Normal 355 3 3" xfId="27927" xr:uid="{00000000-0005-0000-0000-0000176D0000}"/>
    <cellStyle name="Normal 355 3 3 2" xfId="27928" xr:uid="{00000000-0005-0000-0000-0000186D0000}"/>
    <cellStyle name="Normal 355 3 3 2 2" xfId="27929" xr:uid="{00000000-0005-0000-0000-0000196D0000}"/>
    <cellStyle name="Normal 355 3 3 3" xfId="27930" xr:uid="{00000000-0005-0000-0000-00001A6D0000}"/>
    <cellStyle name="Normal 355 3 4" xfId="27931" xr:uid="{00000000-0005-0000-0000-00001B6D0000}"/>
    <cellStyle name="Normal 355 3 4 2" xfId="27932" xr:uid="{00000000-0005-0000-0000-00001C6D0000}"/>
    <cellStyle name="Normal 355 3 4 2 2" xfId="27933" xr:uid="{00000000-0005-0000-0000-00001D6D0000}"/>
    <cellStyle name="Normal 355 3 4 3" xfId="27934" xr:uid="{00000000-0005-0000-0000-00001E6D0000}"/>
    <cellStyle name="Normal 355 3 5" xfId="27935" xr:uid="{00000000-0005-0000-0000-00001F6D0000}"/>
    <cellStyle name="Normal 355 3 5 2" xfId="27936" xr:uid="{00000000-0005-0000-0000-0000206D0000}"/>
    <cellStyle name="Normal 355 3 5 2 2" xfId="27937" xr:uid="{00000000-0005-0000-0000-0000216D0000}"/>
    <cellStyle name="Normal 355 3 5 3" xfId="27938" xr:uid="{00000000-0005-0000-0000-0000226D0000}"/>
    <cellStyle name="Normal 355 3 6" xfId="27939" xr:uid="{00000000-0005-0000-0000-0000236D0000}"/>
    <cellStyle name="Normal 355 4" xfId="27940" xr:uid="{00000000-0005-0000-0000-0000246D0000}"/>
    <cellStyle name="Normal 355 4 2" xfId="27941" xr:uid="{00000000-0005-0000-0000-0000256D0000}"/>
    <cellStyle name="Normal 355 4 2 2" xfId="27942" xr:uid="{00000000-0005-0000-0000-0000266D0000}"/>
    <cellStyle name="Normal 355 4 3" xfId="27943" xr:uid="{00000000-0005-0000-0000-0000276D0000}"/>
    <cellStyle name="Normal 355 5" xfId="27944" xr:uid="{00000000-0005-0000-0000-0000286D0000}"/>
    <cellStyle name="Normal 355 5 2" xfId="27945" xr:uid="{00000000-0005-0000-0000-0000296D0000}"/>
    <cellStyle name="Normal 355 5 2 2" xfId="27946" xr:uid="{00000000-0005-0000-0000-00002A6D0000}"/>
    <cellStyle name="Normal 355 5 3" xfId="27947" xr:uid="{00000000-0005-0000-0000-00002B6D0000}"/>
    <cellStyle name="Normal 355 6" xfId="27948" xr:uid="{00000000-0005-0000-0000-00002C6D0000}"/>
    <cellStyle name="Normal 355 6 2" xfId="27949" xr:uid="{00000000-0005-0000-0000-00002D6D0000}"/>
    <cellStyle name="Normal 355 6 2 2" xfId="27950" xr:uid="{00000000-0005-0000-0000-00002E6D0000}"/>
    <cellStyle name="Normal 355 6 3" xfId="27951" xr:uid="{00000000-0005-0000-0000-00002F6D0000}"/>
    <cellStyle name="Normal 355 7" xfId="27952" xr:uid="{00000000-0005-0000-0000-0000306D0000}"/>
    <cellStyle name="Normal 356" xfId="27953" xr:uid="{00000000-0005-0000-0000-0000316D0000}"/>
    <cellStyle name="Normal 356 2" xfId="27954" xr:uid="{00000000-0005-0000-0000-0000326D0000}"/>
    <cellStyle name="Normal 356 2 2" xfId="27955" xr:uid="{00000000-0005-0000-0000-0000336D0000}"/>
    <cellStyle name="Normal 356 2 2 2" xfId="27956" xr:uid="{00000000-0005-0000-0000-0000346D0000}"/>
    <cellStyle name="Normal 356 2 3" xfId="27957" xr:uid="{00000000-0005-0000-0000-0000356D0000}"/>
    <cellStyle name="Normal 356 2 3 2" xfId="27958" xr:uid="{00000000-0005-0000-0000-0000366D0000}"/>
    <cellStyle name="Normal 356 2 3 2 2" xfId="27959" xr:uid="{00000000-0005-0000-0000-0000376D0000}"/>
    <cellStyle name="Normal 356 2 3 3" xfId="27960" xr:uid="{00000000-0005-0000-0000-0000386D0000}"/>
    <cellStyle name="Normal 356 2 4" xfId="27961" xr:uid="{00000000-0005-0000-0000-0000396D0000}"/>
    <cellStyle name="Normal 356 2 4 2" xfId="27962" xr:uid="{00000000-0005-0000-0000-00003A6D0000}"/>
    <cellStyle name="Normal 356 2 4 2 2" xfId="27963" xr:uid="{00000000-0005-0000-0000-00003B6D0000}"/>
    <cellStyle name="Normal 356 2 4 3" xfId="27964" xr:uid="{00000000-0005-0000-0000-00003C6D0000}"/>
    <cellStyle name="Normal 356 2 5" xfId="27965" xr:uid="{00000000-0005-0000-0000-00003D6D0000}"/>
    <cellStyle name="Normal 356 3" xfId="27966" xr:uid="{00000000-0005-0000-0000-00003E6D0000}"/>
    <cellStyle name="Normal 356 3 2" xfId="27967" xr:uid="{00000000-0005-0000-0000-00003F6D0000}"/>
    <cellStyle name="Normal 356 3 2 2" xfId="27968" xr:uid="{00000000-0005-0000-0000-0000406D0000}"/>
    <cellStyle name="Normal 356 3 2 2 2" xfId="27969" xr:uid="{00000000-0005-0000-0000-0000416D0000}"/>
    <cellStyle name="Normal 356 3 2 3" xfId="27970" xr:uid="{00000000-0005-0000-0000-0000426D0000}"/>
    <cellStyle name="Normal 356 3 2 3 2" xfId="27971" xr:uid="{00000000-0005-0000-0000-0000436D0000}"/>
    <cellStyle name="Normal 356 3 2 3 2 2" xfId="27972" xr:uid="{00000000-0005-0000-0000-0000446D0000}"/>
    <cellStyle name="Normal 356 3 2 3 3" xfId="27973" xr:uid="{00000000-0005-0000-0000-0000456D0000}"/>
    <cellStyle name="Normal 356 3 2 4" xfId="27974" xr:uid="{00000000-0005-0000-0000-0000466D0000}"/>
    <cellStyle name="Normal 356 3 3" xfId="27975" xr:uid="{00000000-0005-0000-0000-0000476D0000}"/>
    <cellStyle name="Normal 356 3 3 2" xfId="27976" xr:uid="{00000000-0005-0000-0000-0000486D0000}"/>
    <cellStyle name="Normal 356 3 3 2 2" xfId="27977" xr:uid="{00000000-0005-0000-0000-0000496D0000}"/>
    <cellStyle name="Normal 356 3 3 3" xfId="27978" xr:uid="{00000000-0005-0000-0000-00004A6D0000}"/>
    <cellStyle name="Normal 356 3 4" xfId="27979" xr:uid="{00000000-0005-0000-0000-00004B6D0000}"/>
    <cellStyle name="Normal 356 3 4 2" xfId="27980" xr:uid="{00000000-0005-0000-0000-00004C6D0000}"/>
    <cellStyle name="Normal 356 3 4 2 2" xfId="27981" xr:uid="{00000000-0005-0000-0000-00004D6D0000}"/>
    <cellStyle name="Normal 356 3 4 3" xfId="27982" xr:uid="{00000000-0005-0000-0000-00004E6D0000}"/>
    <cellStyle name="Normal 356 3 5" xfId="27983" xr:uid="{00000000-0005-0000-0000-00004F6D0000}"/>
    <cellStyle name="Normal 356 3 5 2" xfId="27984" xr:uid="{00000000-0005-0000-0000-0000506D0000}"/>
    <cellStyle name="Normal 356 3 5 2 2" xfId="27985" xr:uid="{00000000-0005-0000-0000-0000516D0000}"/>
    <cellStyle name="Normal 356 3 5 3" xfId="27986" xr:uid="{00000000-0005-0000-0000-0000526D0000}"/>
    <cellStyle name="Normal 356 3 6" xfId="27987" xr:uid="{00000000-0005-0000-0000-0000536D0000}"/>
    <cellStyle name="Normal 356 4" xfId="27988" xr:uid="{00000000-0005-0000-0000-0000546D0000}"/>
    <cellStyle name="Normal 356 4 2" xfId="27989" xr:uid="{00000000-0005-0000-0000-0000556D0000}"/>
    <cellStyle name="Normal 356 4 2 2" xfId="27990" xr:uid="{00000000-0005-0000-0000-0000566D0000}"/>
    <cellStyle name="Normal 356 4 3" xfId="27991" xr:uid="{00000000-0005-0000-0000-0000576D0000}"/>
    <cellStyle name="Normal 356 5" xfId="27992" xr:uid="{00000000-0005-0000-0000-0000586D0000}"/>
    <cellStyle name="Normal 356 5 2" xfId="27993" xr:uid="{00000000-0005-0000-0000-0000596D0000}"/>
    <cellStyle name="Normal 356 5 2 2" xfId="27994" xr:uid="{00000000-0005-0000-0000-00005A6D0000}"/>
    <cellStyle name="Normal 356 5 3" xfId="27995" xr:uid="{00000000-0005-0000-0000-00005B6D0000}"/>
    <cellStyle name="Normal 356 6" xfId="27996" xr:uid="{00000000-0005-0000-0000-00005C6D0000}"/>
    <cellStyle name="Normal 356 6 2" xfId="27997" xr:uid="{00000000-0005-0000-0000-00005D6D0000}"/>
    <cellStyle name="Normal 356 6 2 2" xfId="27998" xr:uid="{00000000-0005-0000-0000-00005E6D0000}"/>
    <cellStyle name="Normal 356 6 3" xfId="27999" xr:uid="{00000000-0005-0000-0000-00005F6D0000}"/>
    <cellStyle name="Normal 356 7" xfId="28000" xr:uid="{00000000-0005-0000-0000-0000606D0000}"/>
    <cellStyle name="Normal 357" xfId="28001" xr:uid="{00000000-0005-0000-0000-0000616D0000}"/>
    <cellStyle name="Normal 357 2" xfId="28002" xr:uid="{00000000-0005-0000-0000-0000626D0000}"/>
    <cellStyle name="Normal 357 2 2" xfId="28003" xr:uid="{00000000-0005-0000-0000-0000636D0000}"/>
    <cellStyle name="Normal 357 2 2 2" xfId="28004" xr:uid="{00000000-0005-0000-0000-0000646D0000}"/>
    <cellStyle name="Normal 357 2 3" xfId="28005" xr:uid="{00000000-0005-0000-0000-0000656D0000}"/>
    <cellStyle name="Normal 357 2 3 2" xfId="28006" xr:uid="{00000000-0005-0000-0000-0000666D0000}"/>
    <cellStyle name="Normal 357 2 3 2 2" xfId="28007" xr:uid="{00000000-0005-0000-0000-0000676D0000}"/>
    <cellStyle name="Normal 357 2 3 3" xfId="28008" xr:uid="{00000000-0005-0000-0000-0000686D0000}"/>
    <cellStyle name="Normal 357 2 4" xfId="28009" xr:uid="{00000000-0005-0000-0000-0000696D0000}"/>
    <cellStyle name="Normal 357 2 4 2" xfId="28010" xr:uid="{00000000-0005-0000-0000-00006A6D0000}"/>
    <cellStyle name="Normal 357 2 4 2 2" xfId="28011" xr:uid="{00000000-0005-0000-0000-00006B6D0000}"/>
    <cellStyle name="Normal 357 2 4 3" xfId="28012" xr:uid="{00000000-0005-0000-0000-00006C6D0000}"/>
    <cellStyle name="Normal 357 2 5" xfId="28013" xr:uid="{00000000-0005-0000-0000-00006D6D0000}"/>
    <cellStyle name="Normal 357 3" xfId="28014" xr:uid="{00000000-0005-0000-0000-00006E6D0000}"/>
    <cellStyle name="Normal 357 3 2" xfId="28015" xr:uid="{00000000-0005-0000-0000-00006F6D0000}"/>
    <cellStyle name="Normal 357 3 2 2" xfId="28016" xr:uid="{00000000-0005-0000-0000-0000706D0000}"/>
    <cellStyle name="Normal 357 3 2 2 2" xfId="28017" xr:uid="{00000000-0005-0000-0000-0000716D0000}"/>
    <cellStyle name="Normal 357 3 2 3" xfId="28018" xr:uid="{00000000-0005-0000-0000-0000726D0000}"/>
    <cellStyle name="Normal 357 3 2 3 2" xfId="28019" xr:uid="{00000000-0005-0000-0000-0000736D0000}"/>
    <cellStyle name="Normal 357 3 2 3 2 2" xfId="28020" xr:uid="{00000000-0005-0000-0000-0000746D0000}"/>
    <cellStyle name="Normal 357 3 2 3 3" xfId="28021" xr:uid="{00000000-0005-0000-0000-0000756D0000}"/>
    <cellStyle name="Normal 357 3 2 4" xfId="28022" xr:uid="{00000000-0005-0000-0000-0000766D0000}"/>
    <cellStyle name="Normal 357 3 3" xfId="28023" xr:uid="{00000000-0005-0000-0000-0000776D0000}"/>
    <cellStyle name="Normal 357 3 3 2" xfId="28024" xr:uid="{00000000-0005-0000-0000-0000786D0000}"/>
    <cellStyle name="Normal 357 3 3 2 2" xfId="28025" xr:uid="{00000000-0005-0000-0000-0000796D0000}"/>
    <cellStyle name="Normal 357 3 3 3" xfId="28026" xr:uid="{00000000-0005-0000-0000-00007A6D0000}"/>
    <cellStyle name="Normal 357 3 4" xfId="28027" xr:uid="{00000000-0005-0000-0000-00007B6D0000}"/>
    <cellStyle name="Normal 357 3 4 2" xfId="28028" xr:uid="{00000000-0005-0000-0000-00007C6D0000}"/>
    <cellStyle name="Normal 357 3 4 2 2" xfId="28029" xr:uid="{00000000-0005-0000-0000-00007D6D0000}"/>
    <cellStyle name="Normal 357 3 4 3" xfId="28030" xr:uid="{00000000-0005-0000-0000-00007E6D0000}"/>
    <cellStyle name="Normal 357 3 5" xfId="28031" xr:uid="{00000000-0005-0000-0000-00007F6D0000}"/>
    <cellStyle name="Normal 357 3 5 2" xfId="28032" xr:uid="{00000000-0005-0000-0000-0000806D0000}"/>
    <cellStyle name="Normal 357 3 5 2 2" xfId="28033" xr:uid="{00000000-0005-0000-0000-0000816D0000}"/>
    <cellStyle name="Normal 357 3 5 3" xfId="28034" xr:uid="{00000000-0005-0000-0000-0000826D0000}"/>
    <cellStyle name="Normal 357 3 6" xfId="28035" xr:uid="{00000000-0005-0000-0000-0000836D0000}"/>
    <cellStyle name="Normal 357 4" xfId="28036" xr:uid="{00000000-0005-0000-0000-0000846D0000}"/>
    <cellStyle name="Normal 357 4 2" xfId="28037" xr:uid="{00000000-0005-0000-0000-0000856D0000}"/>
    <cellStyle name="Normal 357 4 2 2" xfId="28038" xr:uid="{00000000-0005-0000-0000-0000866D0000}"/>
    <cellStyle name="Normal 357 4 3" xfId="28039" xr:uid="{00000000-0005-0000-0000-0000876D0000}"/>
    <cellStyle name="Normal 357 5" xfId="28040" xr:uid="{00000000-0005-0000-0000-0000886D0000}"/>
    <cellStyle name="Normal 357 5 2" xfId="28041" xr:uid="{00000000-0005-0000-0000-0000896D0000}"/>
    <cellStyle name="Normal 357 5 2 2" xfId="28042" xr:uid="{00000000-0005-0000-0000-00008A6D0000}"/>
    <cellStyle name="Normal 357 5 3" xfId="28043" xr:uid="{00000000-0005-0000-0000-00008B6D0000}"/>
    <cellStyle name="Normal 357 6" xfId="28044" xr:uid="{00000000-0005-0000-0000-00008C6D0000}"/>
    <cellStyle name="Normal 357 6 2" xfId="28045" xr:uid="{00000000-0005-0000-0000-00008D6D0000}"/>
    <cellStyle name="Normal 357 6 2 2" xfId="28046" xr:uid="{00000000-0005-0000-0000-00008E6D0000}"/>
    <cellStyle name="Normal 357 6 3" xfId="28047" xr:uid="{00000000-0005-0000-0000-00008F6D0000}"/>
    <cellStyle name="Normal 357 7" xfId="28048" xr:uid="{00000000-0005-0000-0000-0000906D0000}"/>
    <cellStyle name="Normal 358" xfId="28049" xr:uid="{00000000-0005-0000-0000-0000916D0000}"/>
    <cellStyle name="Normal 358 2" xfId="28050" xr:uid="{00000000-0005-0000-0000-0000926D0000}"/>
    <cellStyle name="Normal 358 2 2" xfId="28051" xr:uid="{00000000-0005-0000-0000-0000936D0000}"/>
    <cellStyle name="Normal 358 2 2 2" xfId="28052" xr:uid="{00000000-0005-0000-0000-0000946D0000}"/>
    <cellStyle name="Normal 358 2 3" xfId="28053" xr:uid="{00000000-0005-0000-0000-0000956D0000}"/>
    <cellStyle name="Normal 358 2 3 2" xfId="28054" xr:uid="{00000000-0005-0000-0000-0000966D0000}"/>
    <cellStyle name="Normal 358 2 3 2 2" xfId="28055" xr:uid="{00000000-0005-0000-0000-0000976D0000}"/>
    <cellStyle name="Normal 358 2 3 3" xfId="28056" xr:uid="{00000000-0005-0000-0000-0000986D0000}"/>
    <cellStyle name="Normal 358 2 4" xfId="28057" xr:uid="{00000000-0005-0000-0000-0000996D0000}"/>
    <cellStyle name="Normal 358 2 4 2" xfId="28058" xr:uid="{00000000-0005-0000-0000-00009A6D0000}"/>
    <cellStyle name="Normal 358 2 4 2 2" xfId="28059" xr:uid="{00000000-0005-0000-0000-00009B6D0000}"/>
    <cellStyle name="Normal 358 2 4 3" xfId="28060" xr:uid="{00000000-0005-0000-0000-00009C6D0000}"/>
    <cellStyle name="Normal 358 2 5" xfId="28061" xr:uid="{00000000-0005-0000-0000-00009D6D0000}"/>
    <cellStyle name="Normal 358 3" xfId="28062" xr:uid="{00000000-0005-0000-0000-00009E6D0000}"/>
    <cellStyle name="Normal 358 3 2" xfId="28063" xr:uid="{00000000-0005-0000-0000-00009F6D0000}"/>
    <cellStyle name="Normal 358 3 2 2" xfId="28064" xr:uid="{00000000-0005-0000-0000-0000A06D0000}"/>
    <cellStyle name="Normal 358 3 2 2 2" xfId="28065" xr:uid="{00000000-0005-0000-0000-0000A16D0000}"/>
    <cellStyle name="Normal 358 3 2 3" xfId="28066" xr:uid="{00000000-0005-0000-0000-0000A26D0000}"/>
    <cellStyle name="Normal 358 3 2 3 2" xfId="28067" xr:uid="{00000000-0005-0000-0000-0000A36D0000}"/>
    <cellStyle name="Normal 358 3 2 3 2 2" xfId="28068" xr:uid="{00000000-0005-0000-0000-0000A46D0000}"/>
    <cellStyle name="Normal 358 3 2 3 3" xfId="28069" xr:uid="{00000000-0005-0000-0000-0000A56D0000}"/>
    <cellStyle name="Normal 358 3 2 4" xfId="28070" xr:uid="{00000000-0005-0000-0000-0000A66D0000}"/>
    <cellStyle name="Normal 358 3 3" xfId="28071" xr:uid="{00000000-0005-0000-0000-0000A76D0000}"/>
    <cellStyle name="Normal 358 3 3 2" xfId="28072" xr:uid="{00000000-0005-0000-0000-0000A86D0000}"/>
    <cellStyle name="Normal 358 3 3 2 2" xfId="28073" xr:uid="{00000000-0005-0000-0000-0000A96D0000}"/>
    <cellStyle name="Normal 358 3 3 3" xfId="28074" xr:uid="{00000000-0005-0000-0000-0000AA6D0000}"/>
    <cellStyle name="Normal 358 3 4" xfId="28075" xr:uid="{00000000-0005-0000-0000-0000AB6D0000}"/>
    <cellStyle name="Normal 358 3 4 2" xfId="28076" xr:uid="{00000000-0005-0000-0000-0000AC6D0000}"/>
    <cellStyle name="Normal 358 3 4 2 2" xfId="28077" xr:uid="{00000000-0005-0000-0000-0000AD6D0000}"/>
    <cellStyle name="Normal 358 3 4 3" xfId="28078" xr:uid="{00000000-0005-0000-0000-0000AE6D0000}"/>
    <cellStyle name="Normal 358 3 5" xfId="28079" xr:uid="{00000000-0005-0000-0000-0000AF6D0000}"/>
    <cellStyle name="Normal 358 3 5 2" xfId="28080" xr:uid="{00000000-0005-0000-0000-0000B06D0000}"/>
    <cellStyle name="Normal 358 3 5 2 2" xfId="28081" xr:uid="{00000000-0005-0000-0000-0000B16D0000}"/>
    <cellStyle name="Normal 358 3 5 3" xfId="28082" xr:uid="{00000000-0005-0000-0000-0000B26D0000}"/>
    <cellStyle name="Normal 358 3 6" xfId="28083" xr:uid="{00000000-0005-0000-0000-0000B36D0000}"/>
    <cellStyle name="Normal 358 4" xfId="28084" xr:uid="{00000000-0005-0000-0000-0000B46D0000}"/>
    <cellStyle name="Normal 358 4 2" xfId="28085" xr:uid="{00000000-0005-0000-0000-0000B56D0000}"/>
    <cellStyle name="Normal 358 4 2 2" xfId="28086" xr:uid="{00000000-0005-0000-0000-0000B66D0000}"/>
    <cellStyle name="Normal 358 4 3" xfId="28087" xr:uid="{00000000-0005-0000-0000-0000B76D0000}"/>
    <cellStyle name="Normal 358 5" xfId="28088" xr:uid="{00000000-0005-0000-0000-0000B86D0000}"/>
    <cellStyle name="Normal 358 5 2" xfId="28089" xr:uid="{00000000-0005-0000-0000-0000B96D0000}"/>
    <cellStyle name="Normal 358 5 2 2" xfId="28090" xr:uid="{00000000-0005-0000-0000-0000BA6D0000}"/>
    <cellStyle name="Normal 358 5 3" xfId="28091" xr:uid="{00000000-0005-0000-0000-0000BB6D0000}"/>
    <cellStyle name="Normal 358 6" xfId="28092" xr:uid="{00000000-0005-0000-0000-0000BC6D0000}"/>
    <cellStyle name="Normal 358 6 2" xfId="28093" xr:uid="{00000000-0005-0000-0000-0000BD6D0000}"/>
    <cellStyle name="Normal 358 6 2 2" xfId="28094" xr:uid="{00000000-0005-0000-0000-0000BE6D0000}"/>
    <cellStyle name="Normal 358 6 3" xfId="28095" xr:uid="{00000000-0005-0000-0000-0000BF6D0000}"/>
    <cellStyle name="Normal 358 7" xfId="28096" xr:uid="{00000000-0005-0000-0000-0000C06D0000}"/>
    <cellStyle name="Normal 359" xfId="28097" xr:uid="{00000000-0005-0000-0000-0000C16D0000}"/>
    <cellStyle name="Normal 359 2" xfId="28098" xr:uid="{00000000-0005-0000-0000-0000C26D0000}"/>
    <cellStyle name="Normal 359 2 2" xfId="28099" xr:uid="{00000000-0005-0000-0000-0000C36D0000}"/>
    <cellStyle name="Normal 359 2 2 2" xfId="28100" xr:uid="{00000000-0005-0000-0000-0000C46D0000}"/>
    <cellStyle name="Normal 359 2 3" xfId="28101" xr:uid="{00000000-0005-0000-0000-0000C56D0000}"/>
    <cellStyle name="Normal 359 2 3 2" xfId="28102" xr:uid="{00000000-0005-0000-0000-0000C66D0000}"/>
    <cellStyle name="Normal 359 2 3 2 2" xfId="28103" xr:uid="{00000000-0005-0000-0000-0000C76D0000}"/>
    <cellStyle name="Normal 359 2 3 3" xfId="28104" xr:uid="{00000000-0005-0000-0000-0000C86D0000}"/>
    <cellStyle name="Normal 359 2 4" xfId="28105" xr:uid="{00000000-0005-0000-0000-0000C96D0000}"/>
    <cellStyle name="Normal 359 2 4 2" xfId="28106" xr:uid="{00000000-0005-0000-0000-0000CA6D0000}"/>
    <cellStyle name="Normal 359 2 4 2 2" xfId="28107" xr:uid="{00000000-0005-0000-0000-0000CB6D0000}"/>
    <cellStyle name="Normal 359 2 4 3" xfId="28108" xr:uid="{00000000-0005-0000-0000-0000CC6D0000}"/>
    <cellStyle name="Normal 359 2 5" xfId="28109" xr:uid="{00000000-0005-0000-0000-0000CD6D0000}"/>
    <cellStyle name="Normal 359 3" xfId="28110" xr:uid="{00000000-0005-0000-0000-0000CE6D0000}"/>
    <cellStyle name="Normal 359 3 2" xfId="28111" xr:uid="{00000000-0005-0000-0000-0000CF6D0000}"/>
    <cellStyle name="Normal 359 3 2 2" xfId="28112" xr:uid="{00000000-0005-0000-0000-0000D06D0000}"/>
    <cellStyle name="Normal 359 3 2 2 2" xfId="28113" xr:uid="{00000000-0005-0000-0000-0000D16D0000}"/>
    <cellStyle name="Normal 359 3 2 3" xfId="28114" xr:uid="{00000000-0005-0000-0000-0000D26D0000}"/>
    <cellStyle name="Normal 359 3 2 3 2" xfId="28115" xr:uid="{00000000-0005-0000-0000-0000D36D0000}"/>
    <cellStyle name="Normal 359 3 2 3 2 2" xfId="28116" xr:uid="{00000000-0005-0000-0000-0000D46D0000}"/>
    <cellStyle name="Normal 359 3 2 3 3" xfId="28117" xr:uid="{00000000-0005-0000-0000-0000D56D0000}"/>
    <cellStyle name="Normal 359 3 2 4" xfId="28118" xr:uid="{00000000-0005-0000-0000-0000D66D0000}"/>
    <cellStyle name="Normal 359 3 3" xfId="28119" xr:uid="{00000000-0005-0000-0000-0000D76D0000}"/>
    <cellStyle name="Normal 359 3 3 2" xfId="28120" xr:uid="{00000000-0005-0000-0000-0000D86D0000}"/>
    <cellStyle name="Normal 359 3 3 2 2" xfId="28121" xr:uid="{00000000-0005-0000-0000-0000D96D0000}"/>
    <cellStyle name="Normal 359 3 3 3" xfId="28122" xr:uid="{00000000-0005-0000-0000-0000DA6D0000}"/>
    <cellStyle name="Normal 359 3 4" xfId="28123" xr:uid="{00000000-0005-0000-0000-0000DB6D0000}"/>
    <cellStyle name="Normal 359 3 4 2" xfId="28124" xr:uid="{00000000-0005-0000-0000-0000DC6D0000}"/>
    <cellStyle name="Normal 359 3 4 2 2" xfId="28125" xr:uid="{00000000-0005-0000-0000-0000DD6D0000}"/>
    <cellStyle name="Normal 359 3 4 3" xfId="28126" xr:uid="{00000000-0005-0000-0000-0000DE6D0000}"/>
    <cellStyle name="Normal 359 3 5" xfId="28127" xr:uid="{00000000-0005-0000-0000-0000DF6D0000}"/>
    <cellStyle name="Normal 359 3 5 2" xfId="28128" xr:uid="{00000000-0005-0000-0000-0000E06D0000}"/>
    <cellStyle name="Normal 359 3 5 2 2" xfId="28129" xr:uid="{00000000-0005-0000-0000-0000E16D0000}"/>
    <cellStyle name="Normal 359 3 5 3" xfId="28130" xr:uid="{00000000-0005-0000-0000-0000E26D0000}"/>
    <cellStyle name="Normal 359 3 6" xfId="28131" xr:uid="{00000000-0005-0000-0000-0000E36D0000}"/>
    <cellStyle name="Normal 359 4" xfId="28132" xr:uid="{00000000-0005-0000-0000-0000E46D0000}"/>
    <cellStyle name="Normal 359 4 2" xfId="28133" xr:uid="{00000000-0005-0000-0000-0000E56D0000}"/>
    <cellStyle name="Normal 359 4 2 2" xfId="28134" xr:uid="{00000000-0005-0000-0000-0000E66D0000}"/>
    <cellStyle name="Normal 359 4 3" xfId="28135" xr:uid="{00000000-0005-0000-0000-0000E76D0000}"/>
    <cellStyle name="Normal 359 5" xfId="28136" xr:uid="{00000000-0005-0000-0000-0000E86D0000}"/>
    <cellStyle name="Normal 359 5 2" xfId="28137" xr:uid="{00000000-0005-0000-0000-0000E96D0000}"/>
    <cellStyle name="Normal 359 5 2 2" xfId="28138" xr:uid="{00000000-0005-0000-0000-0000EA6D0000}"/>
    <cellStyle name="Normal 359 5 3" xfId="28139" xr:uid="{00000000-0005-0000-0000-0000EB6D0000}"/>
    <cellStyle name="Normal 359 6" xfId="28140" xr:uid="{00000000-0005-0000-0000-0000EC6D0000}"/>
    <cellStyle name="Normal 359 6 2" xfId="28141" xr:uid="{00000000-0005-0000-0000-0000ED6D0000}"/>
    <cellStyle name="Normal 359 6 2 2" xfId="28142" xr:uid="{00000000-0005-0000-0000-0000EE6D0000}"/>
    <cellStyle name="Normal 359 6 3" xfId="28143" xr:uid="{00000000-0005-0000-0000-0000EF6D0000}"/>
    <cellStyle name="Normal 359 7" xfId="28144" xr:uid="{00000000-0005-0000-0000-0000F06D0000}"/>
    <cellStyle name="Normal 36" xfId="28145" xr:uid="{00000000-0005-0000-0000-0000F16D0000}"/>
    <cellStyle name="Normal 36 2" xfId="28146" xr:uid="{00000000-0005-0000-0000-0000F26D0000}"/>
    <cellStyle name="Normal 36 2 2" xfId="28147" xr:uid="{00000000-0005-0000-0000-0000F36D0000}"/>
    <cellStyle name="Normal 36 2 2 2" xfId="28148" xr:uid="{00000000-0005-0000-0000-0000F46D0000}"/>
    <cellStyle name="Normal 36 2 2 2 2" xfId="28149" xr:uid="{00000000-0005-0000-0000-0000F56D0000}"/>
    <cellStyle name="Normal 36 2 2 3" xfId="28150" xr:uid="{00000000-0005-0000-0000-0000F66D0000}"/>
    <cellStyle name="Normal 36 2 2 3 2" xfId="28151" xr:uid="{00000000-0005-0000-0000-0000F76D0000}"/>
    <cellStyle name="Normal 36 2 2 3 2 2" xfId="28152" xr:uid="{00000000-0005-0000-0000-0000F86D0000}"/>
    <cellStyle name="Normal 36 2 2 3 3" xfId="28153" xr:uid="{00000000-0005-0000-0000-0000F96D0000}"/>
    <cellStyle name="Normal 36 2 2 4" xfId="28154" xr:uid="{00000000-0005-0000-0000-0000FA6D0000}"/>
    <cellStyle name="Normal 36 2 2 4 2" xfId="28155" xr:uid="{00000000-0005-0000-0000-0000FB6D0000}"/>
    <cellStyle name="Normal 36 2 2 4 2 2" xfId="28156" xr:uid="{00000000-0005-0000-0000-0000FC6D0000}"/>
    <cellStyle name="Normal 36 2 2 4 3" xfId="28157" xr:uid="{00000000-0005-0000-0000-0000FD6D0000}"/>
    <cellStyle name="Normal 36 2 2 5" xfId="28158" xr:uid="{00000000-0005-0000-0000-0000FE6D0000}"/>
    <cellStyle name="Normal 36 2 3" xfId="28159" xr:uid="{00000000-0005-0000-0000-0000FF6D0000}"/>
    <cellStyle name="Normal 36 2 3 2" xfId="28160" xr:uid="{00000000-0005-0000-0000-0000006E0000}"/>
    <cellStyle name="Normal 36 2 3 2 2" xfId="28161" xr:uid="{00000000-0005-0000-0000-0000016E0000}"/>
    <cellStyle name="Normal 36 2 3 3" xfId="28162" xr:uid="{00000000-0005-0000-0000-0000026E0000}"/>
    <cellStyle name="Normal 36 2 4" xfId="28163" xr:uid="{00000000-0005-0000-0000-0000036E0000}"/>
    <cellStyle name="Normal 36 2 4 2" xfId="28164" xr:uid="{00000000-0005-0000-0000-0000046E0000}"/>
    <cellStyle name="Normal 36 2 4 2 2" xfId="28165" xr:uid="{00000000-0005-0000-0000-0000056E0000}"/>
    <cellStyle name="Normal 36 2 4 3" xfId="28166" xr:uid="{00000000-0005-0000-0000-0000066E0000}"/>
    <cellStyle name="Normal 36 2 5" xfId="28167" xr:uid="{00000000-0005-0000-0000-0000076E0000}"/>
    <cellStyle name="Normal 36 2 5 2" xfId="28168" xr:uid="{00000000-0005-0000-0000-0000086E0000}"/>
    <cellStyle name="Normal 36 2 5 2 2" xfId="28169" xr:uid="{00000000-0005-0000-0000-0000096E0000}"/>
    <cellStyle name="Normal 36 2 5 3" xfId="28170" xr:uid="{00000000-0005-0000-0000-00000A6E0000}"/>
    <cellStyle name="Normal 36 2 6" xfId="28171" xr:uid="{00000000-0005-0000-0000-00000B6E0000}"/>
    <cellStyle name="Normal 36 3" xfId="28172" xr:uid="{00000000-0005-0000-0000-00000C6E0000}"/>
    <cellStyle name="Normal 36 3 2" xfId="28173" xr:uid="{00000000-0005-0000-0000-00000D6E0000}"/>
    <cellStyle name="Normal 36 3 2 2" xfId="28174" xr:uid="{00000000-0005-0000-0000-00000E6E0000}"/>
    <cellStyle name="Normal 36 3 3" xfId="28175" xr:uid="{00000000-0005-0000-0000-00000F6E0000}"/>
    <cellStyle name="Normal 36 3 3 2" xfId="28176" xr:uid="{00000000-0005-0000-0000-0000106E0000}"/>
    <cellStyle name="Normal 36 3 3 2 2" xfId="28177" xr:uid="{00000000-0005-0000-0000-0000116E0000}"/>
    <cellStyle name="Normal 36 3 3 3" xfId="28178" xr:uid="{00000000-0005-0000-0000-0000126E0000}"/>
    <cellStyle name="Normal 36 3 4" xfId="28179" xr:uid="{00000000-0005-0000-0000-0000136E0000}"/>
    <cellStyle name="Normal 36 3 4 2" xfId="28180" xr:uid="{00000000-0005-0000-0000-0000146E0000}"/>
    <cellStyle name="Normal 36 3 4 2 2" xfId="28181" xr:uid="{00000000-0005-0000-0000-0000156E0000}"/>
    <cellStyle name="Normal 36 3 4 3" xfId="28182" xr:uid="{00000000-0005-0000-0000-0000166E0000}"/>
    <cellStyle name="Normal 36 3 5" xfId="28183" xr:uid="{00000000-0005-0000-0000-0000176E0000}"/>
    <cellStyle name="Normal 36 4" xfId="28184" xr:uid="{00000000-0005-0000-0000-0000186E0000}"/>
    <cellStyle name="Normal 36 4 2" xfId="28185" xr:uid="{00000000-0005-0000-0000-0000196E0000}"/>
    <cellStyle name="Normal 36 4 2 2" xfId="28186" xr:uid="{00000000-0005-0000-0000-00001A6E0000}"/>
    <cellStyle name="Normal 36 4 3" xfId="28187" xr:uid="{00000000-0005-0000-0000-00001B6E0000}"/>
    <cellStyle name="Normal 36 5" xfId="28188" xr:uid="{00000000-0005-0000-0000-00001C6E0000}"/>
    <cellStyle name="Normal 36 5 2" xfId="28189" xr:uid="{00000000-0005-0000-0000-00001D6E0000}"/>
    <cellStyle name="Normal 36 5 2 2" xfId="28190" xr:uid="{00000000-0005-0000-0000-00001E6E0000}"/>
    <cellStyle name="Normal 36 5 3" xfId="28191" xr:uid="{00000000-0005-0000-0000-00001F6E0000}"/>
    <cellStyle name="Normal 36 6" xfId="28192" xr:uid="{00000000-0005-0000-0000-0000206E0000}"/>
    <cellStyle name="Normal 36 6 2" xfId="28193" xr:uid="{00000000-0005-0000-0000-0000216E0000}"/>
    <cellStyle name="Normal 36 6 2 2" xfId="28194" xr:uid="{00000000-0005-0000-0000-0000226E0000}"/>
    <cellStyle name="Normal 36 6 3" xfId="28195" xr:uid="{00000000-0005-0000-0000-0000236E0000}"/>
    <cellStyle name="Normal 36 7" xfId="28196" xr:uid="{00000000-0005-0000-0000-0000246E0000}"/>
    <cellStyle name="Normal 360" xfId="28197" xr:uid="{00000000-0005-0000-0000-0000256E0000}"/>
    <cellStyle name="Normal 360 2" xfId="28198" xr:uid="{00000000-0005-0000-0000-0000266E0000}"/>
    <cellStyle name="Normal 360 2 2" xfId="28199" xr:uid="{00000000-0005-0000-0000-0000276E0000}"/>
    <cellStyle name="Normal 360 2 2 2" xfId="28200" xr:uid="{00000000-0005-0000-0000-0000286E0000}"/>
    <cellStyle name="Normal 360 2 3" xfId="28201" xr:uid="{00000000-0005-0000-0000-0000296E0000}"/>
    <cellStyle name="Normal 360 2 3 2" xfId="28202" xr:uid="{00000000-0005-0000-0000-00002A6E0000}"/>
    <cellStyle name="Normal 360 2 3 2 2" xfId="28203" xr:uid="{00000000-0005-0000-0000-00002B6E0000}"/>
    <cellStyle name="Normal 360 2 3 3" xfId="28204" xr:uid="{00000000-0005-0000-0000-00002C6E0000}"/>
    <cellStyle name="Normal 360 2 4" xfId="28205" xr:uid="{00000000-0005-0000-0000-00002D6E0000}"/>
    <cellStyle name="Normal 360 2 4 2" xfId="28206" xr:uid="{00000000-0005-0000-0000-00002E6E0000}"/>
    <cellStyle name="Normal 360 2 4 2 2" xfId="28207" xr:uid="{00000000-0005-0000-0000-00002F6E0000}"/>
    <cellStyle name="Normal 360 2 4 3" xfId="28208" xr:uid="{00000000-0005-0000-0000-0000306E0000}"/>
    <cellStyle name="Normal 360 2 5" xfId="28209" xr:uid="{00000000-0005-0000-0000-0000316E0000}"/>
    <cellStyle name="Normal 360 3" xfId="28210" xr:uid="{00000000-0005-0000-0000-0000326E0000}"/>
    <cellStyle name="Normal 360 3 2" xfId="28211" xr:uid="{00000000-0005-0000-0000-0000336E0000}"/>
    <cellStyle name="Normal 360 3 2 2" xfId="28212" xr:uid="{00000000-0005-0000-0000-0000346E0000}"/>
    <cellStyle name="Normal 360 3 2 2 2" xfId="28213" xr:uid="{00000000-0005-0000-0000-0000356E0000}"/>
    <cellStyle name="Normal 360 3 2 3" xfId="28214" xr:uid="{00000000-0005-0000-0000-0000366E0000}"/>
    <cellStyle name="Normal 360 3 2 3 2" xfId="28215" xr:uid="{00000000-0005-0000-0000-0000376E0000}"/>
    <cellStyle name="Normal 360 3 2 3 2 2" xfId="28216" xr:uid="{00000000-0005-0000-0000-0000386E0000}"/>
    <cellStyle name="Normal 360 3 2 3 3" xfId="28217" xr:uid="{00000000-0005-0000-0000-0000396E0000}"/>
    <cellStyle name="Normal 360 3 2 4" xfId="28218" xr:uid="{00000000-0005-0000-0000-00003A6E0000}"/>
    <cellStyle name="Normal 360 3 3" xfId="28219" xr:uid="{00000000-0005-0000-0000-00003B6E0000}"/>
    <cellStyle name="Normal 360 3 3 2" xfId="28220" xr:uid="{00000000-0005-0000-0000-00003C6E0000}"/>
    <cellStyle name="Normal 360 3 3 2 2" xfId="28221" xr:uid="{00000000-0005-0000-0000-00003D6E0000}"/>
    <cellStyle name="Normal 360 3 3 3" xfId="28222" xr:uid="{00000000-0005-0000-0000-00003E6E0000}"/>
    <cellStyle name="Normal 360 3 4" xfId="28223" xr:uid="{00000000-0005-0000-0000-00003F6E0000}"/>
    <cellStyle name="Normal 360 3 4 2" xfId="28224" xr:uid="{00000000-0005-0000-0000-0000406E0000}"/>
    <cellStyle name="Normal 360 3 4 2 2" xfId="28225" xr:uid="{00000000-0005-0000-0000-0000416E0000}"/>
    <cellStyle name="Normal 360 3 4 3" xfId="28226" xr:uid="{00000000-0005-0000-0000-0000426E0000}"/>
    <cellStyle name="Normal 360 3 5" xfId="28227" xr:uid="{00000000-0005-0000-0000-0000436E0000}"/>
    <cellStyle name="Normal 360 3 5 2" xfId="28228" xr:uid="{00000000-0005-0000-0000-0000446E0000}"/>
    <cellStyle name="Normal 360 3 5 2 2" xfId="28229" xr:uid="{00000000-0005-0000-0000-0000456E0000}"/>
    <cellStyle name="Normal 360 3 5 3" xfId="28230" xr:uid="{00000000-0005-0000-0000-0000466E0000}"/>
    <cellStyle name="Normal 360 3 6" xfId="28231" xr:uid="{00000000-0005-0000-0000-0000476E0000}"/>
    <cellStyle name="Normal 360 4" xfId="28232" xr:uid="{00000000-0005-0000-0000-0000486E0000}"/>
    <cellStyle name="Normal 360 4 2" xfId="28233" xr:uid="{00000000-0005-0000-0000-0000496E0000}"/>
    <cellStyle name="Normal 360 4 2 2" xfId="28234" xr:uid="{00000000-0005-0000-0000-00004A6E0000}"/>
    <cellStyle name="Normal 360 4 3" xfId="28235" xr:uid="{00000000-0005-0000-0000-00004B6E0000}"/>
    <cellStyle name="Normal 360 5" xfId="28236" xr:uid="{00000000-0005-0000-0000-00004C6E0000}"/>
    <cellStyle name="Normal 360 5 2" xfId="28237" xr:uid="{00000000-0005-0000-0000-00004D6E0000}"/>
    <cellStyle name="Normal 360 5 2 2" xfId="28238" xr:uid="{00000000-0005-0000-0000-00004E6E0000}"/>
    <cellStyle name="Normal 360 5 3" xfId="28239" xr:uid="{00000000-0005-0000-0000-00004F6E0000}"/>
    <cellStyle name="Normal 360 6" xfId="28240" xr:uid="{00000000-0005-0000-0000-0000506E0000}"/>
    <cellStyle name="Normal 360 6 2" xfId="28241" xr:uid="{00000000-0005-0000-0000-0000516E0000}"/>
    <cellStyle name="Normal 360 6 2 2" xfId="28242" xr:uid="{00000000-0005-0000-0000-0000526E0000}"/>
    <cellStyle name="Normal 360 6 3" xfId="28243" xr:uid="{00000000-0005-0000-0000-0000536E0000}"/>
    <cellStyle name="Normal 360 7" xfId="28244" xr:uid="{00000000-0005-0000-0000-0000546E0000}"/>
    <cellStyle name="Normal 361" xfId="28245" xr:uid="{00000000-0005-0000-0000-0000556E0000}"/>
    <cellStyle name="Normal 361 2" xfId="28246" xr:uid="{00000000-0005-0000-0000-0000566E0000}"/>
    <cellStyle name="Normal 361 2 2" xfId="28247" xr:uid="{00000000-0005-0000-0000-0000576E0000}"/>
    <cellStyle name="Normal 361 2 2 2" xfId="28248" xr:uid="{00000000-0005-0000-0000-0000586E0000}"/>
    <cellStyle name="Normal 361 2 3" xfId="28249" xr:uid="{00000000-0005-0000-0000-0000596E0000}"/>
    <cellStyle name="Normal 361 2 3 2" xfId="28250" xr:uid="{00000000-0005-0000-0000-00005A6E0000}"/>
    <cellStyle name="Normal 361 2 3 2 2" xfId="28251" xr:uid="{00000000-0005-0000-0000-00005B6E0000}"/>
    <cellStyle name="Normal 361 2 3 3" xfId="28252" xr:uid="{00000000-0005-0000-0000-00005C6E0000}"/>
    <cellStyle name="Normal 361 2 4" xfId="28253" xr:uid="{00000000-0005-0000-0000-00005D6E0000}"/>
    <cellStyle name="Normal 361 2 4 2" xfId="28254" xr:uid="{00000000-0005-0000-0000-00005E6E0000}"/>
    <cellStyle name="Normal 361 2 4 2 2" xfId="28255" xr:uid="{00000000-0005-0000-0000-00005F6E0000}"/>
    <cellStyle name="Normal 361 2 4 3" xfId="28256" xr:uid="{00000000-0005-0000-0000-0000606E0000}"/>
    <cellStyle name="Normal 361 2 5" xfId="28257" xr:uid="{00000000-0005-0000-0000-0000616E0000}"/>
    <cellStyle name="Normal 361 3" xfId="28258" xr:uid="{00000000-0005-0000-0000-0000626E0000}"/>
    <cellStyle name="Normal 361 3 2" xfId="28259" xr:uid="{00000000-0005-0000-0000-0000636E0000}"/>
    <cellStyle name="Normal 361 3 2 2" xfId="28260" xr:uid="{00000000-0005-0000-0000-0000646E0000}"/>
    <cellStyle name="Normal 361 3 2 2 2" xfId="28261" xr:uid="{00000000-0005-0000-0000-0000656E0000}"/>
    <cellStyle name="Normal 361 3 2 3" xfId="28262" xr:uid="{00000000-0005-0000-0000-0000666E0000}"/>
    <cellStyle name="Normal 361 3 2 3 2" xfId="28263" xr:uid="{00000000-0005-0000-0000-0000676E0000}"/>
    <cellStyle name="Normal 361 3 2 3 2 2" xfId="28264" xr:uid="{00000000-0005-0000-0000-0000686E0000}"/>
    <cellStyle name="Normal 361 3 2 3 3" xfId="28265" xr:uid="{00000000-0005-0000-0000-0000696E0000}"/>
    <cellStyle name="Normal 361 3 2 4" xfId="28266" xr:uid="{00000000-0005-0000-0000-00006A6E0000}"/>
    <cellStyle name="Normal 361 3 3" xfId="28267" xr:uid="{00000000-0005-0000-0000-00006B6E0000}"/>
    <cellStyle name="Normal 361 3 3 2" xfId="28268" xr:uid="{00000000-0005-0000-0000-00006C6E0000}"/>
    <cellStyle name="Normal 361 3 3 2 2" xfId="28269" xr:uid="{00000000-0005-0000-0000-00006D6E0000}"/>
    <cellStyle name="Normal 361 3 3 3" xfId="28270" xr:uid="{00000000-0005-0000-0000-00006E6E0000}"/>
    <cellStyle name="Normal 361 3 4" xfId="28271" xr:uid="{00000000-0005-0000-0000-00006F6E0000}"/>
    <cellStyle name="Normal 361 3 4 2" xfId="28272" xr:uid="{00000000-0005-0000-0000-0000706E0000}"/>
    <cellStyle name="Normal 361 3 4 2 2" xfId="28273" xr:uid="{00000000-0005-0000-0000-0000716E0000}"/>
    <cellStyle name="Normal 361 3 4 3" xfId="28274" xr:uid="{00000000-0005-0000-0000-0000726E0000}"/>
    <cellStyle name="Normal 361 3 5" xfId="28275" xr:uid="{00000000-0005-0000-0000-0000736E0000}"/>
    <cellStyle name="Normal 361 3 5 2" xfId="28276" xr:uid="{00000000-0005-0000-0000-0000746E0000}"/>
    <cellStyle name="Normal 361 3 5 2 2" xfId="28277" xr:uid="{00000000-0005-0000-0000-0000756E0000}"/>
    <cellStyle name="Normal 361 3 5 3" xfId="28278" xr:uid="{00000000-0005-0000-0000-0000766E0000}"/>
    <cellStyle name="Normal 361 3 6" xfId="28279" xr:uid="{00000000-0005-0000-0000-0000776E0000}"/>
    <cellStyle name="Normal 361 4" xfId="28280" xr:uid="{00000000-0005-0000-0000-0000786E0000}"/>
    <cellStyle name="Normal 361 4 2" xfId="28281" xr:uid="{00000000-0005-0000-0000-0000796E0000}"/>
    <cellStyle name="Normal 361 4 2 2" xfId="28282" xr:uid="{00000000-0005-0000-0000-00007A6E0000}"/>
    <cellStyle name="Normal 361 4 3" xfId="28283" xr:uid="{00000000-0005-0000-0000-00007B6E0000}"/>
    <cellStyle name="Normal 361 5" xfId="28284" xr:uid="{00000000-0005-0000-0000-00007C6E0000}"/>
    <cellStyle name="Normal 361 5 2" xfId="28285" xr:uid="{00000000-0005-0000-0000-00007D6E0000}"/>
    <cellStyle name="Normal 361 5 2 2" xfId="28286" xr:uid="{00000000-0005-0000-0000-00007E6E0000}"/>
    <cellStyle name="Normal 361 5 3" xfId="28287" xr:uid="{00000000-0005-0000-0000-00007F6E0000}"/>
    <cellStyle name="Normal 361 6" xfId="28288" xr:uid="{00000000-0005-0000-0000-0000806E0000}"/>
    <cellStyle name="Normal 361 6 2" xfId="28289" xr:uid="{00000000-0005-0000-0000-0000816E0000}"/>
    <cellStyle name="Normal 361 6 2 2" xfId="28290" xr:uid="{00000000-0005-0000-0000-0000826E0000}"/>
    <cellStyle name="Normal 361 6 3" xfId="28291" xr:uid="{00000000-0005-0000-0000-0000836E0000}"/>
    <cellStyle name="Normal 361 7" xfId="28292" xr:uid="{00000000-0005-0000-0000-0000846E0000}"/>
    <cellStyle name="Normal 362" xfId="28293" xr:uid="{00000000-0005-0000-0000-0000856E0000}"/>
    <cellStyle name="Normal 362 2" xfId="28294" xr:uid="{00000000-0005-0000-0000-0000866E0000}"/>
    <cellStyle name="Normal 362 2 2" xfId="28295" xr:uid="{00000000-0005-0000-0000-0000876E0000}"/>
    <cellStyle name="Normal 362 2 2 2" xfId="28296" xr:uid="{00000000-0005-0000-0000-0000886E0000}"/>
    <cellStyle name="Normal 362 2 3" xfId="28297" xr:uid="{00000000-0005-0000-0000-0000896E0000}"/>
    <cellStyle name="Normal 362 2 3 2" xfId="28298" xr:uid="{00000000-0005-0000-0000-00008A6E0000}"/>
    <cellStyle name="Normal 362 2 3 2 2" xfId="28299" xr:uid="{00000000-0005-0000-0000-00008B6E0000}"/>
    <cellStyle name="Normal 362 2 3 3" xfId="28300" xr:uid="{00000000-0005-0000-0000-00008C6E0000}"/>
    <cellStyle name="Normal 362 2 4" xfId="28301" xr:uid="{00000000-0005-0000-0000-00008D6E0000}"/>
    <cellStyle name="Normal 362 2 4 2" xfId="28302" xr:uid="{00000000-0005-0000-0000-00008E6E0000}"/>
    <cellStyle name="Normal 362 2 4 2 2" xfId="28303" xr:uid="{00000000-0005-0000-0000-00008F6E0000}"/>
    <cellStyle name="Normal 362 2 4 3" xfId="28304" xr:uid="{00000000-0005-0000-0000-0000906E0000}"/>
    <cellStyle name="Normal 362 2 5" xfId="28305" xr:uid="{00000000-0005-0000-0000-0000916E0000}"/>
    <cellStyle name="Normal 362 3" xfId="28306" xr:uid="{00000000-0005-0000-0000-0000926E0000}"/>
    <cellStyle name="Normal 362 3 2" xfId="28307" xr:uid="{00000000-0005-0000-0000-0000936E0000}"/>
    <cellStyle name="Normal 362 3 2 2" xfId="28308" xr:uid="{00000000-0005-0000-0000-0000946E0000}"/>
    <cellStyle name="Normal 362 3 2 2 2" xfId="28309" xr:uid="{00000000-0005-0000-0000-0000956E0000}"/>
    <cellStyle name="Normal 362 3 2 3" xfId="28310" xr:uid="{00000000-0005-0000-0000-0000966E0000}"/>
    <cellStyle name="Normal 362 3 2 3 2" xfId="28311" xr:uid="{00000000-0005-0000-0000-0000976E0000}"/>
    <cellStyle name="Normal 362 3 2 3 2 2" xfId="28312" xr:uid="{00000000-0005-0000-0000-0000986E0000}"/>
    <cellStyle name="Normal 362 3 2 3 3" xfId="28313" xr:uid="{00000000-0005-0000-0000-0000996E0000}"/>
    <cellStyle name="Normal 362 3 2 4" xfId="28314" xr:uid="{00000000-0005-0000-0000-00009A6E0000}"/>
    <cellStyle name="Normal 362 3 3" xfId="28315" xr:uid="{00000000-0005-0000-0000-00009B6E0000}"/>
    <cellStyle name="Normal 362 3 3 2" xfId="28316" xr:uid="{00000000-0005-0000-0000-00009C6E0000}"/>
    <cellStyle name="Normal 362 3 3 2 2" xfId="28317" xr:uid="{00000000-0005-0000-0000-00009D6E0000}"/>
    <cellStyle name="Normal 362 3 3 3" xfId="28318" xr:uid="{00000000-0005-0000-0000-00009E6E0000}"/>
    <cellStyle name="Normal 362 3 4" xfId="28319" xr:uid="{00000000-0005-0000-0000-00009F6E0000}"/>
    <cellStyle name="Normal 362 3 4 2" xfId="28320" xr:uid="{00000000-0005-0000-0000-0000A06E0000}"/>
    <cellStyle name="Normal 362 3 4 2 2" xfId="28321" xr:uid="{00000000-0005-0000-0000-0000A16E0000}"/>
    <cellStyle name="Normal 362 3 4 3" xfId="28322" xr:uid="{00000000-0005-0000-0000-0000A26E0000}"/>
    <cellStyle name="Normal 362 3 5" xfId="28323" xr:uid="{00000000-0005-0000-0000-0000A36E0000}"/>
    <cellStyle name="Normal 362 3 5 2" xfId="28324" xr:uid="{00000000-0005-0000-0000-0000A46E0000}"/>
    <cellStyle name="Normal 362 3 5 2 2" xfId="28325" xr:uid="{00000000-0005-0000-0000-0000A56E0000}"/>
    <cellStyle name="Normal 362 3 5 3" xfId="28326" xr:uid="{00000000-0005-0000-0000-0000A66E0000}"/>
    <cellStyle name="Normal 362 3 6" xfId="28327" xr:uid="{00000000-0005-0000-0000-0000A76E0000}"/>
    <cellStyle name="Normal 362 4" xfId="28328" xr:uid="{00000000-0005-0000-0000-0000A86E0000}"/>
    <cellStyle name="Normal 362 4 2" xfId="28329" xr:uid="{00000000-0005-0000-0000-0000A96E0000}"/>
    <cellStyle name="Normal 362 4 2 2" xfId="28330" xr:uid="{00000000-0005-0000-0000-0000AA6E0000}"/>
    <cellStyle name="Normal 362 4 3" xfId="28331" xr:uid="{00000000-0005-0000-0000-0000AB6E0000}"/>
    <cellStyle name="Normal 362 5" xfId="28332" xr:uid="{00000000-0005-0000-0000-0000AC6E0000}"/>
    <cellStyle name="Normal 362 5 2" xfId="28333" xr:uid="{00000000-0005-0000-0000-0000AD6E0000}"/>
    <cellStyle name="Normal 362 5 2 2" xfId="28334" xr:uid="{00000000-0005-0000-0000-0000AE6E0000}"/>
    <cellStyle name="Normal 362 5 3" xfId="28335" xr:uid="{00000000-0005-0000-0000-0000AF6E0000}"/>
    <cellStyle name="Normal 362 6" xfId="28336" xr:uid="{00000000-0005-0000-0000-0000B06E0000}"/>
    <cellStyle name="Normal 362 6 2" xfId="28337" xr:uid="{00000000-0005-0000-0000-0000B16E0000}"/>
    <cellStyle name="Normal 362 6 2 2" xfId="28338" xr:uid="{00000000-0005-0000-0000-0000B26E0000}"/>
    <cellStyle name="Normal 362 6 3" xfId="28339" xr:uid="{00000000-0005-0000-0000-0000B36E0000}"/>
    <cellStyle name="Normal 362 7" xfId="28340" xr:uid="{00000000-0005-0000-0000-0000B46E0000}"/>
    <cellStyle name="Normal 363" xfId="28341" xr:uid="{00000000-0005-0000-0000-0000B56E0000}"/>
    <cellStyle name="Normal 363 2" xfId="28342" xr:uid="{00000000-0005-0000-0000-0000B66E0000}"/>
    <cellStyle name="Normal 363 2 2" xfId="28343" xr:uid="{00000000-0005-0000-0000-0000B76E0000}"/>
    <cellStyle name="Normal 363 2 2 2" xfId="28344" xr:uid="{00000000-0005-0000-0000-0000B86E0000}"/>
    <cellStyle name="Normal 363 2 3" xfId="28345" xr:uid="{00000000-0005-0000-0000-0000B96E0000}"/>
    <cellStyle name="Normal 363 2 3 2" xfId="28346" xr:uid="{00000000-0005-0000-0000-0000BA6E0000}"/>
    <cellStyle name="Normal 363 2 3 2 2" xfId="28347" xr:uid="{00000000-0005-0000-0000-0000BB6E0000}"/>
    <cellStyle name="Normal 363 2 3 3" xfId="28348" xr:uid="{00000000-0005-0000-0000-0000BC6E0000}"/>
    <cellStyle name="Normal 363 2 4" xfId="28349" xr:uid="{00000000-0005-0000-0000-0000BD6E0000}"/>
    <cellStyle name="Normal 363 2 4 2" xfId="28350" xr:uid="{00000000-0005-0000-0000-0000BE6E0000}"/>
    <cellStyle name="Normal 363 2 4 2 2" xfId="28351" xr:uid="{00000000-0005-0000-0000-0000BF6E0000}"/>
    <cellStyle name="Normal 363 2 4 3" xfId="28352" xr:uid="{00000000-0005-0000-0000-0000C06E0000}"/>
    <cellStyle name="Normal 363 2 5" xfId="28353" xr:uid="{00000000-0005-0000-0000-0000C16E0000}"/>
    <cellStyle name="Normal 363 3" xfId="28354" xr:uid="{00000000-0005-0000-0000-0000C26E0000}"/>
    <cellStyle name="Normal 363 3 2" xfId="28355" xr:uid="{00000000-0005-0000-0000-0000C36E0000}"/>
    <cellStyle name="Normal 363 3 2 2" xfId="28356" xr:uid="{00000000-0005-0000-0000-0000C46E0000}"/>
    <cellStyle name="Normal 363 3 2 2 2" xfId="28357" xr:uid="{00000000-0005-0000-0000-0000C56E0000}"/>
    <cellStyle name="Normal 363 3 2 3" xfId="28358" xr:uid="{00000000-0005-0000-0000-0000C66E0000}"/>
    <cellStyle name="Normal 363 3 2 3 2" xfId="28359" xr:uid="{00000000-0005-0000-0000-0000C76E0000}"/>
    <cellStyle name="Normal 363 3 2 3 2 2" xfId="28360" xr:uid="{00000000-0005-0000-0000-0000C86E0000}"/>
    <cellStyle name="Normal 363 3 2 3 3" xfId="28361" xr:uid="{00000000-0005-0000-0000-0000C96E0000}"/>
    <cellStyle name="Normal 363 3 2 4" xfId="28362" xr:uid="{00000000-0005-0000-0000-0000CA6E0000}"/>
    <cellStyle name="Normal 363 3 3" xfId="28363" xr:uid="{00000000-0005-0000-0000-0000CB6E0000}"/>
    <cellStyle name="Normal 363 3 3 2" xfId="28364" xr:uid="{00000000-0005-0000-0000-0000CC6E0000}"/>
    <cellStyle name="Normal 363 3 3 2 2" xfId="28365" xr:uid="{00000000-0005-0000-0000-0000CD6E0000}"/>
    <cellStyle name="Normal 363 3 3 3" xfId="28366" xr:uid="{00000000-0005-0000-0000-0000CE6E0000}"/>
    <cellStyle name="Normal 363 3 4" xfId="28367" xr:uid="{00000000-0005-0000-0000-0000CF6E0000}"/>
    <cellStyle name="Normal 363 3 4 2" xfId="28368" xr:uid="{00000000-0005-0000-0000-0000D06E0000}"/>
    <cellStyle name="Normal 363 3 4 2 2" xfId="28369" xr:uid="{00000000-0005-0000-0000-0000D16E0000}"/>
    <cellStyle name="Normal 363 3 4 3" xfId="28370" xr:uid="{00000000-0005-0000-0000-0000D26E0000}"/>
    <cellStyle name="Normal 363 3 5" xfId="28371" xr:uid="{00000000-0005-0000-0000-0000D36E0000}"/>
    <cellStyle name="Normal 363 3 5 2" xfId="28372" xr:uid="{00000000-0005-0000-0000-0000D46E0000}"/>
    <cellStyle name="Normal 363 3 5 2 2" xfId="28373" xr:uid="{00000000-0005-0000-0000-0000D56E0000}"/>
    <cellStyle name="Normal 363 3 5 3" xfId="28374" xr:uid="{00000000-0005-0000-0000-0000D66E0000}"/>
    <cellStyle name="Normal 363 3 6" xfId="28375" xr:uid="{00000000-0005-0000-0000-0000D76E0000}"/>
    <cellStyle name="Normal 363 4" xfId="28376" xr:uid="{00000000-0005-0000-0000-0000D86E0000}"/>
    <cellStyle name="Normal 363 4 2" xfId="28377" xr:uid="{00000000-0005-0000-0000-0000D96E0000}"/>
    <cellStyle name="Normal 363 4 2 2" xfId="28378" xr:uid="{00000000-0005-0000-0000-0000DA6E0000}"/>
    <cellStyle name="Normal 363 4 3" xfId="28379" xr:uid="{00000000-0005-0000-0000-0000DB6E0000}"/>
    <cellStyle name="Normal 363 5" xfId="28380" xr:uid="{00000000-0005-0000-0000-0000DC6E0000}"/>
    <cellStyle name="Normal 363 5 2" xfId="28381" xr:uid="{00000000-0005-0000-0000-0000DD6E0000}"/>
    <cellStyle name="Normal 363 5 2 2" xfId="28382" xr:uid="{00000000-0005-0000-0000-0000DE6E0000}"/>
    <cellStyle name="Normal 363 5 3" xfId="28383" xr:uid="{00000000-0005-0000-0000-0000DF6E0000}"/>
    <cellStyle name="Normal 363 6" xfId="28384" xr:uid="{00000000-0005-0000-0000-0000E06E0000}"/>
    <cellStyle name="Normal 363 6 2" xfId="28385" xr:uid="{00000000-0005-0000-0000-0000E16E0000}"/>
    <cellStyle name="Normal 363 6 2 2" xfId="28386" xr:uid="{00000000-0005-0000-0000-0000E26E0000}"/>
    <cellStyle name="Normal 363 6 3" xfId="28387" xr:uid="{00000000-0005-0000-0000-0000E36E0000}"/>
    <cellStyle name="Normal 363 7" xfId="28388" xr:uid="{00000000-0005-0000-0000-0000E46E0000}"/>
    <cellStyle name="Normal 364" xfId="28389" xr:uid="{00000000-0005-0000-0000-0000E56E0000}"/>
    <cellStyle name="Normal 364 2" xfId="28390" xr:uid="{00000000-0005-0000-0000-0000E66E0000}"/>
    <cellStyle name="Normal 364 2 2" xfId="28391" xr:uid="{00000000-0005-0000-0000-0000E76E0000}"/>
    <cellStyle name="Normal 364 2 2 2" xfId="28392" xr:uid="{00000000-0005-0000-0000-0000E86E0000}"/>
    <cellStyle name="Normal 364 2 3" xfId="28393" xr:uid="{00000000-0005-0000-0000-0000E96E0000}"/>
    <cellStyle name="Normal 364 2 3 2" xfId="28394" xr:uid="{00000000-0005-0000-0000-0000EA6E0000}"/>
    <cellStyle name="Normal 364 2 3 2 2" xfId="28395" xr:uid="{00000000-0005-0000-0000-0000EB6E0000}"/>
    <cellStyle name="Normal 364 2 3 3" xfId="28396" xr:uid="{00000000-0005-0000-0000-0000EC6E0000}"/>
    <cellStyle name="Normal 364 2 4" xfId="28397" xr:uid="{00000000-0005-0000-0000-0000ED6E0000}"/>
    <cellStyle name="Normal 364 2 4 2" xfId="28398" xr:uid="{00000000-0005-0000-0000-0000EE6E0000}"/>
    <cellStyle name="Normal 364 2 4 2 2" xfId="28399" xr:uid="{00000000-0005-0000-0000-0000EF6E0000}"/>
    <cellStyle name="Normal 364 2 4 3" xfId="28400" xr:uid="{00000000-0005-0000-0000-0000F06E0000}"/>
    <cellStyle name="Normal 364 2 5" xfId="28401" xr:uid="{00000000-0005-0000-0000-0000F16E0000}"/>
    <cellStyle name="Normal 364 3" xfId="28402" xr:uid="{00000000-0005-0000-0000-0000F26E0000}"/>
    <cellStyle name="Normal 364 3 2" xfId="28403" xr:uid="{00000000-0005-0000-0000-0000F36E0000}"/>
    <cellStyle name="Normal 364 3 2 2" xfId="28404" xr:uid="{00000000-0005-0000-0000-0000F46E0000}"/>
    <cellStyle name="Normal 364 3 2 2 2" xfId="28405" xr:uid="{00000000-0005-0000-0000-0000F56E0000}"/>
    <cellStyle name="Normal 364 3 2 3" xfId="28406" xr:uid="{00000000-0005-0000-0000-0000F66E0000}"/>
    <cellStyle name="Normal 364 3 2 3 2" xfId="28407" xr:uid="{00000000-0005-0000-0000-0000F76E0000}"/>
    <cellStyle name="Normal 364 3 2 3 2 2" xfId="28408" xr:uid="{00000000-0005-0000-0000-0000F86E0000}"/>
    <cellStyle name="Normal 364 3 2 3 3" xfId="28409" xr:uid="{00000000-0005-0000-0000-0000F96E0000}"/>
    <cellStyle name="Normal 364 3 2 4" xfId="28410" xr:uid="{00000000-0005-0000-0000-0000FA6E0000}"/>
    <cellStyle name="Normal 364 3 3" xfId="28411" xr:uid="{00000000-0005-0000-0000-0000FB6E0000}"/>
    <cellStyle name="Normal 364 3 3 2" xfId="28412" xr:uid="{00000000-0005-0000-0000-0000FC6E0000}"/>
    <cellStyle name="Normal 364 3 3 2 2" xfId="28413" xr:uid="{00000000-0005-0000-0000-0000FD6E0000}"/>
    <cellStyle name="Normal 364 3 3 3" xfId="28414" xr:uid="{00000000-0005-0000-0000-0000FE6E0000}"/>
    <cellStyle name="Normal 364 3 4" xfId="28415" xr:uid="{00000000-0005-0000-0000-0000FF6E0000}"/>
    <cellStyle name="Normal 364 3 4 2" xfId="28416" xr:uid="{00000000-0005-0000-0000-0000006F0000}"/>
    <cellStyle name="Normal 364 3 4 2 2" xfId="28417" xr:uid="{00000000-0005-0000-0000-0000016F0000}"/>
    <cellStyle name="Normal 364 3 4 3" xfId="28418" xr:uid="{00000000-0005-0000-0000-0000026F0000}"/>
    <cellStyle name="Normal 364 3 5" xfId="28419" xr:uid="{00000000-0005-0000-0000-0000036F0000}"/>
    <cellStyle name="Normal 364 3 5 2" xfId="28420" xr:uid="{00000000-0005-0000-0000-0000046F0000}"/>
    <cellStyle name="Normal 364 3 5 2 2" xfId="28421" xr:uid="{00000000-0005-0000-0000-0000056F0000}"/>
    <cellStyle name="Normal 364 3 5 3" xfId="28422" xr:uid="{00000000-0005-0000-0000-0000066F0000}"/>
    <cellStyle name="Normal 364 3 6" xfId="28423" xr:uid="{00000000-0005-0000-0000-0000076F0000}"/>
    <cellStyle name="Normal 364 4" xfId="28424" xr:uid="{00000000-0005-0000-0000-0000086F0000}"/>
    <cellStyle name="Normal 364 4 2" xfId="28425" xr:uid="{00000000-0005-0000-0000-0000096F0000}"/>
    <cellStyle name="Normal 364 4 2 2" xfId="28426" xr:uid="{00000000-0005-0000-0000-00000A6F0000}"/>
    <cellStyle name="Normal 364 4 3" xfId="28427" xr:uid="{00000000-0005-0000-0000-00000B6F0000}"/>
    <cellStyle name="Normal 364 5" xfId="28428" xr:uid="{00000000-0005-0000-0000-00000C6F0000}"/>
    <cellStyle name="Normal 364 5 2" xfId="28429" xr:uid="{00000000-0005-0000-0000-00000D6F0000}"/>
    <cellStyle name="Normal 364 5 2 2" xfId="28430" xr:uid="{00000000-0005-0000-0000-00000E6F0000}"/>
    <cellStyle name="Normal 364 5 3" xfId="28431" xr:uid="{00000000-0005-0000-0000-00000F6F0000}"/>
    <cellStyle name="Normal 364 6" xfId="28432" xr:uid="{00000000-0005-0000-0000-0000106F0000}"/>
    <cellStyle name="Normal 364 6 2" xfId="28433" xr:uid="{00000000-0005-0000-0000-0000116F0000}"/>
    <cellStyle name="Normal 364 6 2 2" xfId="28434" xr:uid="{00000000-0005-0000-0000-0000126F0000}"/>
    <cellStyle name="Normal 364 6 3" xfId="28435" xr:uid="{00000000-0005-0000-0000-0000136F0000}"/>
    <cellStyle name="Normal 364 7" xfId="28436" xr:uid="{00000000-0005-0000-0000-0000146F0000}"/>
    <cellStyle name="Normal 365" xfId="28437" xr:uid="{00000000-0005-0000-0000-0000156F0000}"/>
    <cellStyle name="Normal 365 2" xfId="28438" xr:uid="{00000000-0005-0000-0000-0000166F0000}"/>
    <cellStyle name="Normal 365 2 2" xfId="28439" xr:uid="{00000000-0005-0000-0000-0000176F0000}"/>
    <cellStyle name="Normal 365 2 2 2" xfId="28440" xr:uid="{00000000-0005-0000-0000-0000186F0000}"/>
    <cellStyle name="Normal 365 2 3" xfId="28441" xr:uid="{00000000-0005-0000-0000-0000196F0000}"/>
    <cellStyle name="Normal 365 2 3 2" xfId="28442" xr:uid="{00000000-0005-0000-0000-00001A6F0000}"/>
    <cellStyle name="Normal 365 2 3 2 2" xfId="28443" xr:uid="{00000000-0005-0000-0000-00001B6F0000}"/>
    <cellStyle name="Normal 365 2 3 3" xfId="28444" xr:uid="{00000000-0005-0000-0000-00001C6F0000}"/>
    <cellStyle name="Normal 365 2 4" xfId="28445" xr:uid="{00000000-0005-0000-0000-00001D6F0000}"/>
    <cellStyle name="Normal 365 2 4 2" xfId="28446" xr:uid="{00000000-0005-0000-0000-00001E6F0000}"/>
    <cellStyle name="Normal 365 2 4 2 2" xfId="28447" xr:uid="{00000000-0005-0000-0000-00001F6F0000}"/>
    <cellStyle name="Normal 365 2 4 3" xfId="28448" xr:uid="{00000000-0005-0000-0000-0000206F0000}"/>
    <cellStyle name="Normal 365 2 5" xfId="28449" xr:uid="{00000000-0005-0000-0000-0000216F0000}"/>
    <cellStyle name="Normal 365 3" xfId="28450" xr:uid="{00000000-0005-0000-0000-0000226F0000}"/>
    <cellStyle name="Normal 365 3 2" xfId="28451" xr:uid="{00000000-0005-0000-0000-0000236F0000}"/>
    <cellStyle name="Normal 365 3 2 2" xfId="28452" xr:uid="{00000000-0005-0000-0000-0000246F0000}"/>
    <cellStyle name="Normal 365 3 2 2 2" xfId="28453" xr:uid="{00000000-0005-0000-0000-0000256F0000}"/>
    <cellStyle name="Normal 365 3 2 3" xfId="28454" xr:uid="{00000000-0005-0000-0000-0000266F0000}"/>
    <cellStyle name="Normal 365 3 2 3 2" xfId="28455" xr:uid="{00000000-0005-0000-0000-0000276F0000}"/>
    <cellStyle name="Normal 365 3 2 3 2 2" xfId="28456" xr:uid="{00000000-0005-0000-0000-0000286F0000}"/>
    <cellStyle name="Normal 365 3 2 3 3" xfId="28457" xr:uid="{00000000-0005-0000-0000-0000296F0000}"/>
    <cellStyle name="Normal 365 3 2 4" xfId="28458" xr:uid="{00000000-0005-0000-0000-00002A6F0000}"/>
    <cellStyle name="Normal 365 3 3" xfId="28459" xr:uid="{00000000-0005-0000-0000-00002B6F0000}"/>
    <cellStyle name="Normal 365 3 3 2" xfId="28460" xr:uid="{00000000-0005-0000-0000-00002C6F0000}"/>
    <cellStyle name="Normal 365 3 3 2 2" xfId="28461" xr:uid="{00000000-0005-0000-0000-00002D6F0000}"/>
    <cellStyle name="Normal 365 3 3 3" xfId="28462" xr:uid="{00000000-0005-0000-0000-00002E6F0000}"/>
    <cellStyle name="Normal 365 3 4" xfId="28463" xr:uid="{00000000-0005-0000-0000-00002F6F0000}"/>
    <cellStyle name="Normal 365 3 4 2" xfId="28464" xr:uid="{00000000-0005-0000-0000-0000306F0000}"/>
    <cellStyle name="Normal 365 3 4 2 2" xfId="28465" xr:uid="{00000000-0005-0000-0000-0000316F0000}"/>
    <cellStyle name="Normal 365 3 4 3" xfId="28466" xr:uid="{00000000-0005-0000-0000-0000326F0000}"/>
    <cellStyle name="Normal 365 3 5" xfId="28467" xr:uid="{00000000-0005-0000-0000-0000336F0000}"/>
    <cellStyle name="Normal 365 3 5 2" xfId="28468" xr:uid="{00000000-0005-0000-0000-0000346F0000}"/>
    <cellStyle name="Normal 365 3 5 2 2" xfId="28469" xr:uid="{00000000-0005-0000-0000-0000356F0000}"/>
    <cellStyle name="Normal 365 3 5 3" xfId="28470" xr:uid="{00000000-0005-0000-0000-0000366F0000}"/>
    <cellStyle name="Normal 365 3 6" xfId="28471" xr:uid="{00000000-0005-0000-0000-0000376F0000}"/>
    <cellStyle name="Normal 365 4" xfId="28472" xr:uid="{00000000-0005-0000-0000-0000386F0000}"/>
    <cellStyle name="Normal 365 4 2" xfId="28473" xr:uid="{00000000-0005-0000-0000-0000396F0000}"/>
    <cellStyle name="Normal 365 4 2 2" xfId="28474" xr:uid="{00000000-0005-0000-0000-00003A6F0000}"/>
    <cellStyle name="Normal 365 4 3" xfId="28475" xr:uid="{00000000-0005-0000-0000-00003B6F0000}"/>
    <cellStyle name="Normal 365 5" xfId="28476" xr:uid="{00000000-0005-0000-0000-00003C6F0000}"/>
    <cellStyle name="Normal 365 5 2" xfId="28477" xr:uid="{00000000-0005-0000-0000-00003D6F0000}"/>
    <cellStyle name="Normal 365 5 2 2" xfId="28478" xr:uid="{00000000-0005-0000-0000-00003E6F0000}"/>
    <cellStyle name="Normal 365 5 3" xfId="28479" xr:uid="{00000000-0005-0000-0000-00003F6F0000}"/>
    <cellStyle name="Normal 365 6" xfId="28480" xr:uid="{00000000-0005-0000-0000-0000406F0000}"/>
    <cellStyle name="Normal 365 6 2" xfId="28481" xr:uid="{00000000-0005-0000-0000-0000416F0000}"/>
    <cellStyle name="Normal 365 6 2 2" xfId="28482" xr:uid="{00000000-0005-0000-0000-0000426F0000}"/>
    <cellStyle name="Normal 365 6 3" xfId="28483" xr:uid="{00000000-0005-0000-0000-0000436F0000}"/>
    <cellStyle name="Normal 365 7" xfId="28484" xr:uid="{00000000-0005-0000-0000-0000446F0000}"/>
    <cellStyle name="Normal 366" xfId="28485" xr:uid="{00000000-0005-0000-0000-0000456F0000}"/>
    <cellStyle name="Normal 366 2" xfId="28486" xr:uid="{00000000-0005-0000-0000-0000466F0000}"/>
    <cellStyle name="Normal 366 2 2" xfId="28487" xr:uid="{00000000-0005-0000-0000-0000476F0000}"/>
    <cellStyle name="Normal 366 2 2 2" xfId="28488" xr:uid="{00000000-0005-0000-0000-0000486F0000}"/>
    <cellStyle name="Normal 366 2 3" xfId="28489" xr:uid="{00000000-0005-0000-0000-0000496F0000}"/>
    <cellStyle name="Normal 366 2 3 2" xfId="28490" xr:uid="{00000000-0005-0000-0000-00004A6F0000}"/>
    <cellStyle name="Normal 366 2 3 2 2" xfId="28491" xr:uid="{00000000-0005-0000-0000-00004B6F0000}"/>
    <cellStyle name="Normal 366 2 3 3" xfId="28492" xr:uid="{00000000-0005-0000-0000-00004C6F0000}"/>
    <cellStyle name="Normal 366 2 4" xfId="28493" xr:uid="{00000000-0005-0000-0000-00004D6F0000}"/>
    <cellStyle name="Normal 366 2 4 2" xfId="28494" xr:uid="{00000000-0005-0000-0000-00004E6F0000}"/>
    <cellStyle name="Normal 366 2 4 2 2" xfId="28495" xr:uid="{00000000-0005-0000-0000-00004F6F0000}"/>
    <cellStyle name="Normal 366 2 4 3" xfId="28496" xr:uid="{00000000-0005-0000-0000-0000506F0000}"/>
    <cellStyle name="Normal 366 2 5" xfId="28497" xr:uid="{00000000-0005-0000-0000-0000516F0000}"/>
    <cellStyle name="Normal 366 3" xfId="28498" xr:uid="{00000000-0005-0000-0000-0000526F0000}"/>
    <cellStyle name="Normal 366 3 2" xfId="28499" xr:uid="{00000000-0005-0000-0000-0000536F0000}"/>
    <cellStyle name="Normal 366 3 2 2" xfId="28500" xr:uid="{00000000-0005-0000-0000-0000546F0000}"/>
    <cellStyle name="Normal 366 3 2 2 2" xfId="28501" xr:uid="{00000000-0005-0000-0000-0000556F0000}"/>
    <cellStyle name="Normal 366 3 2 3" xfId="28502" xr:uid="{00000000-0005-0000-0000-0000566F0000}"/>
    <cellStyle name="Normal 366 3 2 3 2" xfId="28503" xr:uid="{00000000-0005-0000-0000-0000576F0000}"/>
    <cellStyle name="Normal 366 3 2 3 2 2" xfId="28504" xr:uid="{00000000-0005-0000-0000-0000586F0000}"/>
    <cellStyle name="Normal 366 3 2 3 3" xfId="28505" xr:uid="{00000000-0005-0000-0000-0000596F0000}"/>
    <cellStyle name="Normal 366 3 2 4" xfId="28506" xr:uid="{00000000-0005-0000-0000-00005A6F0000}"/>
    <cellStyle name="Normal 366 3 3" xfId="28507" xr:uid="{00000000-0005-0000-0000-00005B6F0000}"/>
    <cellStyle name="Normal 366 3 3 2" xfId="28508" xr:uid="{00000000-0005-0000-0000-00005C6F0000}"/>
    <cellStyle name="Normal 366 3 3 2 2" xfId="28509" xr:uid="{00000000-0005-0000-0000-00005D6F0000}"/>
    <cellStyle name="Normal 366 3 3 3" xfId="28510" xr:uid="{00000000-0005-0000-0000-00005E6F0000}"/>
    <cellStyle name="Normal 366 3 4" xfId="28511" xr:uid="{00000000-0005-0000-0000-00005F6F0000}"/>
    <cellStyle name="Normal 366 3 4 2" xfId="28512" xr:uid="{00000000-0005-0000-0000-0000606F0000}"/>
    <cellStyle name="Normal 366 3 4 2 2" xfId="28513" xr:uid="{00000000-0005-0000-0000-0000616F0000}"/>
    <cellStyle name="Normal 366 3 4 3" xfId="28514" xr:uid="{00000000-0005-0000-0000-0000626F0000}"/>
    <cellStyle name="Normal 366 3 5" xfId="28515" xr:uid="{00000000-0005-0000-0000-0000636F0000}"/>
    <cellStyle name="Normal 366 3 5 2" xfId="28516" xr:uid="{00000000-0005-0000-0000-0000646F0000}"/>
    <cellStyle name="Normal 366 3 5 2 2" xfId="28517" xr:uid="{00000000-0005-0000-0000-0000656F0000}"/>
    <cellStyle name="Normal 366 3 5 3" xfId="28518" xr:uid="{00000000-0005-0000-0000-0000666F0000}"/>
    <cellStyle name="Normal 366 3 6" xfId="28519" xr:uid="{00000000-0005-0000-0000-0000676F0000}"/>
    <cellStyle name="Normal 366 4" xfId="28520" xr:uid="{00000000-0005-0000-0000-0000686F0000}"/>
    <cellStyle name="Normal 366 4 2" xfId="28521" xr:uid="{00000000-0005-0000-0000-0000696F0000}"/>
    <cellStyle name="Normal 366 4 2 2" xfId="28522" xr:uid="{00000000-0005-0000-0000-00006A6F0000}"/>
    <cellStyle name="Normal 366 4 3" xfId="28523" xr:uid="{00000000-0005-0000-0000-00006B6F0000}"/>
    <cellStyle name="Normal 366 5" xfId="28524" xr:uid="{00000000-0005-0000-0000-00006C6F0000}"/>
    <cellStyle name="Normal 366 5 2" xfId="28525" xr:uid="{00000000-0005-0000-0000-00006D6F0000}"/>
    <cellStyle name="Normal 366 5 2 2" xfId="28526" xr:uid="{00000000-0005-0000-0000-00006E6F0000}"/>
    <cellStyle name="Normal 366 5 3" xfId="28527" xr:uid="{00000000-0005-0000-0000-00006F6F0000}"/>
    <cellStyle name="Normal 366 6" xfId="28528" xr:uid="{00000000-0005-0000-0000-0000706F0000}"/>
    <cellStyle name="Normal 366 6 2" xfId="28529" xr:uid="{00000000-0005-0000-0000-0000716F0000}"/>
    <cellStyle name="Normal 366 6 2 2" xfId="28530" xr:uid="{00000000-0005-0000-0000-0000726F0000}"/>
    <cellStyle name="Normal 366 6 3" xfId="28531" xr:uid="{00000000-0005-0000-0000-0000736F0000}"/>
    <cellStyle name="Normal 366 7" xfId="28532" xr:uid="{00000000-0005-0000-0000-0000746F0000}"/>
    <cellStyle name="Normal 367" xfId="28533" xr:uid="{00000000-0005-0000-0000-0000756F0000}"/>
    <cellStyle name="Normal 367 2" xfId="28534" xr:uid="{00000000-0005-0000-0000-0000766F0000}"/>
    <cellStyle name="Normal 367 2 2" xfId="28535" xr:uid="{00000000-0005-0000-0000-0000776F0000}"/>
    <cellStyle name="Normal 367 2 2 2" xfId="28536" xr:uid="{00000000-0005-0000-0000-0000786F0000}"/>
    <cellStyle name="Normal 367 2 3" xfId="28537" xr:uid="{00000000-0005-0000-0000-0000796F0000}"/>
    <cellStyle name="Normal 367 2 3 2" xfId="28538" xr:uid="{00000000-0005-0000-0000-00007A6F0000}"/>
    <cellStyle name="Normal 367 2 3 2 2" xfId="28539" xr:uid="{00000000-0005-0000-0000-00007B6F0000}"/>
    <cellStyle name="Normal 367 2 3 3" xfId="28540" xr:uid="{00000000-0005-0000-0000-00007C6F0000}"/>
    <cellStyle name="Normal 367 2 4" xfId="28541" xr:uid="{00000000-0005-0000-0000-00007D6F0000}"/>
    <cellStyle name="Normal 367 2 4 2" xfId="28542" xr:uid="{00000000-0005-0000-0000-00007E6F0000}"/>
    <cellStyle name="Normal 367 2 4 2 2" xfId="28543" xr:uid="{00000000-0005-0000-0000-00007F6F0000}"/>
    <cellStyle name="Normal 367 2 4 3" xfId="28544" xr:uid="{00000000-0005-0000-0000-0000806F0000}"/>
    <cellStyle name="Normal 367 2 5" xfId="28545" xr:uid="{00000000-0005-0000-0000-0000816F0000}"/>
    <cellStyle name="Normal 367 3" xfId="28546" xr:uid="{00000000-0005-0000-0000-0000826F0000}"/>
    <cellStyle name="Normal 367 3 2" xfId="28547" xr:uid="{00000000-0005-0000-0000-0000836F0000}"/>
    <cellStyle name="Normal 367 3 2 2" xfId="28548" xr:uid="{00000000-0005-0000-0000-0000846F0000}"/>
    <cellStyle name="Normal 367 3 2 2 2" xfId="28549" xr:uid="{00000000-0005-0000-0000-0000856F0000}"/>
    <cellStyle name="Normal 367 3 2 3" xfId="28550" xr:uid="{00000000-0005-0000-0000-0000866F0000}"/>
    <cellStyle name="Normal 367 3 2 3 2" xfId="28551" xr:uid="{00000000-0005-0000-0000-0000876F0000}"/>
    <cellStyle name="Normal 367 3 2 3 2 2" xfId="28552" xr:uid="{00000000-0005-0000-0000-0000886F0000}"/>
    <cellStyle name="Normal 367 3 2 3 3" xfId="28553" xr:uid="{00000000-0005-0000-0000-0000896F0000}"/>
    <cellStyle name="Normal 367 3 2 4" xfId="28554" xr:uid="{00000000-0005-0000-0000-00008A6F0000}"/>
    <cellStyle name="Normal 367 3 3" xfId="28555" xr:uid="{00000000-0005-0000-0000-00008B6F0000}"/>
    <cellStyle name="Normal 367 3 3 2" xfId="28556" xr:uid="{00000000-0005-0000-0000-00008C6F0000}"/>
    <cellStyle name="Normal 367 3 3 2 2" xfId="28557" xr:uid="{00000000-0005-0000-0000-00008D6F0000}"/>
    <cellStyle name="Normal 367 3 3 3" xfId="28558" xr:uid="{00000000-0005-0000-0000-00008E6F0000}"/>
    <cellStyle name="Normal 367 3 4" xfId="28559" xr:uid="{00000000-0005-0000-0000-00008F6F0000}"/>
    <cellStyle name="Normal 367 3 4 2" xfId="28560" xr:uid="{00000000-0005-0000-0000-0000906F0000}"/>
    <cellStyle name="Normal 367 3 4 2 2" xfId="28561" xr:uid="{00000000-0005-0000-0000-0000916F0000}"/>
    <cellStyle name="Normal 367 3 4 3" xfId="28562" xr:uid="{00000000-0005-0000-0000-0000926F0000}"/>
    <cellStyle name="Normal 367 3 5" xfId="28563" xr:uid="{00000000-0005-0000-0000-0000936F0000}"/>
    <cellStyle name="Normal 367 3 5 2" xfId="28564" xr:uid="{00000000-0005-0000-0000-0000946F0000}"/>
    <cellStyle name="Normal 367 3 5 2 2" xfId="28565" xr:uid="{00000000-0005-0000-0000-0000956F0000}"/>
    <cellStyle name="Normal 367 3 5 3" xfId="28566" xr:uid="{00000000-0005-0000-0000-0000966F0000}"/>
    <cellStyle name="Normal 367 3 6" xfId="28567" xr:uid="{00000000-0005-0000-0000-0000976F0000}"/>
    <cellStyle name="Normal 367 4" xfId="28568" xr:uid="{00000000-0005-0000-0000-0000986F0000}"/>
    <cellStyle name="Normal 367 4 2" xfId="28569" xr:uid="{00000000-0005-0000-0000-0000996F0000}"/>
    <cellStyle name="Normal 367 4 2 2" xfId="28570" xr:uid="{00000000-0005-0000-0000-00009A6F0000}"/>
    <cellStyle name="Normal 367 4 3" xfId="28571" xr:uid="{00000000-0005-0000-0000-00009B6F0000}"/>
    <cellStyle name="Normal 367 5" xfId="28572" xr:uid="{00000000-0005-0000-0000-00009C6F0000}"/>
    <cellStyle name="Normal 367 5 2" xfId="28573" xr:uid="{00000000-0005-0000-0000-00009D6F0000}"/>
    <cellStyle name="Normal 367 5 2 2" xfId="28574" xr:uid="{00000000-0005-0000-0000-00009E6F0000}"/>
    <cellStyle name="Normal 367 5 3" xfId="28575" xr:uid="{00000000-0005-0000-0000-00009F6F0000}"/>
    <cellStyle name="Normal 367 6" xfId="28576" xr:uid="{00000000-0005-0000-0000-0000A06F0000}"/>
    <cellStyle name="Normal 367 6 2" xfId="28577" xr:uid="{00000000-0005-0000-0000-0000A16F0000}"/>
    <cellStyle name="Normal 367 6 2 2" xfId="28578" xr:uid="{00000000-0005-0000-0000-0000A26F0000}"/>
    <cellStyle name="Normal 367 6 3" xfId="28579" xr:uid="{00000000-0005-0000-0000-0000A36F0000}"/>
    <cellStyle name="Normal 367 7" xfId="28580" xr:uid="{00000000-0005-0000-0000-0000A46F0000}"/>
    <cellStyle name="Normal 368" xfId="28581" xr:uid="{00000000-0005-0000-0000-0000A56F0000}"/>
    <cellStyle name="Normal 368 2" xfId="28582" xr:uid="{00000000-0005-0000-0000-0000A66F0000}"/>
    <cellStyle name="Normal 368 2 2" xfId="28583" xr:uid="{00000000-0005-0000-0000-0000A76F0000}"/>
    <cellStyle name="Normal 368 2 2 2" xfId="28584" xr:uid="{00000000-0005-0000-0000-0000A86F0000}"/>
    <cellStyle name="Normal 368 2 3" xfId="28585" xr:uid="{00000000-0005-0000-0000-0000A96F0000}"/>
    <cellStyle name="Normal 368 2 3 2" xfId="28586" xr:uid="{00000000-0005-0000-0000-0000AA6F0000}"/>
    <cellStyle name="Normal 368 2 3 2 2" xfId="28587" xr:uid="{00000000-0005-0000-0000-0000AB6F0000}"/>
    <cellStyle name="Normal 368 2 3 3" xfId="28588" xr:uid="{00000000-0005-0000-0000-0000AC6F0000}"/>
    <cellStyle name="Normal 368 2 4" xfId="28589" xr:uid="{00000000-0005-0000-0000-0000AD6F0000}"/>
    <cellStyle name="Normal 368 2 4 2" xfId="28590" xr:uid="{00000000-0005-0000-0000-0000AE6F0000}"/>
    <cellStyle name="Normal 368 2 4 2 2" xfId="28591" xr:uid="{00000000-0005-0000-0000-0000AF6F0000}"/>
    <cellStyle name="Normal 368 2 4 3" xfId="28592" xr:uid="{00000000-0005-0000-0000-0000B06F0000}"/>
    <cellStyle name="Normal 368 2 5" xfId="28593" xr:uid="{00000000-0005-0000-0000-0000B16F0000}"/>
    <cellStyle name="Normal 368 3" xfId="28594" xr:uid="{00000000-0005-0000-0000-0000B26F0000}"/>
    <cellStyle name="Normal 368 3 2" xfId="28595" xr:uid="{00000000-0005-0000-0000-0000B36F0000}"/>
    <cellStyle name="Normal 368 3 2 2" xfId="28596" xr:uid="{00000000-0005-0000-0000-0000B46F0000}"/>
    <cellStyle name="Normal 368 3 2 2 2" xfId="28597" xr:uid="{00000000-0005-0000-0000-0000B56F0000}"/>
    <cellStyle name="Normal 368 3 2 3" xfId="28598" xr:uid="{00000000-0005-0000-0000-0000B66F0000}"/>
    <cellStyle name="Normal 368 3 2 3 2" xfId="28599" xr:uid="{00000000-0005-0000-0000-0000B76F0000}"/>
    <cellStyle name="Normal 368 3 2 3 2 2" xfId="28600" xr:uid="{00000000-0005-0000-0000-0000B86F0000}"/>
    <cellStyle name="Normal 368 3 2 3 3" xfId="28601" xr:uid="{00000000-0005-0000-0000-0000B96F0000}"/>
    <cellStyle name="Normal 368 3 2 4" xfId="28602" xr:uid="{00000000-0005-0000-0000-0000BA6F0000}"/>
    <cellStyle name="Normal 368 3 3" xfId="28603" xr:uid="{00000000-0005-0000-0000-0000BB6F0000}"/>
    <cellStyle name="Normal 368 3 3 2" xfId="28604" xr:uid="{00000000-0005-0000-0000-0000BC6F0000}"/>
    <cellStyle name="Normal 368 3 3 2 2" xfId="28605" xr:uid="{00000000-0005-0000-0000-0000BD6F0000}"/>
    <cellStyle name="Normal 368 3 3 3" xfId="28606" xr:uid="{00000000-0005-0000-0000-0000BE6F0000}"/>
    <cellStyle name="Normal 368 3 4" xfId="28607" xr:uid="{00000000-0005-0000-0000-0000BF6F0000}"/>
    <cellStyle name="Normal 368 3 4 2" xfId="28608" xr:uid="{00000000-0005-0000-0000-0000C06F0000}"/>
    <cellStyle name="Normal 368 3 4 2 2" xfId="28609" xr:uid="{00000000-0005-0000-0000-0000C16F0000}"/>
    <cellStyle name="Normal 368 3 4 3" xfId="28610" xr:uid="{00000000-0005-0000-0000-0000C26F0000}"/>
    <cellStyle name="Normal 368 3 5" xfId="28611" xr:uid="{00000000-0005-0000-0000-0000C36F0000}"/>
    <cellStyle name="Normal 368 3 5 2" xfId="28612" xr:uid="{00000000-0005-0000-0000-0000C46F0000}"/>
    <cellStyle name="Normal 368 3 5 2 2" xfId="28613" xr:uid="{00000000-0005-0000-0000-0000C56F0000}"/>
    <cellStyle name="Normal 368 3 5 3" xfId="28614" xr:uid="{00000000-0005-0000-0000-0000C66F0000}"/>
    <cellStyle name="Normal 368 3 6" xfId="28615" xr:uid="{00000000-0005-0000-0000-0000C76F0000}"/>
    <cellStyle name="Normal 368 4" xfId="28616" xr:uid="{00000000-0005-0000-0000-0000C86F0000}"/>
    <cellStyle name="Normal 368 4 2" xfId="28617" xr:uid="{00000000-0005-0000-0000-0000C96F0000}"/>
    <cellStyle name="Normal 368 4 2 2" xfId="28618" xr:uid="{00000000-0005-0000-0000-0000CA6F0000}"/>
    <cellStyle name="Normal 368 4 3" xfId="28619" xr:uid="{00000000-0005-0000-0000-0000CB6F0000}"/>
    <cellStyle name="Normal 368 5" xfId="28620" xr:uid="{00000000-0005-0000-0000-0000CC6F0000}"/>
    <cellStyle name="Normal 368 5 2" xfId="28621" xr:uid="{00000000-0005-0000-0000-0000CD6F0000}"/>
    <cellStyle name="Normal 368 5 2 2" xfId="28622" xr:uid="{00000000-0005-0000-0000-0000CE6F0000}"/>
    <cellStyle name="Normal 368 5 3" xfId="28623" xr:uid="{00000000-0005-0000-0000-0000CF6F0000}"/>
    <cellStyle name="Normal 368 6" xfId="28624" xr:uid="{00000000-0005-0000-0000-0000D06F0000}"/>
    <cellStyle name="Normal 368 6 2" xfId="28625" xr:uid="{00000000-0005-0000-0000-0000D16F0000}"/>
    <cellStyle name="Normal 368 6 2 2" xfId="28626" xr:uid="{00000000-0005-0000-0000-0000D26F0000}"/>
    <cellStyle name="Normal 368 6 3" xfId="28627" xr:uid="{00000000-0005-0000-0000-0000D36F0000}"/>
    <cellStyle name="Normal 368 7" xfId="28628" xr:uid="{00000000-0005-0000-0000-0000D46F0000}"/>
    <cellStyle name="Normal 369" xfId="28629" xr:uid="{00000000-0005-0000-0000-0000D56F0000}"/>
    <cellStyle name="Normal 369 2" xfId="28630" xr:uid="{00000000-0005-0000-0000-0000D66F0000}"/>
    <cellStyle name="Normal 369 2 2" xfId="28631" xr:uid="{00000000-0005-0000-0000-0000D76F0000}"/>
    <cellStyle name="Normal 369 2 2 2" xfId="28632" xr:uid="{00000000-0005-0000-0000-0000D86F0000}"/>
    <cellStyle name="Normal 369 2 3" xfId="28633" xr:uid="{00000000-0005-0000-0000-0000D96F0000}"/>
    <cellStyle name="Normal 369 2 3 2" xfId="28634" xr:uid="{00000000-0005-0000-0000-0000DA6F0000}"/>
    <cellStyle name="Normal 369 2 3 2 2" xfId="28635" xr:uid="{00000000-0005-0000-0000-0000DB6F0000}"/>
    <cellStyle name="Normal 369 2 3 3" xfId="28636" xr:uid="{00000000-0005-0000-0000-0000DC6F0000}"/>
    <cellStyle name="Normal 369 2 4" xfId="28637" xr:uid="{00000000-0005-0000-0000-0000DD6F0000}"/>
    <cellStyle name="Normal 369 2 4 2" xfId="28638" xr:uid="{00000000-0005-0000-0000-0000DE6F0000}"/>
    <cellStyle name="Normal 369 2 4 2 2" xfId="28639" xr:uid="{00000000-0005-0000-0000-0000DF6F0000}"/>
    <cellStyle name="Normal 369 2 4 3" xfId="28640" xr:uid="{00000000-0005-0000-0000-0000E06F0000}"/>
    <cellStyle name="Normal 369 2 5" xfId="28641" xr:uid="{00000000-0005-0000-0000-0000E16F0000}"/>
    <cellStyle name="Normal 369 3" xfId="28642" xr:uid="{00000000-0005-0000-0000-0000E26F0000}"/>
    <cellStyle name="Normal 369 3 2" xfId="28643" xr:uid="{00000000-0005-0000-0000-0000E36F0000}"/>
    <cellStyle name="Normal 369 3 2 2" xfId="28644" xr:uid="{00000000-0005-0000-0000-0000E46F0000}"/>
    <cellStyle name="Normal 369 3 2 2 2" xfId="28645" xr:uid="{00000000-0005-0000-0000-0000E56F0000}"/>
    <cellStyle name="Normal 369 3 2 3" xfId="28646" xr:uid="{00000000-0005-0000-0000-0000E66F0000}"/>
    <cellStyle name="Normal 369 3 2 3 2" xfId="28647" xr:uid="{00000000-0005-0000-0000-0000E76F0000}"/>
    <cellStyle name="Normal 369 3 2 3 2 2" xfId="28648" xr:uid="{00000000-0005-0000-0000-0000E86F0000}"/>
    <cellStyle name="Normal 369 3 2 3 3" xfId="28649" xr:uid="{00000000-0005-0000-0000-0000E96F0000}"/>
    <cellStyle name="Normal 369 3 2 4" xfId="28650" xr:uid="{00000000-0005-0000-0000-0000EA6F0000}"/>
    <cellStyle name="Normal 369 3 3" xfId="28651" xr:uid="{00000000-0005-0000-0000-0000EB6F0000}"/>
    <cellStyle name="Normal 369 3 3 2" xfId="28652" xr:uid="{00000000-0005-0000-0000-0000EC6F0000}"/>
    <cellStyle name="Normal 369 3 3 2 2" xfId="28653" xr:uid="{00000000-0005-0000-0000-0000ED6F0000}"/>
    <cellStyle name="Normal 369 3 3 3" xfId="28654" xr:uid="{00000000-0005-0000-0000-0000EE6F0000}"/>
    <cellStyle name="Normal 369 3 4" xfId="28655" xr:uid="{00000000-0005-0000-0000-0000EF6F0000}"/>
    <cellStyle name="Normal 369 3 4 2" xfId="28656" xr:uid="{00000000-0005-0000-0000-0000F06F0000}"/>
    <cellStyle name="Normal 369 3 4 2 2" xfId="28657" xr:uid="{00000000-0005-0000-0000-0000F16F0000}"/>
    <cellStyle name="Normal 369 3 4 3" xfId="28658" xr:uid="{00000000-0005-0000-0000-0000F26F0000}"/>
    <cellStyle name="Normal 369 3 5" xfId="28659" xr:uid="{00000000-0005-0000-0000-0000F36F0000}"/>
    <cellStyle name="Normal 369 3 5 2" xfId="28660" xr:uid="{00000000-0005-0000-0000-0000F46F0000}"/>
    <cellStyle name="Normal 369 3 5 2 2" xfId="28661" xr:uid="{00000000-0005-0000-0000-0000F56F0000}"/>
    <cellStyle name="Normal 369 3 5 3" xfId="28662" xr:uid="{00000000-0005-0000-0000-0000F66F0000}"/>
    <cellStyle name="Normal 369 3 6" xfId="28663" xr:uid="{00000000-0005-0000-0000-0000F76F0000}"/>
    <cellStyle name="Normal 369 4" xfId="28664" xr:uid="{00000000-0005-0000-0000-0000F86F0000}"/>
    <cellStyle name="Normal 369 4 2" xfId="28665" xr:uid="{00000000-0005-0000-0000-0000F96F0000}"/>
    <cellStyle name="Normal 369 4 2 2" xfId="28666" xr:uid="{00000000-0005-0000-0000-0000FA6F0000}"/>
    <cellStyle name="Normal 369 4 3" xfId="28667" xr:uid="{00000000-0005-0000-0000-0000FB6F0000}"/>
    <cellStyle name="Normal 369 5" xfId="28668" xr:uid="{00000000-0005-0000-0000-0000FC6F0000}"/>
    <cellStyle name="Normal 369 5 2" xfId="28669" xr:uid="{00000000-0005-0000-0000-0000FD6F0000}"/>
    <cellStyle name="Normal 369 5 2 2" xfId="28670" xr:uid="{00000000-0005-0000-0000-0000FE6F0000}"/>
    <cellStyle name="Normal 369 5 3" xfId="28671" xr:uid="{00000000-0005-0000-0000-0000FF6F0000}"/>
    <cellStyle name="Normal 369 6" xfId="28672" xr:uid="{00000000-0005-0000-0000-000000700000}"/>
    <cellStyle name="Normal 369 6 2" xfId="28673" xr:uid="{00000000-0005-0000-0000-000001700000}"/>
    <cellStyle name="Normal 369 6 2 2" xfId="28674" xr:uid="{00000000-0005-0000-0000-000002700000}"/>
    <cellStyle name="Normal 369 6 3" xfId="28675" xr:uid="{00000000-0005-0000-0000-000003700000}"/>
    <cellStyle name="Normal 369 7" xfId="28676" xr:uid="{00000000-0005-0000-0000-000004700000}"/>
    <cellStyle name="Normal 37" xfId="28677" xr:uid="{00000000-0005-0000-0000-000005700000}"/>
    <cellStyle name="Normal 37 2" xfId="28678" xr:uid="{00000000-0005-0000-0000-000006700000}"/>
    <cellStyle name="Normal 37 2 2" xfId="28679" xr:uid="{00000000-0005-0000-0000-000007700000}"/>
    <cellStyle name="Normal 37 2 2 2" xfId="28680" xr:uid="{00000000-0005-0000-0000-000008700000}"/>
    <cellStyle name="Normal 37 2 2 2 2" xfId="28681" xr:uid="{00000000-0005-0000-0000-000009700000}"/>
    <cellStyle name="Normal 37 2 2 3" xfId="28682" xr:uid="{00000000-0005-0000-0000-00000A700000}"/>
    <cellStyle name="Normal 37 2 2 3 2" xfId="28683" xr:uid="{00000000-0005-0000-0000-00000B700000}"/>
    <cellStyle name="Normal 37 2 2 3 2 2" xfId="28684" xr:uid="{00000000-0005-0000-0000-00000C700000}"/>
    <cellStyle name="Normal 37 2 2 3 3" xfId="28685" xr:uid="{00000000-0005-0000-0000-00000D700000}"/>
    <cellStyle name="Normal 37 2 2 4" xfId="28686" xr:uid="{00000000-0005-0000-0000-00000E700000}"/>
    <cellStyle name="Normal 37 2 2 4 2" xfId="28687" xr:uid="{00000000-0005-0000-0000-00000F700000}"/>
    <cellStyle name="Normal 37 2 2 4 2 2" xfId="28688" xr:uid="{00000000-0005-0000-0000-000010700000}"/>
    <cellStyle name="Normal 37 2 2 4 3" xfId="28689" xr:uid="{00000000-0005-0000-0000-000011700000}"/>
    <cellStyle name="Normal 37 2 2 5" xfId="28690" xr:uid="{00000000-0005-0000-0000-000012700000}"/>
    <cellStyle name="Normal 37 2 3" xfId="28691" xr:uid="{00000000-0005-0000-0000-000013700000}"/>
    <cellStyle name="Normal 37 2 3 2" xfId="28692" xr:uid="{00000000-0005-0000-0000-000014700000}"/>
    <cellStyle name="Normal 37 2 3 2 2" xfId="28693" xr:uid="{00000000-0005-0000-0000-000015700000}"/>
    <cellStyle name="Normal 37 2 3 3" xfId="28694" xr:uid="{00000000-0005-0000-0000-000016700000}"/>
    <cellStyle name="Normal 37 2 4" xfId="28695" xr:uid="{00000000-0005-0000-0000-000017700000}"/>
    <cellStyle name="Normal 37 2 4 2" xfId="28696" xr:uid="{00000000-0005-0000-0000-000018700000}"/>
    <cellStyle name="Normal 37 2 4 2 2" xfId="28697" xr:uid="{00000000-0005-0000-0000-000019700000}"/>
    <cellStyle name="Normal 37 2 4 3" xfId="28698" xr:uid="{00000000-0005-0000-0000-00001A700000}"/>
    <cellStyle name="Normal 37 2 5" xfId="28699" xr:uid="{00000000-0005-0000-0000-00001B700000}"/>
    <cellStyle name="Normal 37 2 5 2" xfId="28700" xr:uid="{00000000-0005-0000-0000-00001C700000}"/>
    <cellStyle name="Normal 37 2 5 2 2" xfId="28701" xr:uid="{00000000-0005-0000-0000-00001D700000}"/>
    <cellStyle name="Normal 37 2 5 3" xfId="28702" xr:uid="{00000000-0005-0000-0000-00001E700000}"/>
    <cellStyle name="Normal 37 2 6" xfId="28703" xr:uid="{00000000-0005-0000-0000-00001F700000}"/>
    <cellStyle name="Normal 37 3" xfId="28704" xr:uid="{00000000-0005-0000-0000-000020700000}"/>
    <cellStyle name="Normal 37 3 2" xfId="28705" xr:uid="{00000000-0005-0000-0000-000021700000}"/>
    <cellStyle name="Normal 37 3 2 2" xfId="28706" xr:uid="{00000000-0005-0000-0000-000022700000}"/>
    <cellStyle name="Normal 37 3 3" xfId="28707" xr:uid="{00000000-0005-0000-0000-000023700000}"/>
    <cellStyle name="Normal 37 3 3 2" xfId="28708" xr:uid="{00000000-0005-0000-0000-000024700000}"/>
    <cellStyle name="Normal 37 3 3 2 2" xfId="28709" xr:uid="{00000000-0005-0000-0000-000025700000}"/>
    <cellStyle name="Normal 37 3 3 3" xfId="28710" xr:uid="{00000000-0005-0000-0000-000026700000}"/>
    <cellStyle name="Normal 37 3 4" xfId="28711" xr:uid="{00000000-0005-0000-0000-000027700000}"/>
    <cellStyle name="Normal 37 3 4 2" xfId="28712" xr:uid="{00000000-0005-0000-0000-000028700000}"/>
    <cellStyle name="Normal 37 3 4 2 2" xfId="28713" xr:uid="{00000000-0005-0000-0000-000029700000}"/>
    <cellStyle name="Normal 37 3 4 3" xfId="28714" xr:uid="{00000000-0005-0000-0000-00002A700000}"/>
    <cellStyle name="Normal 37 3 5" xfId="28715" xr:uid="{00000000-0005-0000-0000-00002B700000}"/>
    <cellStyle name="Normal 37 4" xfId="28716" xr:uid="{00000000-0005-0000-0000-00002C700000}"/>
    <cellStyle name="Normal 37 4 2" xfId="28717" xr:uid="{00000000-0005-0000-0000-00002D700000}"/>
    <cellStyle name="Normal 37 4 2 2" xfId="28718" xr:uid="{00000000-0005-0000-0000-00002E700000}"/>
    <cellStyle name="Normal 37 4 3" xfId="28719" xr:uid="{00000000-0005-0000-0000-00002F700000}"/>
    <cellStyle name="Normal 37 5" xfId="28720" xr:uid="{00000000-0005-0000-0000-000030700000}"/>
    <cellStyle name="Normal 37 5 2" xfId="28721" xr:uid="{00000000-0005-0000-0000-000031700000}"/>
    <cellStyle name="Normal 37 5 2 2" xfId="28722" xr:uid="{00000000-0005-0000-0000-000032700000}"/>
    <cellStyle name="Normal 37 5 3" xfId="28723" xr:uid="{00000000-0005-0000-0000-000033700000}"/>
    <cellStyle name="Normal 37 6" xfId="28724" xr:uid="{00000000-0005-0000-0000-000034700000}"/>
    <cellStyle name="Normal 37 6 2" xfId="28725" xr:uid="{00000000-0005-0000-0000-000035700000}"/>
    <cellStyle name="Normal 37 6 2 2" xfId="28726" xr:uid="{00000000-0005-0000-0000-000036700000}"/>
    <cellStyle name="Normal 37 6 3" xfId="28727" xr:uid="{00000000-0005-0000-0000-000037700000}"/>
    <cellStyle name="Normal 37 7" xfId="28728" xr:uid="{00000000-0005-0000-0000-000038700000}"/>
    <cellStyle name="Normal 370" xfId="28729" xr:uid="{00000000-0005-0000-0000-000039700000}"/>
    <cellStyle name="Normal 370 2" xfId="28730" xr:uid="{00000000-0005-0000-0000-00003A700000}"/>
    <cellStyle name="Normal 370 2 2" xfId="28731" xr:uid="{00000000-0005-0000-0000-00003B700000}"/>
    <cellStyle name="Normal 370 2 2 2" xfId="28732" xr:uid="{00000000-0005-0000-0000-00003C700000}"/>
    <cellStyle name="Normal 370 2 3" xfId="28733" xr:uid="{00000000-0005-0000-0000-00003D700000}"/>
    <cellStyle name="Normal 370 2 3 2" xfId="28734" xr:uid="{00000000-0005-0000-0000-00003E700000}"/>
    <cellStyle name="Normal 370 2 3 2 2" xfId="28735" xr:uid="{00000000-0005-0000-0000-00003F700000}"/>
    <cellStyle name="Normal 370 2 3 3" xfId="28736" xr:uid="{00000000-0005-0000-0000-000040700000}"/>
    <cellStyle name="Normal 370 2 4" xfId="28737" xr:uid="{00000000-0005-0000-0000-000041700000}"/>
    <cellStyle name="Normal 370 2 4 2" xfId="28738" xr:uid="{00000000-0005-0000-0000-000042700000}"/>
    <cellStyle name="Normal 370 2 4 2 2" xfId="28739" xr:uid="{00000000-0005-0000-0000-000043700000}"/>
    <cellStyle name="Normal 370 2 4 3" xfId="28740" xr:uid="{00000000-0005-0000-0000-000044700000}"/>
    <cellStyle name="Normal 370 2 5" xfId="28741" xr:uid="{00000000-0005-0000-0000-000045700000}"/>
    <cellStyle name="Normal 370 3" xfId="28742" xr:uid="{00000000-0005-0000-0000-000046700000}"/>
    <cellStyle name="Normal 370 3 2" xfId="28743" xr:uid="{00000000-0005-0000-0000-000047700000}"/>
    <cellStyle name="Normal 370 3 2 2" xfId="28744" xr:uid="{00000000-0005-0000-0000-000048700000}"/>
    <cellStyle name="Normal 370 3 2 2 2" xfId="28745" xr:uid="{00000000-0005-0000-0000-000049700000}"/>
    <cellStyle name="Normal 370 3 2 3" xfId="28746" xr:uid="{00000000-0005-0000-0000-00004A700000}"/>
    <cellStyle name="Normal 370 3 2 3 2" xfId="28747" xr:uid="{00000000-0005-0000-0000-00004B700000}"/>
    <cellStyle name="Normal 370 3 2 3 2 2" xfId="28748" xr:uid="{00000000-0005-0000-0000-00004C700000}"/>
    <cellStyle name="Normal 370 3 2 3 3" xfId="28749" xr:uid="{00000000-0005-0000-0000-00004D700000}"/>
    <cellStyle name="Normal 370 3 2 4" xfId="28750" xr:uid="{00000000-0005-0000-0000-00004E700000}"/>
    <cellStyle name="Normal 370 3 3" xfId="28751" xr:uid="{00000000-0005-0000-0000-00004F700000}"/>
    <cellStyle name="Normal 370 3 3 2" xfId="28752" xr:uid="{00000000-0005-0000-0000-000050700000}"/>
    <cellStyle name="Normal 370 3 3 2 2" xfId="28753" xr:uid="{00000000-0005-0000-0000-000051700000}"/>
    <cellStyle name="Normal 370 3 3 3" xfId="28754" xr:uid="{00000000-0005-0000-0000-000052700000}"/>
    <cellStyle name="Normal 370 3 4" xfId="28755" xr:uid="{00000000-0005-0000-0000-000053700000}"/>
    <cellStyle name="Normal 370 3 4 2" xfId="28756" xr:uid="{00000000-0005-0000-0000-000054700000}"/>
    <cellStyle name="Normal 370 3 4 2 2" xfId="28757" xr:uid="{00000000-0005-0000-0000-000055700000}"/>
    <cellStyle name="Normal 370 3 4 3" xfId="28758" xr:uid="{00000000-0005-0000-0000-000056700000}"/>
    <cellStyle name="Normal 370 3 5" xfId="28759" xr:uid="{00000000-0005-0000-0000-000057700000}"/>
    <cellStyle name="Normal 370 3 5 2" xfId="28760" xr:uid="{00000000-0005-0000-0000-000058700000}"/>
    <cellStyle name="Normal 370 3 5 2 2" xfId="28761" xr:uid="{00000000-0005-0000-0000-000059700000}"/>
    <cellStyle name="Normal 370 3 5 3" xfId="28762" xr:uid="{00000000-0005-0000-0000-00005A700000}"/>
    <cellStyle name="Normal 370 3 6" xfId="28763" xr:uid="{00000000-0005-0000-0000-00005B700000}"/>
    <cellStyle name="Normal 370 4" xfId="28764" xr:uid="{00000000-0005-0000-0000-00005C700000}"/>
    <cellStyle name="Normal 370 4 2" xfId="28765" xr:uid="{00000000-0005-0000-0000-00005D700000}"/>
    <cellStyle name="Normal 370 4 2 2" xfId="28766" xr:uid="{00000000-0005-0000-0000-00005E700000}"/>
    <cellStyle name="Normal 370 4 3" xfId="28767" xr:uid="{00000000-0005-0000-0000-00005F700000}"/>
    <cellStyle name="Normal 370 5" xfId="28768" xr:uid="{00000000-0005-0000-0000-000060700000}"/>
    <cellStyle name="Normal 370 5 2" xfId="28769" xr:uid="{00000000-0005-0000-0000-000061700000}"/>
    <cellStyle name="Normal 370 5 2 2" xfId="28770" xr:uid="{00000000-0005-0000-0000-000062700000}"/>
    <cellStyle name="Normal 370 5 3" xfId="28771" xr:uid="{00000000-0005-0000-0000-000063700000}"/>
    <cellStyle name="Normal 370 6" xfId="28772" xr:uid="{00000000-0005-0000-0000-000064700000}"/>
    <cellStyle name="Normal 370 6 2" xfId="28773" xr:uid="{00000000-0005-0000-0000-000065700000}"/>
    <cellStyle name="Normal 370 6 2 2" xfId="28774" xr:uid="{00000000-0005-0000-0000-000066700000}"/>
    <cellStyle name="Normal 370 6 3" xfId="28775" xr:uid="{00000000-0005-0000-0000-000067700000}"/>
    <cellStyle name="Normal 370 7" xfId="28776" xr:uid="{00000000-0005-0000-0000-000068700000}"/>
    <cellStyle name="Normal 371" xfId="28777" xr:uid="{00000000-0005-0000-0000-000069700000}"/>
    <cellStyle name="Normal 371 2" xfId="28778" xr:uid="{00000000-0005-0000-0000-00006A700000}"/>
    <cellStyle name="Normal 371 2 2" xfId="28779" xr:uid="{00000000-0005-0000-0000-00006B700000}"/>
    <cellStyle name="Normal 371 2 2 2" xfId="28780" xr:uid="{00000000-0005-0000-0000-00006C700000}"/>
    <cellStyle name="Normal 371 2 3" xfId="28781" xr:uid="{00000000-0005-0000-0000-00006D700000}"/>
    <cellStyle name="Normal 371 2 3 2" xfId="28782" xr:uid="{00000000-0005-0000-0000-00006E700000}"/>
    <cellStyle name="Normal 371 2 3 2 2" xfId="28783" xr:uid="{00000000-0005-0000-0000-00006F700000}"/>
    <cellStyle name="Normal 371 2 3 3" xfId="28784" xr:uid="{00000000-0005-0000-0000-000070700000}"/>
    <cellStyle name="Normal 371 2 4" xfId="28785" xr:uid="{00000000-0005-0000-0000-000071700000}"/>
    <cellStyle name="Normal 371 2 4 2" xfId="28786" xr:uid="{00000000-0005-0000-0000-000072700000}"/>
    <cellStyle name="Normal 371 2 4 2 2" xfId="28787" xr:uid="{00000000-0005-0000-0000-000073700000}"/>
    <cellStyle name="Normal 371 2 4 3" xfId="28788" xr:uid="{00000000-0005-0000-0000-000074700000}"/>
    <cellStyle name="Normal 371 2 5" xfId="28789" xr:uid="{00000000-0005-0000-0000-000075700000}"/>
    <cellStyle name="Normal 371 3" xfId="28790" xr:uid="{00000000-0005-0000-0000-000076700000}"/>
    <cellStyle name="Normal 371 3 2" xfId="28791" xr:uid="{00000000-0005-0000-0000-000077700000}"/>
    <cellStyle name="Normal 371 3 2 2" xfId="28792" xr:uid="{00000000-0005-0000-0000-000078700000}"/>
    <cellStyle name="Normal 371 3 2 2 2" xfId="28793" xr:uid="{00000000-0005-0000-0000-000079700000}"/>
    <cellStyle name="Normal 371 3 2 3" xfId="28794" xr:uid="{00000000-0005-0000-0000-00007A700000}"/>
    <cellStyle name="Normal 371 3 2 3 2" xfId="28795" xr:uid="{00000000-0005-0000-0000-00007B700000}"/>
    <cellStyle name="Normal 371 3 2 3 2 2" xfId="28796" xr:uid="{00000000-0005-0000-0000-00007C700000}"/>
    <cellStyle name="Normal 371 3 2 3 3" xfId="28797" xr:uid="{00000000-0005-0000-0000-00007D700000}"/>
    <cellStyle name="Normal 371 3 2 4" xfId="28798" xr:uid="{00000000-0005-0000-0000-00007E700000}"/>
    <cellStyle name="Normal 371 3 3" xfId="28799" xr:uid="{00000000-0005-0000-0000-00007F700000}"/>
    <cellStyle name="Normal 371 3 3 2" xfId="28800" xr:uid="{00000000-0005-0000-0000-000080700000}"/>
    <cellStyle name="Normal 371 3 3 2 2" xfId="28801" xr:uid="{00000000-0005-0000-0000-000081700000}"/>
    <cellStyle name="Normal 371 3 3 3" xfId="28802" xr:uid="{00000000-0005-0000-0000-000082700000}"/>
    <cellStyle name="Normal 371 3 4" xfId="28803" xr:uid="{00000000-0005-0000-0000-000083700000}"/>
    <cellStyle name="Normal 371 3 4 2" xfId="28804" xr:uid="{00000000-0005-0000-0000-000084700000}"/>
    <cellStyle name="Normal 371 3 4 2 2" xfId="28805" xr:uid="{00000000-0005-0000-0000-000085700000}"/>
    <cellStyle name="Normal 371 3 4 3" xfId="28806" xr:uid="{00000000-0005-0000-0000-000086700000}"/>
    <cellStyle name="Normal 371 3 5" xfId="28807" xr:uid="{00000000-0005-0000-0000-000087700000}"/>
    <cellStyle name="Normal 371 3 5 2" xfId="28808" xr:uid="{00000000-0005-0000-0000-000088700000}"/>
    <cellStyle name="Normal 371 3 5 2 2" xfId="28809" xr:uid="{00000000-0005-0000-0000-000089700000}"/>
    <cellStyle name="Normal 371 3 5 3" xfId="28810" xr:uid="{00000000-0005-0000-0000-00008A700000}"/>
    <cellStyle name="Normal 371 3 6" xfId="28811" xr:uid="{00000000-0005-0000-0000-00008B700000}"/>
    <cellStyle name="Normal 371 4" xfId="28812" xr:uid="{00000000-0005-0000-0000-00008C700000}"/>
    <cellStyle name="Normal 371 4 2" xfId="28813" xr:uid="{00000000-0005-0000-0000-00008D700000}"/>
    <cellStyle name="Normal 371 4 2 2" xfId="28814" xr:uid="{00000000-0005-0000-0000-00008E700000}"/>
    <cellStyle name="Normal 371 4 3" xfId="28815" xr:uid="{00000000-0005-0000-0000-00008F700000}"/>
    <cellStyle name="Normal 371 5" xfId="28816" xr:uid="{00000000-0005-0000-0000-000090700000}"/>
    <cellStyle name="Normal 371 5 2" xfId="28817" xr:uid="{00000000-0005-0000-0000-000091700000}"/>
    <cellStyle name="Normal 371 5 2 2" xfId="28818" xr:uid="{00000000-0005-0000-0000-000092700000}"/>
    <cellStyle name="Normal 371 5 3" xfId="28819" xr:uid="{00000000-0005-0000-0000-000093700000}"/>
    <cellStyle name="Normal 371 6" xfId="28820" xr:uid="{00000000-0005-0000-0000-000094700000}"/>
    <cellStyle name="Normal 371 6 2" xfId="28821" xr:uid="{00000000-0005-0000-0000-000095700000}"/>
    <cellStyle name="Normal 371 6 2 2" xfId="28822" xr:uid="{00000000-0005-0000-0000-000096700000}"/>
    <cellStyle name="Normal 371 6 3" xfId="28823" xr:uid="{00000000-0005-0000-0000-000097700000}"/>
    <cellStyle name="Normal 371 7" xfId="28824" xr:uid="{00000000-0005-0000-0000-000098700000}"/>
    <cellStyle name="Normal 372" xfId="28825" xr:uid="{00000000-0005-0000-0000-000099700000}"/>
    <cellStyle name="Normal 372 2" xfId="28826" xr:uid="{00000000-0005-0000-0000-00009A700000}"/>
    <cellStyle name="Normal 372 2 2" xfId="28827" xr:uid="{00000000-0005-0000-0000-00009B700000}"/>
    <cellStyle name="Normal 372 2 2 2" xfId="28828" xr:uid="{00000000-0005-0000-0000-00009C700000}"/>
    <cellStyle name="Normal 372 2 3" xfId="28829" xr:uid="{00000000-0005-0000-0000-00009D700000}"/>
    <cellStyle name="Normal 372 2 3 2" xfId="28830" xr:uid="{00000000-0005-0000-0000-00009E700000}"/>
    <cellStyle name="Normal 372 2 3 2 2" xfId="28831" xr:uid="{00000000-0005-0000-0000-00009F700000}"/>
    <cellStyle name="Normal 372 2 3 3" xfId="28832" xr:uid="{00000000-0005-0000-0000-0000A0700000}"/>
    <cellStyle name="Normal 372 2 4" xfId="28833" xr:uid="{00000000-0005-0000-0000-0000A1700000}"/>
    <cellStyle name="Normal 372 2 4 2" xfId="28834" xr:uid="{00000000-0005-0000-0000-0000A2700000}"/>
    <cellStyle name="Normal 372 2 4 2 2" xfId="28835" xr:uid="{00000000-0005-0000-0000-0000A3700000}"/>
    <cellStyle name="Normal 372 2 4 3" xfId="28836" xr:uid="{00000000-0005-0000-0000-0000A4700000}"/>
    <cellStyle name="Normal 372 2 5" xfId="28837" xr:uid="{00000000-0005-0000-0000-0000A5700000}"/>
    <cellStyle name="Normal 372 3" xfId="28838" xr:uid="{00000000-0005-0000-0000-0000A6700000}"/>
    <cellStyle name="Normal 372 3 2" xfId="28839" xr:uid="{00000000-0005-0000-0000-0000A7700000}"/>
    <cellStyle name="Normal 372 3 2 2" xfId="28840" xr:uid="{00000000-0005-0000-0000-0000A8700000}"/>
    <cellStyle name="Normal 372 3 2 2 2" xfId="28841" xr:uid="{00000000-0005-0000-0000-0000A9700000}"/>
    <cellStyle name="Normal 372 3 2 3" xfId="28842" xr:uid="{00000000-0005-0000-0000-0000AA700000}"/>
    <cellStyle name="Normal 372 3 2 3 2" xfId="28843" xr:uid="{00000000-0005-0000-0000-0000AB700000}"/>
    <cellStyle name="Normal 372 3 2 3 2 2" xfId="28844" xr:uid="{00000000-0005-0000-0000-0000AC700000}"/>
    <cellStyle name="Normal 372 3 2 3 3" xfId="28845" xr:uid="{00000000-0005-0000-0000-0000AD700000}"/>
    <cellStyle name="Normal 372 3 2 4" xfId="28846" xr:uid="{00000000-0005-0000-0000-0000AE700000}"/>
    <cellStyle name="Normal 372 3 3" xfId="28847" xr:uid="{00000000-0005-0000-0000-0000AF700000}"/>
    <cellStyle name="Normal 372 3 3 2" xfId="28848" xr:uid="{00000000-0005-0000-0000-0000B0700000}"/>
    <cellStyle name="Normal 372 3 3 2 2" xfId="28849" xr:uid="{00000000-0005-0000-0000-0000B1700000}"/>
    <cellStyle name="Normal 372 3 3 3" xfId="28850" xr:uid="{00000000-0005-0000-0000-0000B2700000}"/>
    <cellStyle name="Normal 372 3 4" xfId="28851" xr:uid="{00000000-0005-0000-0000-0000B3700000}"/>
    <cellStyle name="Normal 372 3 4 2" xfId="28852" xr:uid="{00000000-0005-0000-0000-0000B4700000}"/>
    <cellStyle name="Normal 372 3 4 2 2" xfId="28853" xr:uid="{00000000-0005-0000-0000-0000B5700000}"/>
    <cellStyle name="Normal 372 3 4 3" xfId="28854" xr:uid="{00000000-0005-0000-0000-0000B6700000}"/>
    <cellStyle name="Normal 372 3 5" xfId="28855" xr:uid="{00000000-0005-0000-0000-0000B7700000}"/>
    <cellStyle name="Normal 372 3 5 2" xfId="28856" xr:uid="{00000000-0005-0000-0000-0000B8700000}"/>
    <cellStyle name="Normal 372 3 5 2 2" xfId="28857" xr:uid="{00000000-0005-0000-0000-0000B9700000}"/>
    <cellStyle name="Normal 372 3 5 3" xfId="28858" xr:uid="{00000000-0005-0000-0000-0000BA700000}"/>
    <cellStyle name="Normal 372 3 6" xfId="28859" xr:uid="{00000000-0005-0000-0000-0000BB700000}"/>
    <cellStyle name="Normal 372 4" xfId="28860" xr:uid="{00000000-0005-0000-0000-0000BC700000}"/>
    <cellStyle name="Normal 372 4 2" xfId="28861" xr:uid="{00000000-0005-0000-0000-0000BD700000}"/>
    <cellStyle name="Normal 372 4 2 2" xfId="28862" xr:uid="{00000000-0005-0000-0000-0000BE700000}"/>
    <cellStyle name="Normal 372 4 3" xfId="28863" xr:uid="{00000000-0005-0000-0000-0000BF700000}"/>
    <cellStyle name="Normal 372 5" xfId="28864" xr:uid="{00000000-0005-0000-0000-0000C0700000}"/>
    <cellStyle name="Normal 372 5 2" xfId="28865" xr:uid="{00000000-0005-0000-0000-0000C1700000}"/>
    <cellStyle name="Normal 372 5 2 2" xfId="28866" xr:uid="{00000000-0005-0000-0000-0000C2700000}"/>
    <cellStyle name="Normal 372 5 3" xfId="28867" xr:uid="{00000000-0005-0000-0000-0000C3700000}"/>
    <cellStyle name="Normal 372 6" xfId="28868" xr:uid="{00000000-0005-0000-0000-0000C4700000}"/>
    <cellStyle name="Normal 372 6 2" xfId="28869" xr:uid="{00000000-0005-0000-0000-0000C5700000}"/>
    <cellStyle name="Normal 372 6 2 2" xfId="28870" xr:uid="{00000000-0005-0000-0000-0000C6700000}"/>
    <cellStyle name="Normal 372 6 3" xfId="28871" xr:uid="{00000000-0005-0000-0000-0000C7700000}"/>
    <cellStyle name="Normal 372 7" xfId="28872" xr:uid="{00000000-0005-0000-0000-0000C8700000}"/>
    <cellStyle name="Normal 373" xfId="28873" xr:uid="{00000000-0005-0000-0000-0000C9700000}"/>
    <cellStyle name="Normal 373 2" xfId="28874" xr:uid="{00000000-0005-0000-0000-0000CA700000}"/>
    <cellStyle name="Normal 373 2 2" xfId="28875" xr:uid="{00000000-0005-0000-0000-0000CB700000}"/>
    <cellStyle name="Normal 373 2 2 2" xfId="28876" xr:uid="{00000000-0005-0000-0000-0000CC700000}"/>
    <cellStyle name="Normal 373 2 3" xfId="28877" xr:uid="{00000000-0005-0000-0000-0000CD700000}"/>
    <cellStyle name="Normal 373 2 3 2" xfId="28878" xr:uid="{00000000-0005-0000-0000-0000CE700000}"/>
    <cellStyle name="Normal 373 2 3 2 2" xfId="28879" xr:uid="{00000000-0005-0000-0000-0000CF700000}"/>
    <cellStyle name="Normal 373 2 3 3" xfId="28880" xr:uid="{00000000-0005-0000-0000-0000D0700000}"/>
    <cellStyle name="Normal 373 2 4" xfId="28881" xr:uid="{00000000-0005-0000-0000-0000D1700000}"/>
    <cellStyle name="Normal 373 2 4 2" xfId="28882" xr:uid="{00000000-0005-0000-0000-0000D2700000}"/>
    <cellStyle name="Normal 373 2 4 2 2" xfId="28883" xr:uid="{00000000-0005-0000-0000-0000D3700000}"/>
    <cellStyle name="Normal 373 2 4 3" xfId="28884" xr:uid="{00000000-0005-0000-0000-0000D4700000}"/>
    <cellStyle name="Normal 373 2 5" xfId="28885" xr:uid="{00000000-0005-0000-0000-0000D5700000}"/>
    <cellStyle name="Normal 373 3" xfId="28886" xr:uid="{00000000-0005-0000-0000-0000D6700000}"/>
    <cellStyle name="Normal 373 3 2" xfId="28887" xr:uid="{00000000-0005-0000-0000-0000D7700000}"/>
    <cellStyle name="Normal 373 3 2 2" xfId="28888" xr:uid="{00000000-0005-0000-0000-0000D8700000}"/>
    <cellStyle name="Normal 373 3 2 2 2" xfId="28889" xr:uid="{00000000-0005-0000-0000-0000D9700000}"/>
    <cellStyle name="Normal 373 3 2 3" xfId="28890" xr:uid="{00000000-0005-0000-0000-0000DA700000}"/>
    <cellStyle name="Normal 373 3 2 3 2" xfId="28891" xr:uid="{00000000-0005-0000-0000-0000DB700000}"/>
    <cellStyle name="Normal 373 3 2 3 2 2" xfId="28892" xr:uid="{00000000-0005-0000-0000-0000DC700000}"/>
    <cellStyle name="Normal 373 3 2 3 3" xfId="28893" xr:uid="{00000000-0005-0000-0000-0000DD700000}"/>
    <cellStyle name="Normal 373 3 2 4" xfId="28894" xr:uid="{00000000-0005-0000-0000-0000DE700000}"/>
    <cellStyle name="Normal 373 3 3" xfId="28895" xr:uid="{00000000-0005-0000-0000-0000DF700000}"/>
    <cellStyle name="Normal 373 3 3 2" xfId="28896" xr:uid="{00000000-0005-0000-0000-0000E0700000}"/>
    <cellStyle name="Normal 373 3 3 2 2" xfId="28897" xr:uid="{00000000-0005-0000-0000-0000E1700000}"/>
    <cellStyle name="Normal 373 3 3 3" xfId="28898" xr:uid="{00000000-0005-0000-0000-0000E2700000}"/>
    <cellStyle name="Normal 373 3 4" xfId="28899" xr:uid="{00000000-0005-0000-0000-0000E3700000}"/>
    <cellStyle name="Normal 373 3 4 2" xfId="28900" xr:uid="{00000000-0005-0000-0000-0000E4700000}"/>
    <cellStyle name="Normal 373 3 4 2 2" xfId="28901" xr:uid="{00000000-0005-0000-0000-0000E5700000}"/>
    <cellStyle name="Normal 373 3 4 3" xfId="28902" xr:uid="{00000000-0005-0000-0000-0000E6700000}"/>
    <cellStyle name="Normal 373 3 5" xfId="28903" xr:uid="{00000000-0005-0000-0000-0000E7700000}"/>
    <cellStyle name="Normal 373 3 5 2" xfId="28904" xr:uid="{00000000-0005-0000-0000-0000E8700000}"/>
    <cellStyle name="Normal 373 3 5 2 2" xfId="28905" xr:uid="{00000000-0005-0000-0000-0000E9700000}"/>
    <cellStyle name="Normal 373 3 5 3" xfId="28906" xr:uid="{00000000-0005-0000-0000-0000EA700000}"/>
    <cellStyle name="Normal 373 3 6" xfId="28907" xr:uid="{00000000-0005-0000-0000-0000EB700000}"/>
    <cellStyle name="Normal 373 4" xfId="28908" xr:uid="{00000000-0005-0000-0000-0000EC700000}"/>
    <cellStyle name="Normal 373 4 2" xfId="28909" xr:uid="{00000000-0005-0000-0000-0000ED700000}"/>
    <cellStyle name="Normal 373 4 2 2" xfId="28910" xr:uid="{00000000-0005-0000-0000-0000EE700000}"/>
    <cellStyle name="Normal 373 4 3" xfId="28911" xr:uid="{00000000-0005-0000-0000-0000EF700000}"/>
    <cellStyle name="Normal 373 5" xfId="28912" xr:uid="{00000000-0005-0000-0000-0000F0700000}"/>
    <cellStyle name="Normal 373 5 2" xfId="28913" xr:uid="{00000000-0005-0000-0000-0000F1700000}"/>
    <cellStyle name="Normal 373 5 2 2" xfId="28914" xr:uid="{00000000-0005-0000-0000-0000F2700000}"/>
    <cellStyle name="Normal 373 5 3" xfId="28915" xr:uid="{00000000-0005-0000-0000-0000F3700000}"/>
    <cellStyle name="Normal 373 6" xfId="28916" xr:uid="{00000000-0005-0000-0000-0000F4700000}"/>
    <cellStyle name="Normal 373 6 2" xfId="28917" xr:uid="{00000000-0005-0000-0000-0000F5700000}"/>
    <cellStyle name="Normal 373 6 2 2" xfId="28918" xr:uid="{00000000-0005-0000-0000-0000F6700000}"/>
    <cellStyle name="Normal 373 6 3" xfId="28919" xr:uid="{00000000-0005-0000-0000-0000F7700000}"/>
    <cellStyle name="Normal 373 7" xfId="28920" xr:uid="{00000000-0005-0000-0000-0000F8700000}"/>
    <cellStyle name="Normal 374" xfId="28921" xr:uid="{00000000-0005-0000-0000-0000F9700000}"/>
    <cellStyle name="Normal 374 2" xfId="28922" xr:uid="{00000000-0005-0000-0000-0000FA700000}"/>
    <cellStyle name="Normal 374 2 2" xfId="28923" xr:uid="{00000000-0005-0000-0000-0000FB700000}"/>
    <cellStyle name="Normal 374 2 2 2" xfId="28924" xr:uid="{00000000-0005-0000-0000-0000FC700000}"/>
    <cellStyle name="Normal 374 2 3" xfId="28925" xr:uid="{00000000-0005-0000-0000-0000FD700000}"/>
    <cellStyle name="Normal 374 2 3 2" xfId="28926" xr:uid="{00000000-0005-0000-0000-0000FE700000}"/>
    <cellStyle name="Normal 374 2 3 2 2" xfId="28927" xr:uid="{00000000-0005-0000-0000-0000FF700000}"/>
    <cellStyle name="Normal 374 2 3 3" xfId="28928" xr:uid="{00000000-0005-0000-0000-000000710000}"/>
    <cellStyle name="Normal 374 2 4" xfId="28929" xr:uid="{00000000-0005-0000-0000-000001710000}"/>
    <cellStyle name="Normal 374 2 4 2" xfId="28930" xr:uid="{00000000-0005-0000-0000-000002710000}"/>
    <cellStyle name="Normal 374 2 4 2 2" xfId="28931" xr:uid="{00000000-0005-0000-0000-000003710000}"/>
    <cellStyle name="Normal 374 2 4 3" xfId="28932" xr:uid="{00000000-0005-0000-0000-000004710000}"/>
    <cellStyle name="Normal 374 2 5" xfId="28933" xr:uid="{00000000-0005-0000-0000-000005710000}"/>
    <cellStyle name="Normal 374 3" xfId="28934" xr:uid="{00000000-0005-0000-0000-000006710000}"/>
    <cellStyle name="Normal 374 3 2" xfId="28935" xr:uid="{00000000-0005-0000-0000-000007710000}"/>
    <cellStyle name="Normal 374 3 2 2" xfId="28936" xr:uid="{00000000-0005-0000-0000-000008710000}"/>
    <cellStyle name="Normal 374 3 2 2 2" xfId="28937" xr:uid="{00000000-0005-0000-0000-000009710000}"/>
    <cellStyle name="Normal 374 3 2 3" xfId="28938" xr:uid="{00000000-0005-0000-0000-00000A710000}"/>
    <cellStyle name="Normal 374 3 2 3 2" xfId="28939" xr:uid="{00000000-0005-0000-0000-00000B710000}"/>
    <cellStyle name="Normal 374 3 2 3 2 2" xfId="28940" xr:uid="{00000000-0005-0000-0000-00000C710000}"/>
    <cellStyle name="Normal 374 3 2 3 3" xfId="28941" xr:uid="{00000000-0005-0000-0000-00000D710000}"/>
    <cellStyle name="Normal 374 3 2 4" xfId="28942" xr:uid="{00000000-0005-0000-0000-00000E710000}"/>
    <cellStyle name="Normal 374 3 3" xfId="28943" xr:uid="{00000000-0005-0000-0000-00000F710000}"/>
    <cellStyle name="Normal 374 3 3 2" xfId="28944" xr:uid="{00000000-0005-0000-0000-000010710000}"/>
    <cellStyle name="Normal 374 3 3 2 2" xfId="28945" xr:uid="{00000000-0005-0000-0000-000011710000}"/>
    <cellStyle name="Normal 374 3 3 3" xfId="28946" xr:uid="{00000000-0005-0000-0000-000012710000}"/>
    <cellStyle name="Normal 374 3 4" xfId="28947" xr:uid="{00000000-0005-0000-0000-000013710000}"/>
    <cellStyle name="Normal 374 3 4 2" xfId="28948" xr:uid="{00000000-0005-0000-0000-000014710000}"/>
    <cellStyle name="Normal 374 3 4 2 2" xfId="28949" xr:uid="{00000000-0005-0000-0000-000015710000}"/>
    <cellStyle name="Normal 374 3 4 3" xfId="28950" xr:uid="{00000000-0005-0000-0000-000016710000}"/>
    <cellStyle name="Normal 374 3 5" xfId="28951" xr:uid="{00000000-0005-0000-0000-000017710000}"/>
    <cellStyle name="Normal 374 3 5 2" xfId="28952" xr:uid="{00000000-0005-0000-0000-000018710000}"/>
    <cellStyle name="Normal 374 3 5 2 2" xfId="28953" xr:uid="{00000000-0005-0000-0000-000019710000}"/>
    <cellStyle name="Normal 374 3 5 3" xfId="28954" xr:uid="{00000000-0005-0000-0000-00001A710000}"/>
    <cellStyle name="Normal 374 3 6" xfId="28955" xr:uid="{00000000-0005-0000-0000-00001B710000}"/>
    <cellStyle name="Normal 374 4" xfId="28956" xr:uid="{00000000-0005-0000-0000-00001C710000}"/>
    <cellStyle name="Normal 374 4 2" xfId="28957" xr:uid="{00000000-0005-0000-0000-00001D710000}"/>
    <cellStyle name="Normal 374 4 2 2" xfId="28958" xr:uid="{00000000-0005-0000-0000-00001E710000}"/>
    <cellStyle name="Normal 374 4 3" xfId="28959" xr:uid="{00000000-0005-0000-0000-00001F710000}"/>
    <cellStyle name="Normal 374 5" xfId="28960" xr:uid="{00000000-0005-0000-0000-000020710000}"/>
    <cellStyle name="Normal 374 5 2" xfId="28961" xr:uid="{00000000-0005-0000-0000-000021710000}"/>
    <cellStyle name="Normal 374 5 2 2" xfId="28962" xr:uid="{00000000-0005-0000-0000-000022710000}"/>
    <cellStyle name="Normal 374 5 3" xfId="28963" xr:uid="{00000000-0005-0000-0000-000023710000}"/>
    <cellStyle name="Normal 374 6" xfId="28964" xr:uid="{00000000-0005-0000-0000-000024710000}"/>
    <cellStyle name="Normal 374 6 2" xfId="28965" xr:uid="{00000000-0005-0000-0000-000025710000}"/>
    <cellStyle name="Normal 374 6 2 2" xfId="28966" xr:uid="{00000000-0005-0000-0000-000026710000}"/>
    <cellStyle name="Normal 374 6 3" xfId="28967" xr:uid="{00000000-0005-0000-0000-000027710000}"/>
    <cellStyle name="Normal 374 7" xfId="28968" xr:uid="{00000000-0005-0000-0000-000028710000}"/>
    <cellStyle name="Normal 375" xfId="28969" xr:uid="{00000000-0005-0000-0000-000029710000}"/>
    <cellStyle name="Normal 375 2" xfId="28970" xr:uid="{00000000-0005-0000-0000-00002A710000}"/>
    <cellStyle name="Normal 375 2 2" xfId="28971" xr:uid="{00000000-0005-0000-0000-00002B710000}"/>
    <cellStyle name="Normal 375 2 2 2" xfId="28972" xr:uid="{00000000-0005-0000-0000-00002C710000}"/>
    <cellStyle name="Normal 375 2 3" xfId="28973" xr:uid="{00000000-0005-0000-0000-00002D710000}"/>
    <cellStyle name="Normal 375 2 3 2" xfId="28974" xr:uid="{00000000-0005-0000-0000-00002E710000}"/>
    <cellStyle name="Normal 375 2 3 2 2" xfId="28975" xr:uid="{00000000-0005-0000-0000-00002F710000}"/>
    <cellStyle name="Normal 375 2 3 3" xfId="28976" xr:uid="{00000000-0005-0000-0000-000030710000}"/>
    <cellStyle name="Normal 375 2 4" xfId="28977" xr:uid="{00000000-0005-0000-0000-000031710000}"/>
    <cellStyle name="Normal 375 2 4 2" xfId="28978" xr:uid="{00000000-0005-0000-0000-000032710000}"/>
    <cellStyle name="Normal 375 2 4 2 2" xfId="28979" xr:uid="{00000000-0005-0000-0000-000033710000}"/>
    <cellStyle name="Normal 375 2 4 3" xfId="28980" xr:uid="{00000000-0005-0000-0000-000034710000}"/>
    <cellStyle name="Normal 375 2 5" xfId="28981" xr:uid="{00000000-0005-0000-0000-000035710000}"/>
    <cellStyle name="Normal 375 3" xfId="28982" xr:uid="{00000000-0005-0000-0000-000036710000}"/>
    <cellStyle name="Normal 375 3 2" xfId="28983" xr:uid="{00000000-0005-0000-0000-000037710000}"/>
    <cellStyle name="Normal 375 3 2 2" xfId="28984" xr:uid="{00000000-0005-0000-0000-000038710000}"/>
    <cellStyle name="Normal 375 3 2 2 2" xfId="28985" xr:uid="{00000000-0005-0000-0000-000039710000}"/>
    <cellStyle name="Normal 375 3 2 3" xfId="28986" xr:uid="{00000000-0005-0000-0000-00003A710000}"/>
    <cellStyle name="Normal 375 3 2 3 2" xfId="28987" xr:uid="{00000000-0005-0000-0000-00003B710000}"/>
    <cellStyle name="Normal 375 3 2 3 2 2" xfId="28988" xr:uid="{00000000-0005-0000-0000-00003C710000}"/>
    <cellStyle name="Normal 375 3 2 3 3" xfId="28989" xr:uid="{00000000-0005-0000-0000-00003D710000}"/>
    <cellStyle name="Normal 375 3 2 4" xfId="28990" xr:uid="{00000000-0005-0000-0000-00003E710000}"/>
    <cellStyle name="Normal 375 3 3" xfId="28991" xr:uid="{00000000-0005-0000-0000-00003F710000}"/>
    <cellStyle name="Normal 375 3 3 2" xfId="28992" xr:uid="{00000000-0005-0000-0000-000040710000}"/>
    <cellStyle name="Normal 375 3 3 2 2" xfId="28993" xr:uid="{00000000-0005-0000-0000-000041710000}"/>
    <cellStyle name="Normal 375 3 3 3" xfId="28994" xr:uid="{00000000-0005-0000-0000-000042710000}"/>
    <cellStyle name="Normal 375 3 4" xfId="28995" xr:uid="{00000000-0005-0000-0000-000043710000}"/>
    <cellStyle name="Normal 375 3 4 2" xfId="28996" xr:uid="{00000000-0005-0000-0000-000044710000}"/>
    <cellStyle name="Normal 375 3 4 2 2" xfId="28997" xr:uid="{00000000-0005-0000-0000-000045710000}"/>
    <cellStyle name="Normal 375 3 4 3" xfId="28998" xr:uid="{00000000-0005-0000-0000-000046710000}"/>
    <cellStyle name="Normal 375 3 5" xfId="28999" xr:uid="{00000000-0005-0000-0000-000047710000}"/>
    <cellStyle name="Normal 375 3 5 2" xfId="29000" xr:uid="{00000000-0005-0000-0000-000048710000}"/>
    <cellStyle name="Normal 375 3 5 2 2" xfId="29001" xr:uid="{00000000-0005-0000-0000-000049710000}"/>
    <cellStyle name="Normal 375 3 5 3" xfId="29002" xr:uid="{00000000-0005-0000-0000-00004A710000}"/>
    <cellStyle name="Normal 375 3 6" xfId="29003" xr:uid="{00000000-0005-0000-0000-00004B710000}"/>
    <cellStyle name="Normal 375 4" xfId="29004" xr:uid="{00000000-0005-0000-0000-00004C710000}"/>
    <cellStyle name="Normal 375 4 2" xfId="29005" xr:uid="{00000000-0005-0000-0000-00004D710000}"/>
    <cellStyle name="Normal 375 4 2 2" xfId="29006" xr:uid="{00000000-0005-0000-0000-00004E710000}"/>
    <cellStyle name="Normal 375 4 3" xfId="29007" xr:uid="{00000000-0005-0000-0000-00004F710000}"/>
    <cellStyle name="Normal 375 5" xfId="29008" xr:uid="{00000000-0005-0000-0000-000050710000}"/>
    <cellStyle name="Normal 375 5 2" xfId="29009" xr:uid="{00000000-0005-0000-0000-000051710000}"/>
    <cellStyle name="Normal 375 5 2 2" xfId="29010" xr:uid="{00000000-0005-0000-0000-000052710000}"/>
    <cellStyle name="Normal 375 5 3" xfId="29011" xr:uid="{00000000-0005-0000-0000-000053710000}"/>
    <cellStyle name="Normal 375 6" xfId="29012" xr:uid="{00000000-0005-0000-0000-000054710000}"/>
    <cellStyle name="Normal 375 6 2" xfId="29013" xr:uid="{00000000-0005-0000-0000-000055710000}"/>
    <cellStyle name="Normal 375 6 2 2" xfId="29014" xr:uid="{00000000-0005-0000-0000-000056710000}"/>
    <cellStyle name="Normal 375 6 3" xfId="29015" xr:uid="{00000000-0005-0000-0000-000057710000}"/>
    <cellStyle name="Normal 375 7" xfId="29016" xr:uid="{00000000-0005-0000-0000-000058710000}"/>
    <cellStyle name="Normal 376" xfId="29017" xr:uid="{00000000-0005-0000-0000-000059710000}"/>
    <cellStyle name="Normal 376 2" xfId="29018" xr:uid="{00000000-0005-0000-0000-00005A710000}"/>
    <cellStyle name="Normal 376 2 2" xfId="29019" xr:uid="{00000000-0005-0000-0000-00005B710000}"/>
    <cellStyle name="Normal 376 2 2 2" xfId="29020" xr:uid="{00000000-0005-0000-0000-00005C710000}"/>
    <cellStyle name="Normal 376 2 3" xfId="29021" xr:uid="{00000000-0005-0000-0000-00005D710000}"/>
    <cellStyle name="Normal 376 2 3 2" xfId="29022" xr:uid="{00000000-0005-0000-0000-00005E710000}"/>
    <cellStyle name="Normal 376 2 3 2 2" xfId="29023" xr:uid="{00000000-0005-0000-0000-00005F710000}"/>
    <cellStyle name="Normal 376 2 3 3" xfId="29024" xr:uid="{00000000-0005-0000-0000-000060710000}"/>
    <cellStyle name="Normal 376 2 4" xfId="29025" xr:uid="{00000000-0005-0000-0000-000061710000}"/>
    <cellStyle name="Normal 376 2 4 2" xfId="29026" xr:uid="{00000000-0005-0000-0000-000062710000}"/>
    <cellStyle name="Normal 376 2 4 2 2" xfId="29027" xr:uid="{00000000-0005-0000-0000-000063710000}"/>
    <cellStyle name="Normal 376 2 4 3" xfId="29028" xr:uid="{00000000-0005-0000-0000-000064710000}"/>
    <cellStyle name="Normal 376 2 5" xfId="29029" xr:uid="{00000000-0005-0000-0000-000065710000}"/>
    <cellStyle name="Normal 376 3" xfId="29030" xr:uid="{00000000-0005-0000-0000-000066710000}"/>
    <cellStyle name="Normal 376 3 2" xfId="29031" xr:uid="{00000000-0005-0000-0000-000067710000}"/>
    <cellStyle name="Normal 376 3 2 2" xfId="29032" xr:uid="{00000000-0005-0000-0000-000068710000}"/>
    <cellStyle name="Normal 376 3 2 2 2" xfId="29033" xr:uid="{00000000-0005-0000-0000-000069710000}"/>
    <cellStyle name="Normal 376 3 2 3" xfId="29034" xr:uid="{00000000-0005-0000-0000-00006A710000}"/>
    <cellStyle name="Normal 376 3 2 3 2" xfId="29035" xr:uid="{00000000-0005-0000-0000-00006B710000}"/>
    <cellStyle name="Normal 376 3 2 3 2 2" xfId="29036" xr:uid="{00000000-0005-0000-0000-00006C710000}"/>
    <cellStyle name="Normal 376 3 2 3 3" xfId="29037" xr:uid="{00000000-0005-0000-0000-00006D710000}"/>
    <cellStyle name="Normal 376 3 2 4" xfId="29038" xr:uid="{00000000-0005-0000-0000-00006E710000}"/>
    <cellStyle name="Normal 376 3 3" xfId="29039" xr:uid="{00000000-0005-0000-0000-00006F710000}"/>
    <cellStyle name="Normal 376 3 3 2" xfId="29040" xr:uid="{00000000-0005-0000-0000-000070710000}"/>
    <cellStyle name="Normal 376 3 3 2 2" xfId="29041" xr:uid="{00000000-0005-0000-0000-000071710000}"/>
    <cellStyle name="Normal 376 3 3 3" xfId="29042" xr:uid="{00000000-0005-0000-0000-000072710000}"/>
    <cellStyle name="Normal 376 3 4" xfId="29043" xr:uid="{00000000-0005-0000-0000-000073710000}"/>
    <cellStyle name="Normal 376 3 4 2" xfId="29044" xr:uid="{00000000-0005-0000-0000-000074710000}"/>
    <cellStyle name="Normal 376 3 4 2 2" xfId="29045" xr:uid="{00000000-0005-0000-0000-000075710000}"/>
    <cellStyle name="Normal 376 3 4 3" xfId="29046" xr:uid="{00000000-0005-0000-0000-000076710000}"/>
    <cellStyle name="Normal 376 3 5" xfId="29047" xr:uid="{00000000-0005-0000-0000-000077710000}"/>
    <cellStyle name="Normal 376 3 5 2" xfId="29048" xr:uid="{00000000-0005-0000-0000-000078710000}"/>
    <cellStyle name="Normal 376 3 5 2 2" xfId="29049" xr:uid="{00000000-0005-0000-0000-000079710000}"/>
    <cellStyle name="Normal 376 3 5 3" xfId="29050" xr:uid="{00000000-0005-0000-0000-00007A710000}"/>
    <cellStyle name="Normal 376 3 6" xfId="29051" xr:uid="{00000000-0005-0000-0000-00007B710000}"/>
    <cellStyle name="Normal 376 4" xfId="29052" xr:uid="{00000000-0005-0000-0000-00007C710000}"/>
    <cellStyle name="Normal 376 4 2" xfId="29053" xr:uid="{00000000-0005-0000-0000-00007D710000}"/>
    <cellStyle name="Normal 376 4 2 2" xfId="29054" xr:uid="{00000000-0005-0000-0000-00007E710000}"/>
    <cellStyle name="Normal 376 4 3" xfId="29055" xr:uid="{00000000-0005-0000-0000-00007F710000}"/>
    <cellStyle name="Normal 376 5" xfId="29056" xr:uid="{00000000-0005-0000-0000-000080710000}"/>
    <cellStyle name="Normal 376 5 2" xfId="29057" xr:uid="{00000000-0005-0000-0000-000081710000}"/>
    <cellStyle name="Normal 376 5 2 2" xfId="29058" xr:uid="{00000000-0005-0000-0000-000082710000}"/>
    <cellStyle name="Normal 376 5 3" xfId="29059" xr:uid="{00000000-0005-0000-0000-000083710000}"/>
    <cellStyle name="Normal 376 6" xfId="29060" xr:uid="{00000000-0005-0000-0000-000084710000}"/>
    <cellStyle name="Normal 376 6 2" xfId="29061" xr:uid="{00000000-0005-0000-0000-000085710000}"/>
    <cellStyle name="Normal 376 6 2 2" xfId="29062" xr:uid="{00000000-0005-0000-0000-000086710000}"/>
    <cellStyle name="Normal 376 6 3" xfId="29063" xr:uid="{00000000-0005-0000-0000-000087710000}"/>
    <cellStyle name="Normal 376 7" xfId="29064" xr:uid="{00000000-0005-0000-0000-000088710000}"/>
    <cellStyle name="Normal 377" xfId="29065" xr:uid="{00000000-0005-0000-0000-000089710000}"/>
    <cellStyle name="Normal 377 2" xfId="29066" xr:uid="{00000000-0005-0000-0000-00008A710000}"/>
    <cellStyle name="Normal 377 2 2" xfId="29067" xr:uid="{00000000-0005-0000-0000-00008B710000}"/>
    <cellStyle name="Normal 377 2 2 2" xfId="29068" xr:uid="{00000000-0005-0000-0000-00008C710000}"/>
    <cellStyle name="Normal 377 2 3" xfId="29069" xr:uid="{00000000-0005-0000-0000-00008D710000}"/>
    <cellStyle name="Normal 377 2 3 2" xfId="29070" xr:uid="{00000000-0005-0000-0000-00008E710000}"/>
    <cellStyle name="Normal 377 2 3 2 2" xfId="29071" xr:uid="{00000000-0005-0000-0000-00008F710000}"/>
    <cellStyle name="Normal 377 2 3 3" xfId="29072" xr:uid="{00000000-0005-0000-0000-000090710000}"/>
    <cellStyle name="Normal 377 2 4" xfId="29073" xr:uid="{00000000-0005-0000-0000-000091710000}"/>
    <cellStyle name="Normal 377 2 4 2" xfId="29074" xr:uid="{00000000-0005-0000-0000-000092710000}"/>
    <cellStyle name="Normal 377 2 4 2 2" xfId="29075" xr:uid="{00000000-0005-0000-0000-000093710000}"/>
    <cellStyle name="Normal 377 2 4 3" xfId="29076" xr:uid="{00000000-0005-0000-0000-000094710000}"/>
    <cellStyle name="Normal 377 2 5" xfId="29077" xr:uid="{00000000-0005-0000-0000-000095710000}"/>
    <cellStyle name="Normal 377 3" xfId="29078" xr:uid="{00000000-0005-0000-0000-000096710000}"/>
    <cellStyle name="Normal 377 3 2" xfId="29079" xr:uid="{00000000-0005-0000-0000-000097710000}"/>
    <cellStyle name="Normal 377 3 2 2" xfId="29080" xr:uid="{00000000-0005-0000-0000-000098710000}"/>
    <cellStyle name="Normal 377 3 2 2 2" xfId="29081" xr:uid="{00000000-0005-0000-0000-000099710000}"/>
    <cellStyle name="Normal 377 3 2 3" xfId="29082" xr:uid="{00000000-0005-0000-0000-00009A710000}"/>
    <cellStyle name="Normal 377 3 2 3 2" xfId="29083" xr:uid="{00000000-0005-0000-0000-00009B710000}"/>
    <cellStyle name="Normal 377 3 2 3 2 2" xfId="29084" xr:uid="{00000000-0005-0000-0000-00009C710000}"/>
    <cellStyle name="Normal 377 3 2 3 3" xfId="29085" xr:uid="{00000000-0005-0000-0000-00009D710000}"/>
    <cellStyle name="Normal 377 3 2 4" xfId="29086" xr:uid="{00000000-0005-0000-0000-00009E710000}"/>
    <cellStyle name="Normal 377 3 3" xfId="29087" xr:uid="{00000000-0005-0000-0000-00009F710000}"/>
    <cellStyle name="Normal 377 3 3 2" xfId="29088" xr:uid="{00000000-0005-0000-0000-0000A0710000}"/>
    <cellStyle name="Normal 377 3 3 2 2" xfId="29089" xr:uid="{00000000-0005-0000-0000-0000A1710000}"/>
    <cellStyle name="Normal 377 3 3 3" xfId="29090" xr:uid="{00000000-0005-0000-0000-0000A2710000}"/>
    <cellStyle name="Normal 377 3 4" xfId="29091" xr:uid="{00000000-0005-0000-0000-0000A3710000}"/>
    <cellStyle name="Normal 377 3 4 2" xfId="29092" xr:uid="{00000000-0005-0000-0000-0000A4710000}"/>
    <cellStyle name="Normal 377 3 4 2 2" xfId="29093" xr:uid="{00000000-0005-0000-0000-0000A5710000}"/>
    <cellStyle name="Normal 377 3 4 3" xfId="29094" xr:uid="{00000000-0005-0000-0000-0000A6710000}"/>
    <cellStyle name="Normal 377 3 5" xfId="29095" xr:uid="{00000000-0005-0000-0000-0000A7710000}"/>
    <cellStyle name="Normal 377 3 5 2" xfId="29096" xr:uid="{00000000-0005-0000-0000-0000A8710000}"/>
    <cellStyle name="Normal 377 3 5 2 2" xfId="29097" xr:uid="{00000000-0005-0000-0000-0000A9710000}"/>
    <cellStyle name="Normal 377 3 5 3" xfId="29098" xr:uid="{00000000-0005-0000-0000-0000AA710000}"/>
    <cellStyle name="Normal 377 3 6" xfId="29099" xr:uid="{00000000-0005-0000-0000-0000AB710000}"/>
    <cellStyle name="Normal 377 4" xfId="29100" xr:uid="{00000000-0005-0000-0000-0000AC710000}"/>
    <cellStyle name="Normal 377 4 2" xfId="29101" xr:uid="{00000000-0005-0000-0000-0000AD710000}"/>
    <cellStyle name="Normal 377 4 2 2" xfId="29102" xr:uid="{00000000-0005-0000-0000-0000AE710000}"/>
    <cellStyle name="Normal 377 4 3" xfId="29103" xr:uid="{00000000-0005-0000-0000-0000AF710000}"/>
    <cellStyle name="Normal 377 5" xfId="29104" xr:uid="{00000000-0005-0000-0000-0000B0710000}"/>
    <cellStyle name="Normal 377 5 2" xfId="29105" xr:uid="{00000000-0005-0000-0000-0000B1710000}"/>
    <cellStyle name="Normal 377 5 2 2" xfId="29106" xr:uid="{00000000-0005-0000-0000-0000B2710000}"/>
    <cellStyle name="Normal 377 5 3" xfId="29107" xr:uid="{00000000-0005-0000-0000-0000B3710000}"/>
    <cellStyle name="Normal 377 6" xfId="29108" xr:uid="{00000000-0005-0000-0000-0000B4710000}"/>
    <cellStyle name="Normal 377 6 2" xfId="29109" xr:uid="{00000000-0005-0000-0000-0000B5710000}"/>
    <cellStyle name="Normal 377 6 2 2" xfId="29110" xr:uid="{00000000-0005-0000-0000-0000B6710000}"/>
    <cellStyle name="Normal 377 6 3" xfId="29111" xr:uid="{00000000-0005-0000-0000-0000B7710000}"/>
    <cellStyle name="Normal 377 7" xfId="29112" xr:uid="{00000000-0005-0000-0000-0000B8710000}"/>
    <cellStyle name="Normal 378" xfId="29113" xr:uid="{00000000-0005-0000-0000-0000B9710000}"/>
    <cellStyle name="Normal 378 2" xfId="29114" xr:uid="{00000000-0005-0000-0000-0000BA710000}"/>
    <cellStyle name="Normal 378 2 2" xfId="29115" xr:uid="{00000000-0005-0000-0000-0000BB710000}"/>
    <cellStyle name="Normal 378 2 2 2" xfId="29116" xr:uid="{00000000-0005-0000-0000-0000BC710000}"/>
    <cellStyle name="Normal 378 2 3" xfId="29117" xr:uid="{00000000-0005-0000-0000-0000BD710000}"/>
    <cellStyle name="Normal 378 2 3 2" xfId="29118" xr:uid="{00000000-0005-0000-0000-0000BE710000}"/>
    <cellStyle name="Normal 378 2 3 2 2" xfId="29119" xr:uid="{00000000-0005-0000-0000-0000BF710000}"/>
    <cellStyle name="Normal 378 2 3 3" xfId="29120" xr:uid="{00000000-0005-0000-0000-0000C0710000}"/>
    <cellStyle name="Normal 378 2 4" xfId="29121" xr:uid="{00000000-0005-0000-0000-0000C1710000}"/>
    <cellStyle name="Normal 378 2 4 2" xfId="29122" xr:uid="{00000000-0005-0000-0000-0000C2710000}"/>
    <cellStyle name="Normal 378 2 4 2 2" xfId="29123" xr:uid="{00000000-0005-0000-0000-0000C3710000}"/>
    <cellStyle name="Normal 378 2 4 3" xfId="29124" xr:uid="{00000000-0005-0000-0000-0000C4710000}"/>
    <cellStyle name="Normal 378 2 5" xfId="29125" xr:uid="{00000000-0005-0000-0000-0000C5710000}"/>
    <cellStyle name="Normal 378 3" xfId="29126" xr:uid="{00000000-0005-0000-0000-0000C6710000}"/>
    <cellStyle name="Normal 378 3 2" xfId="29127" xr:uid="{00000000-0005-0000-0000-0000C7710000}"/>
    <cellStyle name="Normal 378 3 2 2" xfId="29128" xr:uid="{00000000-0005-0000-0000-0000C8710000}"/>
    <cellStyle name="Normal 378 3 2 2 2" xfId="29129" xr:uid="{00000000-0005-0000-0000-0000C9710000}"/>
    <cellStyle name="Normal 378 3 2 3" xfId="29130" xr:uid="{00000000-0005-0000-0000-0000CA710000}"/>
    <cellStyle name="Normal 378 3 2 3 2" xfId="29131" xr:uid="{00000000-0005-0000-0000-0000CB710000}"/>
    <cellStyle name="Normal 378 3 2 3 2 2" xfId="29132" xr:uid="{00000000-0005-0000-0000-0000CC710000}"/>
    <cellStyle name="Normal 378 3 2 3 3" xfId="29133" xr:uid="{00000000-0005-0000-0000-0000CD710000}"/>
    <cellStyle name="Normal 378 3 2 4" xfId="29134" xr:uid="{00000000-0005-0000-0000-0000CE710000}"/>
    <cellStyle name="Normal 378 3 3" xfId="29135" xr:uid="{00000000-0005-0000-0000-0000CF710000}"/>
    <cellStyle name="Normal 378 3 3 2" xfId="29136" xr:uid="{00000000-0005-0000-0000-0000D0710000}"/>
    <cellStyle name="Normal 378 3 3 2 2" xfId="29137" xr:uid="{00000000-0005-0000-0000-0000D1710000}"/>
    <cellStyle name="Normal 378 3 3 3" xfId="29138" xr:uid="{00000000-0005-0000-0000-0000D2710000}"/>
    <cellStyle name="Normal 378 3 4" xfId="29139" xr:uid="{00000000-0005-0000-0000-0000D3710000}"/>
    <cellStyle name="Normal 378 3 4 2" xfId="29140" xr:uid="{00000000-0005-0000-0000-0000D4710000}"/>
    <cellStyle name="Normal 378 3 4 2 2" xfId="29141" xr:uid="{00000000-0005-0000-0000-0000D5710000}"/>
    <cellStyle name="Normal 378 3 4 3" xfId="29142" xr:uid="{00000000-0005-0000-0000-0000D6710000}"/>
    <cellStyle name="Normal 378 3 5" xfId="29143" xr:uid="{00000000-0005-0000-0000-0000D7710000}"/>
    <cellStyle name="Normal 378 3 5 2" xfId="29144" xr:uid="{00000000-0005-0000-0000-0000D8710000}"/>
    <cellStyle name="Normal 378 3 5 2 2" xfId="29145" xr:uid="{00000000-0005-0000-0000-0000D9710000}"/>
    <cellStyle name="Normal 378 3 5 3" xfId="29146" xr:uid="{00000000-0005-0000-0000-0000DA710000}"/>
    <cellStyle name="Normal 378 3 6" xfId="29147" xr:uid="{00000000-0005-0000-0000-0000DB710000}"/>
    <cellStyle name="Normal 378 4" xfId="29148" xr:uid="{00000000-0005-0000-0000-0000DC710000}"/>
    <cellStyle name="Normal 378 4 2" xfId="29149" xr:uid="{00000000-0005-0000-0000-0000DD710000}"/>
    <cellStyle name="Normal 378 4 2 2" xfId="29150" xr:uid="{00000000-0005-0000-0000-0000DE710000}"/>
    <cellStyle name="Normal 378 4 3" xfId="29151" xr:uid="{00000000-0005-0000-0000-0000DF710000}"/>
    <cellStyle name="Normal 378 5" xfId="29152" xr:uid="{00000000-0005-0000-0000-0000E0710000}"/>
    <cellStyle name="Normal 378 5 2" xfId="29153" xr:uid="{00000000-0005-0000-0000-0000E1710000}"/>
    <cellStyle name="Normal 378 5 2 2" xfId="29154" xr:uid="{00000000-0005-0000-0000-0000E2710000}"/>
    <cellStyle name="Normal 378 5 3" xfId="29155" xr:uid="{00000000-0005-0000-0000-0000E3710000}"/>
    <cellStyle name="Normal 378 6" xfId="29156" xr:uid="{00000000-0005-0000-0000-0000E4710000}"/>
    <cellStyle name="Normal 378 6 2" xfId="29157" xr:uid="{00000000-0005-0000-0000-0000E5710000}"/>
    <cellStyle name="Normal 378 6 2 2" xfId="29158" xr:uid="{00000000-0005-0000-0000-0000E6710000}"/>
    <cellStyle name="Normal 378 6 3" xfId="29159" xr:uid="{00000000-0005-0000-0000-0000E7710000}"/>
    <cellStyle name="Normal 378 7" xfId="29160" xr:uid="{00000000-0005-0000-0000-0000E8710000}"/>
    <cellStyle name="Normal 379" xfId="29161" xr:uid="{00000000-0005-0000-0000-0000E9710000}"/>
    <cellStyle name="Normal 379 2" xfId="29162" xr:uid="{00000000-0005-0000-0000-0000EA710000}"/>
    <cellStyle name="Normal 379 2 2" xfId="29163" xr:uid="{00000000-0005-0000-0000-0000EB710000}"/>
    <cellStyle name="Normal 379 2 2 2" xfId="29164" xr:uid="{00000000-0005-0000-0000-0000EC710000}"/>
    <cellStyle name="Normal 379 2 3" xfId="29165" xr:uid="{00000000-0005-0000-0000-0000ED710000}"/>
    <cellStyle name="Normal 379 2 3 2" xfId="29166" xr:uid="{00000000-0005-0000-0000-0000EE710000}"/>
    <cellStyle name="Normal 379 2 3 2 2" xfId="29167" xr:uid="{00000000-0005-0000-0000-0000EF710000}"/>
    <cellStyle name="Normal 379 2 3 3" xfId="29168" xr:uid="{00000000-0005-0000-0000-0000F0710000}"/>
    <cellStyle name="Normal 379 2 4" xfId="29169" xr:uid="{00000000-0005-0000-0000-0000F1710000}"/>
    <cellStyle name="Normal 379 2 4 2" xfId="29170" xr:uid="{00000000-0005-0000-0000-0000F2710000}"/>
    <cellStyle name="Normal 379 2 4 2 2" xfId="29171" xr:uid="{00000000-0005-0000-0000-0000F3710000}"/>
    <cellStyle name="Normal 379 2 4 3" xfId="29172" xr:uid="{00000000-0005-0000-0000-0000F4710000}"/>
    <cellStyle name="Normal 379 2 5" xfId="29173" xr:uid="{00000000-0005-0000-0000-0000F5710000}"/>
    <cellStyle name="Normal 379 3" xfId="29174" xr:uid="{00000000-0005-0000-0000-0000F6710000}"/>
    <cellStyle name="Normal 379 3 2" xfId="29175" xr:uid="{00000000-0005-0000-0000-0000F7710000}"/>
    <cellStyle name="Normal 379 3 2 2" xfId="29176" xr:uid="{00000000-0005-0000-0000-0000F8710000}"/>
    <cellStyle name="Normal 379 3 2 2 2" xfId="29177" xr:uid="{00000000-0005-0000-0000-0000F9710000}"/>
    <cellStyle name="Normal 379 3 2 3" xfId="29178" xr:uid="{00000000-0005-0000-0000-0000FA710000}"/>
    <cellStyle name="Normal 379 3 2 3 2" xfId="29179" xr:uid="{00000000-0005-0000-0000-0000FB710000}"/>
    <cellStyle name="Normal 379 3 2 3 2 2" xfId="29180" xr:uid="{00000000-0005-0000-0000-0000FC710000}"/>
    <cellStyle name="Normal 379 3 2 3 3" xfId="29181" xr:uid="{00000000-0005-0000-0000-0000FD710000}"/>
    <cellStyle name="Normal 379 3 2 4" xfId="29182" xr:uid="{00000000-0005-0000-0000-0000FE710000}"/>
    <cellStyle name="Normal 379 3 3" xfId="29183" xr:uid="{00000000-0005-0000-0000-0000FF710000}"/>
    <cellStyle name="Normal 379 3 3 2" xfId="29184" xr:uid="{00000000-0005-0000-0000-000000720000}"/>
    <cellStyle name="Normal 379 3 3 2 2" xfId="29185" xr:uid="{00000000-0005-0000-0000-000001720000}"/>
    <cellStyle name="Normal 379 3 3 3" xfId="29186" xr:uid="{00000000-0005-0000-0000-000002720000}"/>
    <cellStyle name="Normal 379 3 4" xfId="29187" xr:uid="{00000000-0005-0000-0000-000003720000}"/>
    <cellStyle name="Normal 379 3 4 2" xfId="29188" xr:uid="{00000000-0005-0000-0000-000004720000}"/>
    <cellStyle name="Normal 379 3 4 2 2" xfId="29189" xr:uid="{00000000-0005-0000-0000-000005720000}"/>
    <cellStyle name="Normal 379 3 4 3" xfId="29190" xr:uid="{00000000-0005-0000-0000-000006720000}"/>
    <cellStyle name="Normal 379 3 5" xfId="29191" xr:uid="{00000000-0005-0000-0000-000007720000}"/>
    <cellStyle name="Normal 379 3 5 2" xfId="29192" xr:uid="{00000000-0005-0000-0000-000008720000}"/>
    <cellStyle name="Normal 379 3 5 2 2" xfId="29193" xr:uid="{00000000-0005-0000-0000-000009720000}"/>
    <cellStyle name="Normal 379 3 5 3" xfId="29194" xr:uid="{00000000-0005-0000-0000-00000A720000}"/>
    <cellStyle name="Normal 379 3 6" xfId="29195" xr:uid="{00000000-0005-0000-0000-00000B720000}"/>
    <cellStyle name="Normal 379 4" xfId="29196" xr:uid="{00000000-0005-0000-0000-00000C720000}"/>
    <cellStyle name="Normal 379 4 2" xfId="29197" xr:uid="{00000000-0005-0000-0000-00000D720000}"/>
    <cellStyle name="Normal 379 4 2 2" xfId="29198" xr:uid="{00000000-0005-0000-0000-00000E720000}"/>
    <cellStyle name="Normal 379 4 3" xfId="29199" xr:uid="{00000000-0005-0000-0000-00000F720000}"/>
    <cellStyle name="Normal 379 5" xfId="29200" xr:uid="{00000000-0005-0000-0000-000010720000}"/>
    <cellStyle name="Normal 379 5 2" xfId="29201" xr:uid="{00000000-0005-0000-0000-000011720000}"/>
    <cellStyle name="Normal 379 5 2 2" xfId="29202" xr:uid="{00000000-0005-0000-0000-000012720000}"/>
    <cellStyle name="Normal 379 5 3" xfId="29203" xr:uid="{00000000-0005-0000-0000-000013720000}"/>
    <cellStyle name="Normal 379 6" xfId="29204" xr:uid="{00000000-0005-0000-0000-000014720000}"/>
    <cellStyle name="Normal 379 6 2" xfId="29205" xr:uid="{00000000-0005-0000-0000-000015720000}"/>
    <cellStyle name="Normal 379 6 2 2" xfId="29206" xr:uid="{00000000-0005-0000-0000-000016720000}"/>
    <cellStyle name="Normal 379 6 3" xfId="29207" xr:uid="{00000000-0005-0000-0000-000017720000}"/>
    <cellStyle name="Normal 379 7" xfId="29208" xr:uid="{00000000-0005-0000-0000-000018720000}"/>
    <cellStyle name="Normal 38" xfId="29209" xr:uid="{00000000-0005-0000-0000-000019720000}"/>
    <cellStyle name="Normal 38 2" xfId="29210" xr:uid="{00000000-0005-0000-0000-00001A720000}"/>
    <cellStyle name="Normal 38 2 2" xfId="29211" xr:uid="{00000000-0005-0000-0000-00001B720000}"/>
    <cellStyle name="Normal 38 2 2 2" xfId="29212" xr:uid="{00000000-0005-0000-0000-00001C720000}"/>
    <cellStyle name="Normal 38 2 2 2 2" xfId="29213" xr:uid="{00000000-0005-0000-0000-00001D720000}"/>
    <cellStyle name="Normal 38 2 2 3" xfId="29214" xr:uid="{00000000-0005-0000-0000-00001E720000}"/>
    <cellStyle name="Normal 38 2 2 3 2" xfId="29215" xr:uid="{00000000-0005-0000-0000-00001F720000}"/>
    <cellStyle name="Normal 38 2 2 3 2 2" xfId="29216" xr:uid="{00000000-0005-0000-0000-000020720000}"/>
    <cellStyle name="Normal 38 2 2 3 3" xfId="29217" xr:uid="{00000000-0005-0000-0000-000021720000}"/>
    <cellStyle name="Normal 38 2 2 4" xfId="29218" xr:uid="{00000000-0005-0000-0000-000022720000}"/>
    <cellStyle name="Normal 38 2 2 4 2" xfId="29219" xr:uid="{00000000-0005-0000-0000-000023720000}"/>
    <cellStyle name="Normal 38 2 2 4 2 2" xfId="29220" xr:uid="{00000000-0005-0000-0000-000024720000}"/>
    <cellStyle name="Normal 38 2 2 4 3" xfId="29221" xr:uid="{00000000-0005-0000-0000-000025720000}"/>
    <cellStyle name="Normal 38 2 2 5" xfId="29222" xr:uid="{00000000-0005-0000-0000-000026720000}"/>
    <cellStyle name="Normal 38 2 3" xfId="29223" xr:uid="{00000000-0005-0000-0000-000027720000}"/>
    <cellStyle name="Normal 38 2 3 2" xfId="29224" xr:uid="{00000000-0005-0000-0000-000028720000}"/>
    <cellStyle name="Normal 38 2 3 2 2" xfId="29225" xr:uid="{00000000-0005-0000-0000-000029720000}"/>
    <cellStyle name="Normal 38 2 3 3" xfId="29226" xr:uid="{00000000-0005-0000-0000-00002A720000}"/>
    <cellStyle name="Normal 38 2 4" xfId="29227" xr:uid="{00000000-0005-0000-0000-00002B720000}"/>
    <cellStyle name="Normal 38 2 4 2" xfId="29228" xr:uid="{00000000-0005-0000-0000-00002C720000}"/>
    <cellStyle name="Normal 38 2 4 2 2" xfId="29229" xr:uid="{00000000-0005-0000-0000-00002D720000}"/>
    <cellStyle name="Normal 38 2 4 3" xfId="29230" xr:uid="{00000000-0005-0000-0000-00002E720000}"/>
    <cellStyle name="Normal 38 2 5" xfId="29231" xr:uid="{00000000-0005-0000-0000-00002F720000}"/>
    <cellStyle name="Normal 38 2 5 2" xfId="29232" xr:uid="{00000000-0005-0000-0000-000030720000}"/>
    <cellStyle name="Normal 38 2 5 2 2" xfId="29233" xr:uid="{00000000-0005-0000-0000-000031720000}"/>
    <cellStyle name="Normal 38 2 5 3" xfId="29234" xr:uid="{00000000-0005-0000-0000-000032720000}"/>
    <cellStyle name="Normal 38 2 6" xfId="29235" xr:uid="{00000000-0005-0000-0000-000033720000}"/>
    <cellStyle name="Normal 38 3" xfId="29236" xr:uid="{00000000-0005-0000-0000-000034720000}"/>
    <cellStyle name="Normal 38 3 2" xfId="29237" xr:uid="{00000000-0005-0000-0000-000035720000}"/>
    <cellStyle name="Normal 38 3 2 2" xfId="29238" xr:uid="{00000000-0005-0000-0000-000036720000}"/>
    <cellStyle name="Normal 38 3 3" xfId="29239" xr:uid="{00000000-0005-0000-0000-000037720000}"/>
    <cellStyle name="Normal 38 3 3 2" xfId="29240" xr:uid="{00000000-0005-0000-0000-000038720000}"/>
    <cellStyle name="Normal 38 3 3 2 2" xfId="29241" xr:uid="{00000000-0005-0000-0000-000039720000}"/>
    <cellStyle name="Normal 38 3 3 3" xfId="29242" xr:uid="{00000000-0005-0000-0000-00003A720000}"/>
    <cellStyle name="Normal 38 3 4" xfId="29243" xr:uid="{00000000-0005-0000-0000-00003B720000}"/>
    <cellStyle name="Normal 38 3 4 2" xfId="29244" xr:uid="{00000000-0005-0000-0000-00003C720000}"/>
    <cellStyle name="Normal 38 3 4 2 2" xfId="29245" xr:uid="{00000000-0005-0000-0000-00003D720000}"/>
    <cellStyle name="Normal 38 3 4 3" xfId="29246" xr:uid="{00000000-0005-0000-0000-00003E720000}"/>
    <cellStyle name="Normal 38 3 5" xfId="29247" xr:uid="{00000000-0005-0000-0000-00003F720000}"/>
    <cellStyle name="Normal 38 4" xfId="29248" xr:uid="{00000000-0005-0000-0000-000040720000}"/>
    <cellStyle name="Normal 38 4 2" xfId="29249" xr:uid="{00000000-0005-0000-0000-000041720000}"/>
    <cellStyle name="Normal 38 4 2 2" xfId="29250" xr:uid="{00000000-0005-0000-0000-000042720000}"/>
    <cellStyle name="Normal 38 4 3" xfId="29251" xr:uid="{00000000-0005-0000-0000-000043720000}"/>
    <cellStyle name="Normal 38 5" xfId="29252" xr:uid="{00000000-0005-0000-0000-000044720000}"/>
    <cellStyle name="Normal 38 5 2" xfId="29253" xr:uid="{00000000-0005-0000-0000-000045720000}"/>
    <cellStyle name="Normal 38 5 2 2" xfId="29254" xr:uid="{00000000-0005-0000-0000-000046720000}"/>
    <cellStyle name="Normal 38 5 3" xfId="29255" xr:uid="{00000000-0005-0000-0000-000047720000}"/>
    <cellStyle name="Normal 38 6" xfId="29256" xr:uid="{00000000-0005-0000-0000-000048720000}"/>
    <cellStyle name="Normal 38 6 2" xfId="29257" xr:uid="{00000000-0005-0000-0000-000049720000}"/>
    <cellStyle name="Normal 38 6 2 2" xfId="29258" xr:uid="{00000000-0005-0000-0000-00004A720000}"/>
    <cellStyle name="Normal 38 6 3" xfId="29259" xr:uid="{00000000-0005-0000-0000-00004B720000}"/>
    <cellStyle name="Normal 38 7" xfId="29260" xr:uid="{00000000-0005-0000-0000-00004C720000}"/>
    <cellStyle name="Normal 380" xfId="29261" xr:uid="{00000000-0005-0000-0000-00004D720000}"/>
    <cellStyle name="Normal 380 2" xfId="29262" xr:uid="{00000000-0005-0000-0000-00004E720000}"/>
    <cellStyle name="Normal 380 2 2" xfId="29263" xr:uid="{00000000-0005-0000-0000-00004F720000}"/>
    <cellStyle name="Normal 380 2 2 2" xfId="29264" xr:uid="{00000000-0005-0000-0000-000050720000}"/>
    <cellStyle name="Normal 380 2 3" xfId="29265" xr:uid="{00000000-0005-0000-0000-000051720000}"/>
    <cellStyle name="Normal 380 2 3 2" xfId="29266" xr:uid="{00000000-0005-0000-0000-000052720000}"/>
    <cellStyle name="Normal 380 2 3 2 2" xfId="29267" xr:uid="{00000000-0005-0000-0000-000053720000}"/>
    <cellStyle name="Normal 380 2 3 3" xfId="29268" xr:uid="{00000000-0005-0000-0000-000054720000}"/>
    <cellStyle name="Normal 380 2 4" xfId="29269" xr:uid="{00000000-0005-0000-0000-000055720000}"/>
    <cellStyle name="Normal 380 2 4 2" xfId="29270" xr:uid="{00000000-0005-0000-0000-000056720000}"/>
    <cellStyle name="Normal 380 2 4 2 2" xfId="29271" xr:uid="{00000000-0005-0000-0000-000057720000}"/>
    <cellStyle name="Normal 380 2 4 3" xfId="29272" xr:uid="{00000000-0005-0000-0000-000058720000}"/>
    <cellStyle name="Normal 380 2 5" xfId="29273" xr:uid="{00000000-0005-0000-0000-000059720000}"/>
    <cellStyle name="Normal 380 3" xfId="29274" xr:uid="{00000000-0005-0000-0000-00005A720000}"/>
    <cellStyle name="Normal 380 3 2" xfId="29275" xr:uid="{00000000-0005-0000-0000-00005B720000}"/>
    <cellStyle name="Normal 380 3 2 2" xfId="29276" xr:uid="{00000000-0005-0000-0000-00005C720000}"/>
    <cellStyle name="Normal 380 3 2 2 2" xfId="29277" xr:uid="{00000000-0005-0000-0000-00005D720000}"/>
    <cellStyle name="Normal 380 3 2 3" xfId="29278" xr:uid="{00000000-0005-0000-0000-00005E720000}"/>
    <cellStyle name="Normal 380 3 2 3 2" xfId="29279" xr:uid="{00000000-0005-0000-0000-00005F720000}"/>
    <cellStyle name="Normal 380 3 2 3 2 2" xfId="29280" xr:uid="{00000000-0005-0000-0000-000060720000}"/>
    <cellStyle name="Normal 380 3 2 3 3" xfId="29281" xr:uid="{00000000-0005-0000-0000-000061720000}"/>
    <cellStyle name="Normal 380 3 2 4" xfId="29282" xr:uid="{00000000-0005-0000-0000-000062720000}"/>
    <cellStyle name="Normal 380 3 3" xfId="29283" xr:uid="{00000000-0005-0000-0000-000063720000}"/>
    <cellStyle name="Normal 380 3 3 2" xfId="29284" xr:uid="{00000000-0005-0000-0000-000064720000}"/>
    <cellStyle name="Normal 380 3 3 2 2" xfId="29285" xr:uid="{00000000-0005-0000-0000-000065720000}"/>
    <cellStyle name="Normal 380 3 3 3" xfId="29286" xr:uid="{00000000-0005-0000-0000-000066720000}"/>
    <cellStyle name="Normal 380 3 4" xfId="29287" xr:uid="{00000000-0005-0000-0000-000067720000}"/>
    <cellStyle name="Normal 380 3 4 2" xfId="29288" xr:uid="{00000000-0005-0000-0000-000068720000}"/>
    <cellStyle name="Normal 380 3 4 2 2" xfId="29289" xr:uid="{00000000-0005-0000-0000-000069720000}"/>
    <cellStyle name="Normal 380 3 4 3" xfId="29290" xr:uid="{00000000-0005-0000-0000-00006A720000}"/>
    <cellStyle name="Normal 380 3 5" xfId="29291" xr:uid="{00000000-0005-0000-0000-00006B720000}"/>
    <cellStyle name="Normal 380 3 5 2" xfId="29292" xr:uid="{00000000-0005-0000-0000-00006C720000}"/>
    <cellStyle name="Normal 380 3 5 2 2" xfId="29293" xr:uid="{00000000-0005-0000-0000-00006D720000}"/>
    <cellStyle name="Normal 380 3 5 3" xfId="29294" xr:uid="{00000000-0005-0000-0000-00006E720000}"/>
    <cellStyle name="Normal 380 3 6" xfId="29295" xr:uid="{00000000-0005-0000-0000-00006F720000}"/>
    <cellStyle name="Normal 380 4" xfId="29296" xr:uid="{00000000-0005-0000-0000-000070720000}"/>
    <cellStyle name="Normal 380 4 2" xfId="29297" xr:uid="{00000000-0005-0000-0000-000071720000}"/>
    <cellStyle name="Normal 380 4 2 2" xfId="29298" xr:uid="{00000000-0005-0000-0000-000072720000}"/>
    <cellStyle name="Normal 380 4 3" xfId="29299" xr:uid="{00000000-0005-0000-0000-000073720000}"/>
    <cellStyle name="Normal 380 5" xfId="29300" xr:uid="{00000000-0005-0000-0000-000074720000}"/>
    <cellStyle name="Normal 380 5 2" xfId="29301" xr:uid="{00000000-0005-0000-0000-000075720000}"/>
    <cellStyle name="Normal 380 5 2 2" xfId="29302" xr:uid="{00000000-0005-0000-0000-000076720000}"/>
    <cellStyle name="Normal 380 5 3" xfId="29303" xr:uid="{00000000-0005-0000-0000-000077720000}"/>
    <cellStyle name="Normal 380 6" xfId="29304" xr:uid="{00000000-0005-0000-0000-000078720000}"/>
    <cellStyle name="Normal 380 6 2" xfId="29305" xr:uid="{00000000-0005-0000-0000-000079720000}"/>
    <cellStyle name="Normal 380 6 2 2" xfId="29306" xr:uid="{00000000-0005-0000-0000-00007A720000}"/>
    <cellStyle name="Normal 380 6 3" xfId="29307" xr:uid="{00000000-0005-0000-0000-00007B720000}"/>
    <cellStyle name="Normal 380 7" xfId="29308" xr:uid="{00000000-0005-0000-0000-00007C720000}"/>
    <cellStyle name="Normal 381" xfId="29309" xr:uid="{00000000-0005-0000-0000-00007D720000}"/>
    <cellStyle name="Normal 381 2" xfId="29310" xr:uid="{00000000-0005-0000-0000-00007E720000}"/>
    <cellStyle name="Normal 381 2 2" xfId="29311" xr:uid="{00000000-0005-0000-0000-00007F720000}"/>
    <cellStyle name="Normal 381 2 2 2" xfId="29312" xr:uid="{00000000-0005-0000-0000-000080720000}"/>
    <cellStyle name="Normal 381 2 3" xfId="29313" xr:uid="{00000000-0005-0000-0000-000081720000}"/>
    <cellStyle name="Normal 381 2 3 2" xfId="29314" xr:uid="{00000000-0005-0000-0000-000082720000}"/>
    <cellStyle name="Normal 381 2 3 2 2" xfId="29315" xr:uid="{00000000-0005-0000-0000-000083720000}"/>
    <cellStyle name="Normal 381 2 3 3" xfId="29316" xr:uid="{00000000-0005-0000-0000-000084720000}"/>
    <cellStyle name="Normal 381 2 4" xfId="29317" xr:uid="{00000000-0005-0000-0000-000085720000}"/>
    <cellStyle name="Normal 381 2 4 2" xfId="29318" xr:uid="{00000000-0005-0000-0000-000086720000}"/>
    <cellStyle name="Normal 381 2 4 2 2" xfId="29319" xr:uid="{00000000-0005-0000-0000-000087720000}"/>
    <cellStyle name="Normal 381 2 4 3" xfId="29320" xr:uid="{00000000-0005-0000-0000-000088720000}"/>
    <cellStyle name="Normal 381 2 5" xfId="29321" xr:uid="{00000000-0005-0000-0000-000089720000}"/>
    <cellStyle name="Normal 381 3" xfId="29322" xr:uid="{00000000-0005-0000-0000-00008A720000}"/>
    <cellStyle name="Normal 381 3 2" xfId="29323" xr:uid="{00000000-0005-0000-0000-00008B720000}"/>
    <cellStyle name="Normal 381 3 2 2" xfId="29324" xr:uid="{00000000-0005-0000-0000-00008C720000}"/>
    <cellStyle name="Normal 381 3 2 2 2" xfId="29325" xr:uid="{00000000-0005-0000-0000-00008D720000}"/>
    <cellStyle name="Normal 381 3 2 3" xfId="29326" xr:uid="{00000000-0005-0000-0000-00008E720000}"/>
    <cellStyle name="Normal 381 3 2 3 2" xfId="29327" xr:uid="{00000000-0005-0000-0000-00008F720000}"/>
    <cellStyle name="Normal 381 3 2 3 2 2" xfId="29328" xr:uid="{00000000-0005-0000-0000-000090720000}"/>
    <cellStyle name="Normal 381 3 2 3 3" xfId="29329" xr:uid="{00000000-0005-0000-0000-000091720000}"/>
    <cellStyle name="Normal 381 3 2 4" xfId="29330" xr:uid="{00000000-0005-0000-0000-000092720000}"/>
    <cellStyle name="Normal 381 3 3" xfId="29331" xr:uid="{00000000-0005-0000-0000-000093720000}"/>
    <cellStyle name="Normal 381 3 3 2" xfId="29332" xr:uid="{00000000-0005-0000-0000-000094720000}"/>
    <cellStyle name="Normal 381 3 3 2 2" xfId="29333" xr:uid="{00000000-0005-0000-0000-000095720000}"/>
    <cellStyle name="Normal 381 3 3 3" xfId="29334" xr:uid="{00000000-0005-0000-0000-000096720000}"/>
    <cellStyle name="Normal 381 3 4" xfId="29335" xr:uid="{00000000-0005-0000-0000-000097720000}"/>
    <cellStyle name="Normal 381 3 4 2" xfId="29336" xr:uid="{00000000-0005-0000-0000-000098720000}"/>
    <cellStyle name="Normal 381 3 4 2 2" xfId="29337" xr:uid="{00000000-0005-0000-0000-000099720000}"/>
    <cellStyle name="Normal 381 3 4 3" xfId="29338" xr:uid="{00000000-0005-0000-0000-00009A720000}"/>
    <cellStyle name="Normal 381 3 5" xfId="29339" xr:uid="{00000000-0005-0000-0000-00009B720000}"/>
    <cellStyle name="Normal 381 3 5 2" xfId="29340" xr:uid="{00000000-0005-0000-0000-00009C720000}"/>
    <cellStyle name="Normal 381 3 5 2 2" xfId="29341" xr:uid="{00000000-0005-0000-0000-00009D720000}"/>
    <cellStyle name="Normal 381 3 5 3" xfId="29342" xr:uid="{00000000-0005-0000-0000-00009E720000}"/>
    <cellStyle name="Normal 381 3 6" xfId="29343" xr:uid="{00000000-0005-0000-0000-00009F720000}"/>
    <cellStyle name="Normal 381 4" xfId="29344" xr:uid="{00000000-0005-0000-0000-0000A0720000}"/>
    <cellStyle name="Normal 381 4 2" xfId="29345" xr:uid="{00000000-0005-0000-0000-0000A1720000}"/>
    <cellStyle name="Normal 381 4 2 2" xfId="29346" xr:uid="{00000000-0005-0000-0000-0000A2720000}"/>
    <cellStyle name="Normal 381 4 3" xfId="29347" xr:uid="{00000000-0005-0000-0000-0000A3720000}"/>
    <cellStyle name="Normal 381 5" xfId="29348" xr:uid="{00000000-0005-0000-0000-0000A4720000}"/>
    <cellStyle name="Normal 381 5 2" xfId="29349" xr:uid="{00000000-0005-0000-0000-0000A5720000}"/>
    <cellStyle name="Normal 381 5 2 2" xfId="29350" xr:uid="{00000000-0005-0000-0000-0000A6720000}"/>
    <cellStyle name="Normal 381 5 3" xfId="29351" xr:uid="{00000000-0005-0000-0000-0000A7720000}"/>
    <cellStyle name="Normal 381 6" xfId="29352" xr:uid="{00000000-0005-0000-0000-0000A8720000}"/>
    <cellStyle name="Normal 381 6 2" xfId="29353" xr:uid="{00000000-0005-0000-0000-0000A9720000}"/>
    <cellStyle name="Normal 381 6 2 2" xfId="29354" xr:uid="{00000000-0005-0000-0000-0000AA720000}"/>
    <cellStyle name="Normal 381 6 3" xfId="29355" xr:uid="{00000000-0005-0000-0000-0000AB720000}"/>
    <cellStyle name="Normal 381 7" xfId="29356" xr:uid="{00000000-0005-0000-0000-0000AC720000}"/>
    <cellStyle name="Normal 382" xfId="29357" xr:uid="{00000000-0005-0000-0000-0000AD720000}"/>
    <cellStyle name="Normal 382 2" xfId="29358" xr:uid="{00000000-0005-0000-0000-0000AE720000}"/>
    <cellStyle name="Normal 382 2 2" xfId="29359" xr:uid="{00000000-0005-0000-0000-0000AF720000}"/>
    <cellStyle name="Normal 382 2 2 2" xfId="29360" xr:uid="{00000000-0005-0000-0000-0000B0720000}"/>
    <cellStyle name="Normal 382 2 3" xfId="29361" xr:uid="{00000000-0005-0000-0000-0000B1720000}"/>
    <cellStyle name="Normal 382 2 3 2" xfId="29362" xr:uid="{00000000-0005-0000-0000-0000B2720000}"/>
    <cellStyle name="Normal 382 2 3 2 2" xfId="29363" xr:uid="{00000000-0005-0000-0000-0000B3720000}"/>
    <cellStyle name="Normal 382 2 3 3" xfId="29364" xr:uid="{00000000-0005-0000-0000-0000B4720000}"/>
    <cellStyle name="Normal 382 2 4" xfId="29365" xr:uid="{00000000-0005-0000-0000-0000B5720000}"/>
    <cellStyle name="Normal 382 2 4 2" xfId="29366" xr:uid="{00000000-0005-0000-0000-0000B6720000}"/>
    <cellStyle name="Normal 382 2 4 2 2" xfId="29367" xr:uid="{00000000-0005-0000-0000-0000B7720000}"/>
    <cellStyle name="Normal 382 2 4 3" xfId="29368" xr:uid="{00000000-0005-0000-0000-0000B8720000}"/>
    <cellStyle name="Normal 382 2 5" xfId="29369" xr:uid="{00000000-0005-0000-0000-0000B9720000}"/>
    <cellStyle name="Normal 382 3" xfId="29370" xr:uid="{00000000-0005-0000-0000-0000BA720000}"/>
    <cellStyle name="Normal 382 3 2" xfId="29371" xr:uid="{00000000-0005-0000-0000-0000BB720000}"/>
    <cellStyle name="Normal 382 3 2 2" xfId="29372" xr:uid="{00000000-0005-0000-0000-0000BC720000}"/>
    <cellStyle name="Normal 382 3 2 2 2" xfId="29373" xr:uid="{00000000-0005-0000-0000-0000BD720000}"/>
    <cellStyle name="Normal 382 3 2 3" xfId="29374" xr:uid="{00000000-0005-0000-0000-0000BE720000}"/>
    <cellStyle name="Normal 382 3 2 3 2" xfId="29375" xr:uid="{00000000-0005-0000-0000-0000BF720000}"/>
    <cellStyle name="Normal 382 3 2 3 2 2" xfId="29376" xr:uid="{00000000-0005-0000-0000-0000C0720000}"/>
    <cellStyle name="Normal 382 3 2 3 3" xfId="29377" xr:uid="{00000000-0005-0000-0000-0000C1720000}"/>
    <cellStyle name="Normal 382 3 2 4" xfId="29378" xr:uid="{00000000-0005-0000-0000-0000C2720000}"/>
    <cellStyle name="Normal 382 3 3" xfId="29379" xr:uid="{00000000-0005-0000-0000-0000C3720000}"/>
    <cellStyle name="Normal 382 3 3 2" xfId="29380" xr:uid="{00000000-0005-0000-0000-0000C4720000}"/>
    <cellStyle name="Normal 382 3 3 2 2" xfId="29381" xr:uid="{00000000-0005-0000-0000-0000C5720000}"/>
    <cellStyle name="Normal 382 3 3 3" xfId="29382" xr:uid="{00000000-0005-0000-0000-0000C6720000}"/>
    <cellStyle name="Normal 382 3 4" xfId="29383" xr:uid="{00000000-0005-0000-0000-0000C7720000}"/>
    <cellStyle name="Normal 382 3 4 2" xfId="29384" xr:uid="{00000000-0005-0000-0000-0000C8720000}"/>
    <cellStyle name="Normal 382 3 4 2 2" xfId="29385" xr:uid="{00000000-0005-0000-0000-0000C9720000}"/>
    <cellStyle name="Normal 382 3 4 3" xfId="29386" xr:uid="{00000000-0005-0000-0000-0000CA720000}"/>
    <cellStyle name="Normal 382 3 5" xfId="29387" xr:uid="{00000000-0005-0000-0000-0000CB720000}"/>
    <cellStyle name="Normal 382 3 5 2" xfId="29388" xr:uid="{00000000-0005-0000-0000-0000CC720000}"/>
    <cellStyle name="Normal 382 3 5 2 2" xfId="29389" xr:uid="{00000000-0005-0000-0000-0000CD720000}"/>
    <cellStyle name="Normal 382 3 5 3" xfId="29390" xr:uid="{00000000-0005-0000-0000-0000CE720000}"/>
    <cellStyle name="Normal 382 3 6" xfId="29391" xr:uid="{00000000-0005-0000-0000-0000CF720000}"/>
    <cellStyle name="Normal 382 4" xfId="29392" xr:uid="{00000000-0005-0000-0000-0000D0720000}"/>
    <cellStyle name="Normal 382 4 2" xfId="29393" xr:uid="{00000000-0005-0000-0000-0000D1720000}"/>
    <cellStyle name="Normal 382 4 2 2" xfId="29394" xr:uid="{00000000-0005-0000-0000-0000D2720000}"/>
    <cellStyle name="Normal 382 4 3" xfId="29395" xr:uid="{00000000-0005-0000-0000-0000D3720000}"/>
    <cellStyle name="Normal 382 5" xfId="29396" xr:uid="{00000000-0005-0000-0000-0000D4720000}"/>
    <cellStyle name="Normal 382 5 2" xfId="29397" xr:uid="{00000000-0005-0000-0000-0000D5720000}"/>
    <cellStyle name="Normal 382 5 2 2" xfId="29398" xr:uid="{00000000-0005-0000-0000-0000D6720000}"/>
    <cellStyle name="Normal 382 5 3" xfId="29399" xr:uid="{00000000-0005-0000-0000-0000D7720000}"/>
    <cellStyle name="Normal 382 6" xfId="29400" xr:uid="{00000000-0005-0000-0000-0000D8720000}"/>
    <cellStyle name="Normal 382 6 2" xfId="29401" xr:uid="{00000000-0005-0000-0000-0000D9720000}"/>
    <cellStyle name="Normal 382 6 2 2" xfId="29402" xr:uid="{00000000-0005-0000-0000-0000DA720000}"/>
    <cellStyle name="Normal 382 6 3" xfId="29403" xr:uid="{00000000-0005-0000-0000-0000DB720000}"/>
    <cellStyle name="Normal 382 7" xfId="29404" xr:uid="{00000000-0005-0000-0000-0000DC720000}"/>
    <cellStyle name="Normal 383" xfId="29405" xr:uid="{00000000-0005-0000-0000-0000DD720000}"/>
    <cellStyle name="Normal 383 2" xfId="29406" xr:uid="{00000000-0005-0000-0000-0000DE720000}"/>
    <cellStyle name="Normal 383 2 2" xfId="29407" xr:uid="{00000000-0005-0000-0000-0000DF720000}"/>
    <cellStyle name="Normal 383 2 2 2" xfId="29408" xr:uid="{00000000-0005-0000-0000-0000E0720000}"/>
    <cellStyle name="Normal 383 2 3" xfId="29409" xr:uid="{00000000-0005-0000-0000-0000E1720000}"/>
    <cellStyle name="Normal 383 2 3 2" xfId="29410" xr:uid="{00000000-0005-0000-0000-0000E2720000}"/>
    <cellStyle name="Normal 383 2 3 2 2" xfId="29411" xr:uid="{00000000-0005-0000-0000-0000E3720000}"/>
    <cellStyle name="Normal 383 2 3 3" xfId="29412" xr:uid="{00000000-0005-0000-0000-0000E4720000}"/>
    <cellStyle name="Normal 383 2 4" xfId="29413" xr:uid="{00000000-0005-0000-0000-0000E5720000}"/>
    <cellStyle name="Normal 383 2 4 2" xfId="29414" xr:uid="{00000000-0005-0000-0000-0000E6720000}"/>
    <cellStyle name="Normal 383 2 4 2 2" xfId="29415" xr:uid="{00000000-0005-0000-0000-0000E7720000}"/>
    <cellStyle name="Normal 383 2 4 3" xfId="29416" xr:uid="{00000000-0005-0000-0000-0000E8720000}"/>
    <cellStyle name="Normal 383 2 5" xfId="29417" xr:uid="{00000000-0005-0000-0000-0000E9720000}"/>
    <cellStyle name="Normal 383 3" xfId="29418" xr:uid="{00000000-0005-0000-0000-0000EA720000}"/>
    <cellStyle name="Normal 383 3 2" xfId="29419" xr:uid="{00000000-0005-0000-0000-0000EB720000}"/>
    <cellStyle name="Normal 383 3 2 2" xfId="29420" xr:uid="{00000000-0005-0000-0000-0000EC720000}"/>
    <cellStyle name="Normal 383 3 2 2 2" xfId="29421" xr:uid="{00000000-0005-0000-0000-0000ED720000}"/>
    <cellStyle name="Normal 383 3 2 3" xfId="29422" xr:uid="{00000000-0005-0000-0000-0000EE720000}"/>
    <cellStyle name="Normal 383 3 2 3 2" xfId="29423" xr:uid="{00000000-0005-0000-0000-0000EF720000}"/>
    <cellStyle name="Normal 383 3 2 3 2 2" xfId="29424" xr:uid="{00000000-0005-0000-0000-0000F0720000}"/>
    <cellStyle name="Normal 383 3 2 3 3" xfId="29425" xr:uid="{00000000-0005-0000-0000-0000F1720000}"/>
    <cellStyle name="Normal 383 3 2 4" xfId="29426" xr:uid="{00000000-0005-0000-0000-0000F2720000}"/>
    <cellStyle name="Normal 383 3 3" xfId="29427" xr:uid="{00000000-0005-0000-0000-0000F3720000}"/>
    <cellStyle name="Normal 383 3 3 2" xfId="29428" xr:uid="{00000000-0005-0000-0000-0000F4720000}"/>
    <cellStyle name="Normal 383 3 3 2 2" xfId="29429" xr:uid="{00000000-0005-0000-0000-0000F5720000}"/>
    <cellStyle name="Normal 383 3 3 3" xfId="29430" xr:uid="{00000000-0005-0000-0000-0000F6720000}"/>
    <cellStyle name="Normal 383 3 4" xfId="29431" xr:uid="{00000000-0005-0000-0000-0000F7720000}"/>
    <cellStyle name="Normal 383 3 4 2" xfId="29432" xr:uid="{00000000-0005-0000-0000-0000F8720000}"/>
    <cellStyle name="Normal 383 3 4 2 2" xfId="29433" xr:uid="{00000000-0005-0000-0000-0000F9720000}"/>
    <cellStyle name="Normal 383 3 4 3" xfId="29434" xr:uid="{00000000-0005-0000-0000-0000FA720000}"/>
    <cellStyle name="Normal 383 3 5" xfId="29435" xr:uid="{00000000-0005-0000-0000-0000FB720000}"/>
    <cellStyle name="Normal 383 3 5 2" xfId="29436" xr:uid="{00000000-0005-0000-0000-0000FC720000}"/>
    <cellStyle name="Normal 383 3 5 2 2" xfId="29437" xr:uid="{00000000-0005-0000-0000-0000FD720000}"/>
    <cellStyle name="Normal 383 3 5 3" xfId="29438" xr:uid="{00000000-0005-0000-0000-0000FE720000}"/>
    <cellStyle name="Normal 383 3 6" xfId="29439" xr:uid="{00000000-0005-0000-0000-0000FF720000}"/>
    <cellStyle name="Normal 383 4" xfId="29440" xr:uid="{00000000-0005-0000-0000-000000730000}"/>
    <cellStyle name="Normal 383 4 2" xfId="29441" xr:uid="{00000000-0005-0000-0000-000001730000}"/>
    <cellStyle name="Normal 383 4 2 2" xfId="29442" xr:uid="{00000000-0005-0000-0000-000002730000}"/>
    <cellStyle name="Normal 383 4 3" xfId="29443" xr:uid="{00000000-0005-0000-0000-000003730000}"/>
    <cellStyle name="Normal 383 5" xfId="29444" xr:uid="{00000000-0005-0000-0000-000004730000}"/>
    <cellStyle name="Normal 383 5 2" xfId="29445" xr:uid="{00000000-0005-0000-0000-000005730000}"/>
    <cellStyle name="Normal 383 5 2 2" xfId="29446" xr:uid="{00000000-0005-0000-0000-000006730000}"/>
    <cellStyle name="Normal 383 5 3" xfId="29447" xr:uid="{00000000-0005-0000-0000-000007730000}"/>
    <cellStyle name="Normal 383 6" xfId="29448" xr:uid="{00000000-0005-0000-0000-000008730000}"/>
    <cellStyle name="Normal 383 6 2" xfId="29449" xr:uid="{00000000-0005-0000-0000-000009730000}"/>
    <cellStyle name="Normal 383 6 2 2" xfId="29450" xr:uid="{00000000-0005-0000-0000-00000A730000}"/>
    <cellStyle name="Normal 383 6 3" xfId="29451" xr:uid="{00000000-0005-0000-0000-00000B730000}"/>
    <cellStyle name="Normal 383 7" xfId="29452" xr:uid="{00000000-0005-0000-0000-00000C730000}"/>
    <cellStyle name="Normal 384" xfId="29453" xr:uid="{00000000-0005-0000-0000-00000D730000}"/>
    <cellStyle name="Normal 384 2" xfId="29454" xr:uid="{00000000-0005-0000-0000-00000E730000}"/>
    <cellStyle name="Normal 384 2 2" xfId="29455" xr:uid="{00000000-0005-0000-0000-00000F730000}"/>
    <cellStyle name="Normal 384 2 2 2" xfId="29456" xr:uid="{00000000-0005-0000-0000-000010730000}"/>
    <cellStyle name="Normal 384 2 3" xfId="29457" xr:uid="{00000000-0005-0000-0000-000011730000}"/>
    <cellStyle name="Normal 384 2 3 2" xfId="29458" xr:uid="{00000000-0005-0000-0000-000012730000}"/>
    <cellStyle name="Normal 384 2 3 2 2" xfId="29459" xr:uid="{00000000-0005-0000-0000-000013730000}"/>
    <cellStyle name="Normal 384 2 3 3" xfId="29460" xr:uid="{00000000-0005-0000-0000-000014730000}"/>
    <cellStyle name="Normal 384 2 4" xfId="29461" xr:uid="{00000000-0005-0000-0000-000015730000}"/>
    <cellStyle name="Normal 384 2 4 2" xfId="29462" xr:uid="{00000000-0005-0000-0000-000016730000}"/>
    <cellStyle name="Normal 384 2 4 2 2" xfId="29463" xr:uid="{00000000-0005-0000-0000-000017730000}"/>
    <cellStyle name="Normal 384 2 4 3" xfId="29464" xr:uid="{00000000-0005-0000-0000-000018730000}"/>
    <cellStyle name="Normal 384 2 5" xfId="29465" xr:uid="{00000000-0005-0000-0000-000019730000}"/>
    <cellStyle name="Normal 384 3" xfId="29466" xr:uid="{00000000-0005-0000-0000-00001A730000}"/>
    <cellStyle name="Normal 384 3 2" xfId="29467" xr:uid="{00000000-0005-0000-0000-00001B730000}"/>
    <cellStyle name="Normal 384 3 2 2" xfId="29468" xr:uid="{00000000-0005-0000-0000-00001C730000}"/>
    <cellStyle name="Normal 384 3 2 2 2" xfId="29469" xr:uid="{00000000-0005-0000-0000-00001D730000}"/>
    <cellStyle name="Normal 384 3 2 3" xfId="29470" xr:uid="{00000000-0005-0000-0000-00001E730000}"/>
    <cellStyle name="Normal 384 3 2 3 2" xfId="29471" xr:uid="{00000000-0005-0000-0000-00001F730000}"/>
    <cellStyle name="Normal 384 3 2 3 2 2" xfId="29472" xr:uid="{00000000-0005-0000-0000-000020730000}"/>
    <cellStyle name="Normal 384 3 2 3 3" xfId="29473" xr:uid="{00000000-0005-0000-0000-000021730000}"/>
    <cellStyle name="Normal 384 3 2 4" xfId="29474" xr:uid="{00000000-0005-0000-0000-000022730000}"/>
    <cellStyle name="Normal 384 3 3" xfId="29475" xr:uid="{00000000-0005-0000-0000-000023730000}"/>
    <cellStyle name="Normal 384 3 3 2" xfId="29476" xr:uid="{00000000-0005-0000-0000-000024730000}"/>
    <cellStyle name="Normal 384 3 3 2 2" xfId="29477" xr:uid="{00000000-0005-0000-0000-000025730000}"/>
    <cellStyle name="Normal 384 3 3 3" xfId="29478" xr:uid="{00000000-0005-0000-0000-000026730000}"/>
    <cellStyle name="Normal 384 3 4" xfId="29479" xr:uid="{00000000-0005-0000-0000-000027730000}"/>
    <cellStyle name="Normal 384 3 4 2" xfId="29480" xr:uid="{00000000-0005-0000-0000-000028730000}"/>
    <cellStyle name="Normal 384 3 4 2 2" xfId="29481" xr:uid="{00000000-0005-0000-0000-000029730000}"/>
    <cellStyle name="Normal 384 3 4 3" xfId="29482" xr:uid="{00000000-0005-0000-0000-00002A730000}"/>
    <cellStyle name="Normal 384 3 5" xfId="29483" xr:uid="{00000000-0005-0000-0000-00002B730000}"/>
    <cellStyle name="Normal 384 3 5 2" xfId="29484" xr:uid="{00000000-0005-0000-0000-00002C730000}"/>
    <cellStyle name="Normal 384 3 5 2 2" xfId="29485" xr:uid="{00000000-0005-0000-0000-00002D730000}"/>
    <cellStyle name="Normal 384 3 5 3" xfId="29486" xr:uid="{00000000-0005-0000-0000-00002E730000}"/>
    <cellStyle name="Normal 384 3 6" xfId="29487" xr:uid="{00000000-0005-0000-0000-00002F730000}"/>
    <cellStyle name="Normal 384 4" xfId="29488" xr:uid="{00000000-0005-0000-0000-000030730000}"/>
    <cellStyle name="Normal 384 4 2" xfId="29489" xr:uid="{00000000-0005-0000-0000-000031730000}"/>
    <cellStyle name="Normal 384 4 2 2" xfId="29490" xr:uid="{00000000-0005-0000-0000-000032730000}"/>
    <cellStyle name="Normal 384 4 3" xfId="29491" xr:uid="{00000000-0005-0000-0000-000033730000}"/>
    <cellStyle name="Normal 384 5" xfId="29492" xr:uid="{00000000-0005-0000-0000-000034730000}"/>
    <cellStyle name="Normal 384 5 2" xfId="29493" xr:uid="{00000000-0005-0000-0000-000035730000}"/>
    <cellStyle name="Normal 384 5 2 2" xfId="29494" xr:uid="{00000000-0005-0000-0000-000036730000}"/>
    <cellStyle name="Normal 384 5 3" xfId="29495" xr:uid="{00000000-0005-0000-0000-000037730000}"/>
    <cellStyle name="Normal 384 6" xfId="29496" xr:uid="{00000000-0005-0000-0000-000038730000}"/>
    <cellStyle name="Normal 384 6 2" xfId="29497" xr:uid="{00000000-0005-0000-0000-000039730000}"/>
    <cellStyle name="Normal 384 6 2 2" xfId="29498" xr:uid="{00000000-0005-0000-0000-00003A730000}"/>
    <cellStyle name="Normal 384 6 3" xfId="29499" xr:uid="{00000000-0005-0000-0000-00003B730000}"/>
    <cellStyle name="Normal 384 7" xfId="29500" xr:uid="{00000000-0005-0000-0000-00003C730000}"/>
    <cellStyle name="Normal 385" xfId="29501" xr:uid="{00000000-0005-0000-0000-00003D730000}"/>
    <cellStyle name="Normal 385 2" xfId="29502" xr:uid="{00000000-0005-0000-0000-00003E730000}"/>
    <cellStyle name="Normal 385 2 2" xfId="29503" xr:uid="{00000000-0005-0000-0000-00003F730000}"/>
    <cellStyle name="Normal 385 2 2 2" xfId="29504" xr:uid="{00000000-0005-0000-0000-000040730000}"/>
    <cellStyle name="Normal 385 2 3" xfId="29505" xr:uid="{00000000-0005-0000-0000-000041730000}"/>
    <cellStyle name="Normal 385 2 3 2" xfId="29506" xr:uid="{00000000-0005-0000-0000-000042730000}"/>
    <cellStyle name="Normal 385 2 3 2 2" xfId="29507" xr:uid="{00000000-0005-0000-0000-000043730000}"/>
    <cellStyle name="Normal 385 2 3 3" xfId="29508" xr:uid="{00000000-0005-0000-0000-000044730000}"/>
    <cellStyle name="Normal 385 2 4" xfId="29509" xr:uid="{00000000-0005-0000-0000-000045730000}"/>
    <cellStyle name="Normal 385 2 4 2" xfId="29510" xr:uid="{00000000-0005-0000-0000-000046730000}"/>
    <cellStyle name="Normal 385 2 4 2 2" xfId="29511" xr:uid="{00000000-0005-0000-0000-000047730000}"/>
    <cellStyle name="Normal 385 2 4 3" xfId="29512" xr:uid="{00000000-0005-0000-0000-000048730000}"/>
    <cellStyle name="Normal 385 2 5" xfId="29513" xr:uid="{00000000-0005-0000-0000-000049730000}"/>
    <cellStyle name="Normal 385 3" xfId="29514" xr:uid="{00000000-0005-0000-0000-00004A730000}"/>
    <cellStyle name="Normal 385 3 2" xfId="29515" xr:uid="{00000000-0005-0000-0000-00004B730000}"/>
    <cellStyle name="Normal 385 3 2 2" xfId="29516" xr:uid="{00000000-0005-0000-0000-00004C730000}"/>
    <cellStyle name="Normal 385 3 2 2 2" xfId="29517" xr:uid="{00000000-0005-0000-0000-00004D730000}"/>
    <cellStyle name="Normal 385 3 2 3" xfId="29518" xr:uid="{00000000-0005-0000-0000-00004E730000}"/>
    <cellStyle name="Normal 385 3 2 3 2" xfId="29519" xr:uid="{00000000-0005-0000-0000-00004F730000}"/>
    <cellStyle name="Normal 385 3 2 3 2 2" xfId="29520" xr:uid="{00000000-0005-0000-0000-000050730000}"/>
    <cellStyle name="Normal 385 3 2 3 3" xfId="29521" xr:uid="{00000000-0005-0000-0000-000051730000}"/>
    <cellStyle name="Normal 385 3 2 4" xfId="29522" xr:uid="{00000000-0005-0000-0000-000052730000}"/>
    <cellStyle name="Normal 385 3 3" xfId="29523" xr:uid="{00000000-0005-0000-0000-000053730000}"/>
    <cellStyle name="Normal 385 3 3 2" xfId="29524" xr:uid="{00000000-0005-0000-0000-000054730000}"/>
    <cellStyle name="Normal 385 3 3 2 2" xfId="29525" xr:uid="{00000000-0005-0000-0000-000055730000}"/>
    <cellStyle name="Normal 385 3 3 3" xfId="29526" xr:uid="{00000000-0005-0000-0000-000056730000}"/>
    <cellStyle name="Normal 385 3 4" xfId="29527" xr:uid="{00000000-0005-0000-0000-000057730000}"/>
    <cellStyle name="Normal 385 3 4 2" xfId="29528" xr:uid="{00000000-0005-0000-0000-000058730000}"/>
    <cellStyle name="Normal 385 3 4 2 2" xfId="29529" xr:uid="{00000000-0005-0000-0000-000059730000}"/>
    <cellStyle name="Normal 385 3 4 3" xfId="29530" xr:uid="{00000000-0005-0000-0000-00005A730000}"/>
    <cellStyle name="Normal 385 3 5" xfId="29531" xr:uid="{00000000-0005-0000-0000-00005B730000}"/>
    <cellStyle name="Normal 385 3 5 2" xfId="29532" xr:uid="{00000000-0005-0000-0000-00005C730000}"/>
    <cellStyle name="Normal 385 3 5 2 2" xfId="29533" xr:uid="{00000000-0005-0000-0000-00005D730000}"/>
    <cellStyle name="Normal 385 3 5 3" xfId="29534" xr:uid="{00000000-0005-0000-0000-00005E730000}"/>
    <cellStyle name="Normal 385 3 6" xfId="29535" xr:uid="{00000000-0005-0000-0000-00005F730000}"/>
    <cellStyle name="Normal 385 4" xfId="29536" xr:uid="{00000000-0005-0000-0000-000060730000}"/>
    <cellStyle name="Normal 385 4 2" xfId="29537" xr:uid="{00000000-0005-0000-0000-000061730000}"/>
    <cellStyle name="Normal 385 4 2 2" xfId="29538" xr:uid="{00000000-0005-0000-0000-000062730000}"/>
    <cellStyle name="Normal 385 4 3" xfId="29539" xr:uid="{00000000-0005-0000-0000-000063730000}"/>
    <cellStyle name="Normal 385 5" xfId="29540" xr:uid="{00000000-0005-0000-0000-000064730000}"/>
    <cellStyle name="Normal 385 5 2" xfId="29541" xr:uid="{00000000-0005-0000-0000-000065730000}"/>
    <cellStyle name="Normal 385 5 2 2" xfId="29542" xr:uid="{00000000-0005-0000-0000-000066730000}"/>
    <cellStyle name="Normal 385 5 3" xfId="29543" xr:uid="{00000000-0005-0000-0000-000067730000}"/>
    <cellStyle name="Normal 385 6" xfId="29544" xr:uid="{00000000-0005-0000-0000-000068730000}"/>
    <cellStyle name="Normal 385 6 2" xfId="29545" xr:uid="{00000000-0005-0000-0000-000069730000}"/>
    <cellStyle name="Normal 385 6 2 2" xfId="29546" xr:uid="{00000000-0005-0000-0000-00006A730000}"/>
    <cellStyle name="Normal 385 6 3" xfId="29547" xr:uid="{00000000-0005-0000-0000-00006B730000}"/>
    <cellStyle name="Normal 385 7" xfId="29548" xr:uid="{00000000-0005-0000-0000-00006C730000}"/>
    <cellStyle name="Normal 386" xfId="29549" xr:uid="{00000000-0005-0000-0000-00006D730000}"/>
    <cellStyle name="Normal 386 2" xfId="29550" xr:uid="{00000000-0005-0000-0000-00006E730000}"/>
    <cellStyle name="Normal 386 2 2" xfId="29551" xr:uid="{00000000-0005-0000-0000-00006F730000}"/>
    <cellStyle name="Normal 386 2 2 2" xfId="29552" xr:uid="{00000000-0005-0000-0000-000070730000}"/>
    <cellStyle name="Normal 386 2 3" xfId="29553" xr:uid="{00000000-0005-0000-0000-000071730000}"/>
    <cellStyle name="Normal 386 2 3 2" xfId="29554" xr:uid="{00000000-0005-0000-0000-000072730000}"/>
    <cellStyle name="Normal 386 2 3 2 2" xfId="29555" xr:uid="{00000000-0005-0000-0000-000073730000}"/>
    <cellStyle name="Normal 386 2 3 3" xfId="29556" xr:uid="{00000000-0005-0000-0000-000074730000}"/>
    <cellStyle name="Normal 386 2 4" xfId="29557" xr:uid="{00000000-0005-0000-0000-000075730000}"/>
    <cellStyle name="Normal 386 2 4 2" xfId="29558" xr:uid="{00000000-0005-0000-0000-000076730000}"/>
    <cellStyle name="Normal 386 2 4 2 2" xfId="29559" xr:uid="{00000000-0005-0000-0000-000077730000}"/>
    <cellStyle name="Normal 386 2 4 3" xfId="29560" xr:uid="{00000000-0005-0000-0000-000078730000}"/>
    <cellStyle name="Normal 386 2 5" xfId="29561" xr:uid="{00000000-0005-0000-0000-000079730000}"/>
    <cellStyle name="Normal 386 3" xfId="29562" xr:uid="{00000000-0005-0000-0000-00007A730000}"/>
    <cellStyle name="Normal 386 3 2" xfId="29563" xr:uid="{00000000-0005-0000-0000-00007B730000}"/>
    <cellStyle name="Normal 386 3 2 2" xfId="29564" xr:uid="{00000000-0005-0000-0000-00007C730000}"/>
    <cellStyle name="Normal 386 3 2 2 2" xfId="29565" xr:uid="{00000000-0005-0000-0000-00007D730000}"/>
    <cellStyle name="Normal 386 3 2 3" xfId="29566" xr:uid="{00000000-0005-0000-0000-00007E730000}"/>
    <cellStyle name="Normal 386 3 2 3 2" xfId="29567" xr:uid="{00000000-0005-0000-0000-00007F730000}"/>
    <cellStyle name="Normal 386 3 2 3 2 2" xfId="29568" xr:uid="{00000000-0005-0000-0000-000080730000}"/>
    <cellStyle name="Normal 386 3 2 3 3" xfId="29569" xr:uid="{00000000-0005-0000-0000-000081730000}"/>
    <cellStyle name="Normal 386 3 2 4" xfId="29570" xr:uid="{00000000-0005-0000-0000-000082730000}"/>
    <cellStyle name="Normal 386 3 3" xfId="29571" xr:uid="{00000000-0005-0000-0000-000083730000}"/>
    <cellStyle name="Normal 386 3 3 2" xfId="29572" xr:uid="{00000000-0005-0000-0000-000084730000}"/>
    <cellStyle name="Normal 386 3 3 2 2" xfId="29573" xr:uid="{00000000-0005-0000-0000-000085730000}"/>
    <cellStyle name="Normal 386 3 3 3" xfId="29574" xr:uid="{00000000-0005-0000-0000-000086730000}"/>
    <cellStyle name="Normal 386 3 4" xfId="29575" xr:uid="{00000000-0005-0000-0000-000087730000}"/>
    <cellStyle name="Normal 386 3 4 2" xfId="29576" xr:uid="{00000000-0005-0000-0000-000088730000}"/>
    <cellStyle name="Normal 386 3 4 2 2" xfId="29577" xr:uid="{00000000-0005-0000-0000-000089730000}"/>
    <cellStyle name="Normal 386 3 4 3" xfId="29578" xr:uid="{00000000-0005-0000-0000-00008A730000}"/>
    <cellStyle name="Normal 386 3 5" xfId="29579" xr:uid="{00000000-0005-0000-0000-00008B730000}"/>
    <cellStyle name="Normal 386 3 5 2" xfId="29580" xr:uid="{00000000-0005-0000-0000-00008C730000}"/>
    <cellStyle name="Normal 386 3 5 2 2" xfId="29581" xr:uid="{00000000-0005-0000-0000-00008D730000}"/>
    <cellStyle name="Normal 386 3 5 3" xfId="29582" xr:uid="{00000000-0005-0000-0000-00008E730000}"/>
    <cellStyle name="Normal 386 3 6" xfId="29583" xr:uid="{00000000-0005-0000-0000-00008F730000}"/>
    <cellStyle name="Normal 386 4" xfId="29584" xr:uid="{00000000-0005-0000-0000-000090730000}"/>
    <cellStyle name="Normal 386 4 2" xfId="29585" xr:uid="{00000000-0005-0000-0000-000091730000}"/>
    <cellStyle name="Normal 386 4 2 2" xfId="29586" xr:uid="{00000000-0005-0000-0000-000092730000}"/>
    <cellStyle name="Normal 386 4 3" xfId="29587" xr:uid="{00000000-0005-0000-0000-000093730000}"/>
    <cellStyle name="Normal 386 5" xfId="29588" xr:uid="{00000000-0005-0000-0000-000094730000}"/>
    <cellStyle name="Normal 386 5 2" xfId="29589" xr:uid="{00000000-0005-0000-0000-000095730000}"/>
    <cellStyle name="Normal 386 5 2 2" xfId="29590" xr:uid="{00000000-0005-0000-0000-000096730000}"/>
    <cellStyle name="Normal 386 5 3" xfId="29591" xr:uid="{00000000-0005-0000-0000-000097730000}"/>
    <cellStyle name="Normal 386 6" xfId="29592" xr:uid="{00000000-0005-0000-0000-000098730000}"/>
    <cellStyle name="Normal 386 6 2" xfId="29593" xr:uid="{00000000-0005-0000-0000-000099730000}"/>
    <cellStyle name="Normal 386 6 2 2" xfId="29594" xr:uid="{00000000-0005-0000-0000-00009A730000}"/>
    <cellStyle name="Normal 386 6 3" xfId="29595" xr:uid="{00000000-0005-0000-0000-00009B730000}"/>
    <cellStyle name="Normal 386 7" xfId="29596" xr:uid="{00000000-0005-0000-0000-00009C730000}"/>
    <cellStyle name="Normal 387" xfId="29597" xr:uid="{00000000-0005-0000-0000-00009D730000}"/>
    <cellStyle name="Normal 387 2" xfId="29598" xr:uid="{00000000-0005-0000-0000-00009E730000}"/>
    <cellStyle name="Normal 387 2 2" xfId="29599" xr:uid="{00000000-0005-0000-0000-00009F730000}"/>
    <cellStyle name="Normal 387 2 2 2" xfId="29600" xr:uid="{00000000-0005-0000-0000-0000A0730000}"/>
    <cellStyle name="Normal 387 2 3" xfId="29601" xr:uid="{00000000-0005-0000-0000-0000A1730000}"/>
    <cellStyle name="Normal 387 2 3 2" xfId="29602" xr:uid="{00000000-0005-0000-0000-0000A2730000}"/>
    <cellStyle name="Normal 387 2 3 2 2" xfId="29603" xr:uid="{00000000-0005-0000-0000-0000A3730000}"/>
    <cellStyle name="Normal 387 2 3 3" xfId="29604" xr:uid="{00000000-0005-0000-0000-0000A4730000}"/>
    <cellStyle name="Normal 387 2 4" xfId="29605" xr:uid="{00000000-0005-0000-0000-0000A5730000}"/>
    <cellStyle name="Normal 387 2 4 2" xfId="29606" xr:uid="{00000000-0005-0000-0000-0000A6730000}"/>
    <cellStyle name="Normal 387 2 4 2 2" xfId="29607" xr:uid="{00000000-0005-0000-0000-0000A7730000}"/>
    <cellStyle name="Normal 387 2 4 3" xfId="29608" xr:uid="{00000000-0005-0000-0000-0000A8730000}"/>
    <cellStyle name="Normal 387 2 5" xfId="29609" xr:uid="{00000000-0005-0000-0000-0000A9730000}"/>
    <cellStyle name="Normal 387 3" xfId="29610" xr:uid="{00000000-0005-0000-0000-0000AA730000}"/>
    <cellStyle name="Normal 387 3 2" xfId="29611" xr:uid="{00000000-0005-0000-0000-0000AB730000}"/>
    <cellStyle name="Normal 387 3 2 2" xfId="29612" xr:uid="{00000000-0005-0000-0000-0000AC730000}"/>
    <cellStyle name="Normal 387 3 2 2 2" xfId="29613" xr:uid="{00000000-0005-0000-0000-0000AD730000}"/>
    <cellStyle name="Normal 387 3 2 3" xfId="29614" xr:uid="{00000000-0005-0000-0000-0000AE730000}"/>
    <cellStyle name="Normal 387 3 2 3 2" xfId="29615" xr:uid="{00000000-0005-0000-0000-0000AF730000}"/>
    <cellStyle name="Normal 387 3 2 3 2 2" xfId="29616" xr:uid="{00000000-0005-0000-0000-0000B0730000}"/>
    <cellStyle name="Normal 387 3 2 3 3" xfId="29617" xr:uid="{00000000-0005-0000-0000-0000B1730000}"/>
    <cellStyle name="Normal 387 3 2 4" xfId="29618" xr:uid="{00000000-0005-0000-0000-0000B2730000}"/>
    <cellStyle name="Normal 387 3 3" xfId="29619" xr:uid="{00000000-0005-0000-0000-0000B3730000}"/>
    <cellStyle name="Normal 387 3 3 2" xfId="29620" xr:uid="{00000000-0005-0000-0000-0000B4730000}"/>
    <cellStyle name="Normal 387 3 3 2 2" xfId="29621" xr:uid="{00000000-0005-0000-0000-0000B5730000}"/>
    <cellStyle name="Normal 387 3 3 3" xfId="29622" xr:uid="{00000000-0005-0000-0000-0000B6730000}"/>
    <cellStyle name="Normal 387 3 4" xfId="29623" xr:uid="{00000000-0005-0000-0000-0000B7730000}"/>
    <cellStyle name="Normal 387 3 4 2" xfId="29624" xr:uid="{00000000-0005-0000-0000-0000B8730000}"/>
    <cellStyle name="Normal 387 3 4 2 2" xfId="29625" xr:uid="{00000000-0005-0000-0000-0000B9730000}"/>
    <cellStyle name="Normal 387 3 4 3" xfId="29626" xr:uid="{00000000-0005-0000-0000-0000BA730000}"/>
    <cellStyle name="Normal 387 3 5" xfId="29627" xr:uid="{00000000-0005-0000-0000-0000BB730000}"/>
    <cellStyle name="Normal 387 3 5 2" xfId="29628" xr:uid="{00000000-0005-0000-0000-0000BC730000}"/>
    <cellStyle name="Normal 387 3 5 2 2" xfId="29629" xr:uid="{00000000-0005-0000-0000-0000BD730000}"/>
    <cellStyle name="Normal 387 3 5 3" xfId="29630" xr:uid="{00000000-0005-0000-0000-0000BE730000}"/>
    <cellStyle name="Normal 387 3 6" xfId="29631" xr:uid="{00000000-0005-0000-0000-0000BF730000}"/>
    <cellStyle name="Normal 387 4" xfId="29632" xr:uid="{00000000-0005-0000-0000-0000C0730000}"/>
    <cellStyle name="Normal 387 4 2" xfId="29633" xr:uid="{00000000-0005-0000-0000-0000C1730000}"/>
    <cellStyle name="Normal 387 4 2 2" xfId="29634" xr:uid="{00000000-0005-0000-0000-0000C2730000}"/>
    <cellStyle name="Normal 387 4 3" xfId="29635" xr:uid="{00000000-0005-0000-0000-0000C3730000}"/>
    <cellStyle name="Normal 387 5" xfId="29636" xr:uid="{00000000-0005-0000-0000-0000C4730000}"/>
    <cellStyle name="Normal 387 5 2" xfId="29637" xr:uid="{00000000-0005-0000-0000-0000C5730000}"/>
    <cellStyle name="Normal 387 5 2 2" xfId="29638" xr:uid="{00000000-0005-0000-0000-0000C6730000}"/>
    <cellStyle name="Normal 387 5 3" xfId="29639" xr:uid="{00000000-0005-0000-0000-0000C7730000}"/>
    <cellStyle name="Normal 387 6" xfId="29640" xr:uid="{00000000-0005-0000-0000-0000C8730000}"/>
    <cellStyle name="Normal 387 6 2" xfId="29641" xr:uid="{00000000-0005-0000-0000-0000C9730000}"/>
    <cellStyle name="Normal 387 6 2 2" xfId="29642" xr:uid="{00000000-0005-0000-0000-0000CA730000}"/>
    <cellStyle name="Normal 387 6 3" xfId="29643" xr:uid="{00000000-0005-0000-0000-0000CB730000}"/>
    <cellStyle name="Normal 387 7" xfId="29644" xr:uid="{00000000-0005-0000-0000-0000CC730000}"/>
    <cellStyle name="Normal 388" xfId="29645" xr:uid="{00000000-0005-0000-0000-0000CD730000}"/>
    <cellStyle name="Normal 388 2" xfId="29646" xr:uid="{00000000-0005-0000-0000-0000CE730000}"/>
    <cellStyle name="Normal 388 2 2" xfId="29647" xr:uid="{00000000-0005-0000-0000-0000CF730000}"/>
    <cellStyle name="Normal 388 2 2 2" xfId="29648" xr:uid="{00000000-0005-0000-0000-0000D0730000}"/>
    <cellStyle name="Normal 388 2 3" xfId="29649" xr:uid="{00000000-0005-0000-0000-0000D1730000}"/>
    <cellStyle name="Normal 388 2 3 2" xfId="29650" xr:uid="{00000000-0005-0000-0000-0000D2730000}"/>
    <cellStyle name="Normal 388 2 3 2 2" xfId="29651" xr:uid="{00000000-0005-0000-0000-0000D3730000}"/>
    <cellStyle name="Normal 388 2 3 3" xfId="29652" xr:uid="{00000000-0005-0000-0000-0000D4730000}"/>
    <cellStyle name="Normal 388 2 4" xfId="29653" xr:uid="{00000000-0005-0000-0000-0000D5730000}"/>
    <cellStyle name="Normal 388 2 4 2" xfId="29654" xr:uid="{00000000-0005-0000-0000-0000D6730000}"/>
    <cellStyle name="Normal 388 2 4 2 2" xfId="29655" xr:uid="{00000000-0005-0000-0000-0000D7730000}"/>
    <cellStyle name="Normal 388 2 4 3" xfId="29656" xr:uid="{00000000-0005-0000-0000-0000D8730000}"/>
    <cellStyle name="Normal 388 2 5" xfId="29657" xr:uid="{00000000-0005-0000-0000-0000D9730000}"/>
    <cellStyle name="Normal 388 3" xfId="29658" xr:uid="{00000000-0005-0000-0000-0000DA730000}"/>
    <cellStyle name="Normal 388 3 2" xfId="29659" xr:uid="{00000000-0005-0000-0000-0000DB730000}"/>
    <cellStyle name="Normal 388 3 2 2" xfId="29660" xr:uid="{00000000-0005-0000-0000-0000DC730000}"/>
    <cellStyle name="Normal 388 3 2 2 2" xfId="29661" xr:uid="{00000000-0005-0000-0000-0000DD730000}"/>
    <cellStyle name="Normal 388 3 2 3" xfId="29662" xr:uid="{00000000-0005-0000-0000-0000DE730000}"/>
    <cellStyle name="Normal 388 3 2 3 2" xfId="29663" xr:uid="{00000000-0005-0000-0000-0000DF730000}"/>
    <cellStyle name="Normal 388 3 2 3 2 2" xfId="29664" xr:uid="{00000000-0005-0000-0000-0000E0730000}"/>
    <cellStyle name="Normal 388 3 2 3 3" xfId="29665" xr:uid="{00000000-0005-0000-0000-0000E1730000}"/>
    <cellStyle name="Normal 388 3 2 4" xfId="29666" xr:uid="{00000000-0005-0000-0000-0000E2730000}"/>
    <cellStyle name="Normal 388 3 3" xfId="29667" xr:uid="{00000000-0005-0000-0000-0000E3730000}"/>
    <cellStyle name="Normal 388 3 3 2" xfId="29668" xr:uid="{00000000-0005-0000-0000-0000E4730000}"/>
    <cellStyle name="Normal 388 3 3 2 2" xfId="29669" xr:uid="{00000000-0005-0000-0000-0000E5730000}"/>
    <cellStyle name="Normal 388 3 3 3" xfId="29670" xr:uid="{00000000-0005-0000-0000-0000E6730000}"/>
    <cellStyle name="Normal 388 3 4" xfId="29671" xr:uid="{00000000-0005-0000-0000-0000E7730000}"/>
    <cellStyle name="Normal 388 3 4 2" xfId="29672" xr:uid="{00000000-0005-0000-0000-0000E8730000}"/>
    <cellStyle name="Normal 388 3 4 2 2" xfId="29673" xr:uid="{00000000-0005-0000-0000-0000E9730000}"/>
    <cellStyle name="Normal 388 3 4 3" xfId="29674" xr:uid="{00000000-0005-0000-0000-0000EA730000}"/>
    <cellStyle name="Normal 388 3 5" xfId="29675" xr:uid="{00000000-0005-0000-0000-0000EB730000}"/>
    <cellStyle name="Normal 388 3 5 2" xfId="29676" xr:uid="{00000000-0005-0000-0000-0000EC730000}"/>
    <cellStyle name="Normal 388 3 5 2 2" xfId="29677" xr:uid="{00000000-0005-0000-0000-0000ED730000}"/>
    <cellStyle name="Normal 388 3 5 3" xfId="29678" xr:uid="{00000000-0005-0000-0000-0000EE730000}"/>
    <cellStyle name="Normal 388 3 6" xfId="29679" xr:uid="{00000000-0005-0000-0000-0000EF730000}"/>
    <cellStyle name="Normal 388 4" xfId="29680" xr:uid="{00000000-0005-0000-0000-0000F0730000}"/>
    <cellStyle name="Normal 388 4 2" xfId="29681" xr:uid="{00000000-0005-0000-0000-0000F1730000}"/>
    <cellStyle name="Normal 388 4 2 2" xfId="29682" xr:uid="{00000000-0005-0000-0000-0000F2730000}"/>
    <cellStyle name="Normal 388 4 3" xfId="29683" xr:uid="{00000000-0005-0000-0000-0000F3730000}"/>
    <cellStyle name="Normal 388 5" xfId="29684" xr:uid="{00000000-0005-0000-0000-0000F4730000}"/>
    <cellStyle name="Normal 388 5 2" xfId="29685" xr:uid="{00000000-0005-0000-0000-0000F5730000}"/>
    <cellStyle name="Normal 388 5 2 2" xfId="29686" xr:uid="{00000000-0005-0000-0000-0000F6730000}"/>
    <cellStyle name="Normal 388 5 3" xfId="29687" xr:uid="{00000000-0005-0000-0000-0000F7730000}"/>
    <cellStyle name="Normal 388 6" xfId="29688" xr:uid="{00000000-0005-0000-0000-0000F8730000}"/>
    <cellStyle name="Normal 388 6 2" xfId="29689" xr:uid="{00000000-0005-0000-0000-0000F9730000}"/>
    <cellStyle name="Normal 388 6 2 2" xfId="29690" xr:uid="{00000000-0005-0000-0000-0000FA730000}"/>
    <cellStyle name="Normal 388 6 3" xfId="29691" xr:uid="{00000000-0005-0000-0000-0000FB730000}"/>
    <cellStyle name="Normal 388 7" xfId="29692" xr:uid="{00000000-0005-0000-0000-0000FC730000}"/>
    <cellStyle name="Normal 389" xfId="29693" xr:uid="{00000000-0005-0000-0000-0000FD730000}"/>
    <cellStyle name="Normal 389 2" xfId="29694" xr:uid="{00000000-0005-0000-0000-0000FE730000}"/>
    <cellStyle name="Normal 389 2 2" xfId="29695" xr:uid="{00000000-0005-0000-0000-0000FF730000}"/>
    <cellStyle name="Normal 389 2 2 2" xfId="29696" xr:uid="{00000000-0005-0000-0000-000000740000}"/>
    <cellStyle name="Normal 389 2 3" xfId="29697" xr:uid="{00000000-0005-0000-0000-000001740000}"/>
    <cellStyle name="Normal 389 2 3 2" xfId="29698" xr:uid="{00000000-0005-0000-0000-000002740000}"/>
    <cellStyle name="Normal 389 2 3 2 2" xfId="29699" xr:uid="{00000000-0005-0000-0000-000003740000}"/>
    <cellStyle name="Normal 389 2 3 3" xfId="29700" xr:uid="{00000000-0005-0000-0000-000004740000}"/>
    <cellStyle name="Normal 389 2 4" xfId="29701" xr:uid="{00000000-0005-0000-0000-000005740000}"/>
    <cellStyle name="Normal 389 2 4 2" xfId="29702" xr:uid="{00000000-0005-0000-0000-000006740000}"/>
    <cellStyle name="Normal 389 2 4 2 2" xfId="29703" xr:uid="{00000000-0005-0000-0000-000007740000}"/>
    <cellStyle name="Normal 389 2 4 3" xfId="29704" xr:uid="{00000000-0005-0000-0000-000008740000}"/>
    <cellStyle name="Normal 389 2 5" xfId="29705" xr:uid="{00000000-0005-0000-0000-000009740000}"/>
    <cellStyle name="Normal 389 3" xfId="29706" xr:uid="{00000000-0005-0000-0000-00000A740000}"/>
    <cellStyle name="Normal 389 3 2" xfId="29707" xr:uid="{00000000-0005-0000-0000-00000B740000}"/>
    <cellStyle name="Normal 389 3 2 2" xfId="29708" xr:uid="{00000000-0005-0000-0000-00000C740000}"/>
    <cellStyle name="Normal 389 3 2 2 2" xfId="29709" xr:uid="{00000000-0005-0000-0000-00000D740000}"/>
    <cellStyle name="Normal 389 3 2 3" xfId="29710" xr:uid="{00000000-0005-0000-0000-00000E740000}"/>
    <cellStyle name="Normal 389 3 2 3 2" xfId="29711" xr:uid="{00000000-0005-0000-0000-00000F740000}"/>
    <cellStyle name="Normal 389 3 2 3 2 2" xfId="29712" xr:uid="{00000000-0005-0000-0000-000010740000}"/>
    <cellStyle name="Normal 389 3 2 3 3" xfId="29713" xr:uid="{00000000-0005-0000-0000-000011740000}"/>
    <cellStyle name="Normal 389 3 2 4" xfId="29714" xr:uid="{00000000-0005-0000-0000-000012740000}"/>
    <cellStyle name="Normal 389 3 3" xfId="29715" xr:uid="{00000000-0005-0000-0000-000013740000}"/>
    <cellStyle name="Normal 389 3 3 2" xfId="29716" xr:uid="{00000000-0005-0000-0000-000014740000}"/>
    <cellStyle name="Normal 389 3 3 2 2" xfId="29717" xr:uid="{00000000-0005-0000-0000-000015740000}"/>
    <cellStyle name="Normal 389 3 3 3" xfId="29718" xr:uid="{00000000-0005-0000-0000-000016740000}"/>
    <cellStyle name="Normal 389 3 4" xfId="29719" xr:uid="{00000000-0005-0000-0000-000017740000}"/>
    <cellStyle name="Normal 389 3 4 2" xfId="29720" xr:uid="{00000000-0005-0000-0000-000018740000}"/>
    <cellStyle name="Normal 389 3 4 2 2" xfId="29721" xr:uid="{00000000-0005-0000-0000-000019740000}"/>
    <cellStyle name="Normal 389 3 4 3" xfId="29722" xr:uid="{00000000-0005-0000-0000-00001A740000}"/>
    <cellStyle name="Normal 389 3 5" xfId="29723" xr:uid="{00000000-0005-0000-0000-00001B740000}"/>
    <cellStyle name="Normal 389 3 5 2" xfId="29724" xr:uid="{00000000-0005-0000-0000-00001C740000}"/>
    <cellStyle name="Normal 389 3 5 2 2" xfId="29725" xr:uid="{00000000-0005-0000-0000-00001D740000}"/>
    <cellStyle name="Normal 389 3 5 3" xfId="29726" xr:uid="{00000000-0005-0000-0000-00001E740000}"/>
    <cellStyle name="Normal 389 3 6" xfId="29727" xr:uid="{00000000-0005-0000-0000-00001F740000}"/>
    <cellStyle name="Normal 389 4" xfId="29728" xr:uid="{00000000-0005-0000-0000-000020740000}"/>
    <cellStyle name="Normal 389 4 2" xfId="29729" xr:uid="{00000000-0005-0000-0000-000021740000}"/>
    <cellStyle name="Normal 389 4 2 2" xfId="29730" xr:uid="{00000000-0005-0000-0000-000022740000}"/>
    <cellStyle name="Normal 389 4 3" xfId="29731" xr:uid="{00000000-0005-0000-0000-000023740000}"/>
    <cellStyle name="Normal 389 5" xfId="29732" xr:uid="{00000000-0005-0000-0000-000024740000}"/>
    <cellStyle name="Normal 389 5 2" xfId="29733" xr:uid="{00000000-0005-0000-0000-000025740000}"/>
    <cellStyle name="Normal 389 5 2 2" xfId="29734" xr:uid="{00000000-0005-0000-0000-000026740000}"/>
    <cellStyle name="Normal 389 5 3" xfId="29735" xr:uid="{00000000-0005-0000-0000-000027740000}"/>
    <cellStyle name="Normal 389 6" xfId="29736" xr:uid="{00000000-0005-0000-0000-000028740000}"/>
    <cellStyle name="Normal 389 6 2" xfId="29737" xr:uid="{00000000-0005-0000-0000-000029740000}"/>
    <cellStyle name="Normal 389 6 2 2" xfId="29738" xr:uid="{00000000-0005-0000-0000-00002A740000}"/>
    <cellStyle name="Normal 389 6 3" xfId="29739" xr:uid="{00000000-0005-0000-0000-00002B740000}"/>
    <cellStyle name="Normal 389 7" xfId="29740" xr:uid="{00000000-0005-0000-0000-00002C740000}"/>
    <cellStyle name="Normal 39" xfId="29741" xr:uid="{00000000-0005-0000-0000-00002D740000}"/>
    <cellStyle name="Normal 39 2" xfId="29742" xr:uid="{00000000-0005-0000-0000-00002E740000}"/>
    <cellStyle name="Normal 39 2 2" xfId="29743" xr:uid="{00000000-0005-0000-0000-00002F740000}"/>
    <cellStyle name="Normal 39 2 2 2" xfId="29744" xr:uid="{00000000-0005-0000-0000-000030740000}"/>
    <cellStyle name="Normal 39 2 2 2 2" xfId="29745" xr:uid="{00000000-0005-0000-0000-000031740000}"/>
    <cellStyle name="Normal 39 2 2 3" xfId="29746" xr:uid="{00000000-0005-0000-0000-000032740000}"/>
    <cellStyle name="Normal 39 2 2 3 2" xfId="29747" xr:uid="{00000000-0005-0000-0000-000033740000}"/>
    <cellStyle name="Normal 39 2 2 3 2 2" xfId="29748" xr:uid="{00000000-0005-0000-0000-000034740000}"/>
    <cellStyle name="Normal 39 2 2 3 3" xfId="29749" xr:uid="{00000000-0005-0000-0000-000035740000}"/>
    <cellStyle name="Normal 39 2 2 4" xfId="29750" xr:uid="{00000000-0005-0000-0000-000036740000}"/>
    <cellStyle name="Normal 39 2 2 4 2" xfId="29751" xr:uid="{00000000-0005-0000-0000-000037740000}"/>
    <cellStyle name="Normal 39 2 2 4 2 2" xfId="29752" xr:uid="{00000000-0005-0000-0000-000038740000}"/>
    <cellStyle name="Normal 39 2 2 4 3" xfId="29753" xr:uid="{00000000-0005-0000-0000-000039740000}"/>
    <cellStyle name="Normal 39 2 2 5" xfId="29754" xr:uid="{00000000-0005-0000-0000-00003A740000}"/>
    <cellStyle name="Normal 39 2 3" xfId="29755" xr:uid="{00000000-0005-0000-0000-00003B740000}"/>
    <cellStyle name="Normal 39 2 3 2" xfId="29756" xr:uid="{00000000-0005-0000-0000-00003C740000}"/>
    <cellStyle name="Normal 39 2 3 2 2" xfId="29757" xr:uid="{00000000-0005-0000-0000-00003D740000}"/>
    <cellStyle name="Normal 39 2 3 3" xfId="29758" xr:uid="{00000000-0005-0000-0000-00003E740000}"/>
    <cellStyle name="Normal 39 2 4" xfId="29759" xr:uid="{00000000-0005-0000-0000-00003F740000}"/>
    <cellStyle name="Normal 39 2 4 2" xfId="29760" xr:uid="{00000000-0005-0000-0000-000040740000}"/>
    <cellStyle name="Normal 39 2 4 2 2" xfId="29761" xr:uid="{00000000-0005-0000-0000-000041740000}"/>
    <cellStyle name="Normal 39 2 4 3" xfId="29762" xr:uid="{00000000-0005-0000-0000-000042740000}"/>
    <cellStyle name="Normal 39 2 5" xfId="29763" xr:uid="{00000000-0005-0000-0000-000043740000}"/>
    <cellStyle name="Normal 39 2 5 2" xfId="29764" xr:uid="{00000000-0005-0000-0000-000044740000}"/>
    <cellStyle name="Normal 39 2 5 2 2" xfId="29765" xr:uid="{00000000-0005-0000-0000-000045740000}"/>
    <cellStyle name="Normal 39 2 5 3" xfId="29766" xr:uid="{00000000-0005-0000-0000-000046740000}"/>
    <cellStyle name="Normal 39 2 6" xfId="29767" xr:uid="{00000000-0005-0000-0000-000047740000}"/>
    <cellStyle name="Normal 39 3" xfId="29768" xr:uid="{00000000-0005-0000-0000-000048740000}"/>
    <cellStyle name="Normal 39 3 2" xfId="29769" xr:uid="{00000000-0005-0000-0000-000049740000}"/>
    <cellStyle name="Normal 39 3 2 2" xfId="29770" xr:uid="{00000000-0005-0000-0000-00004A740000}"/>
    <cellStyle name="Normal 39 3 3" xfId="29771" xr:uid="{00000000-0005-0000-0000-00004B740000}"/>
    <cellStyle name="Normal 39 3 3 2" xfId="29772" xr:uid="{00000000-0005-0000-0000-00004C740000}"/>
    <cellStyle name="Normal 39 3 3 2 2" xfId="29773" xr:uid="{00000000-0005-0000-0000-00004D740000}"/>
    <cellStyle name="Normal 39 3 3 3" xfId="29774" xr:uid="{00000000-0005-0000-0000-00004E740000}"/>
    <cellStyle name="Normal 39 3 4" xfId="29775" xr:uid="{00000000-0005-0000-0000-00004F740000}"/>
    <cellStyle name="Normal 39 3 4 2" xfId="29776" xr:uid="{00000000-0005-0000-0000-000050740000}"/>
    <cellStyle name="Normal 39 3 4 2 2" xfId="29777" xr:uid="{00000000-0005-0000-0000-000051740000}"/>
    <cellStyle name="Normal 39 3 4 3" xfId="29778" xr:uid="{00000000-0005-0000-0000-000052740000}"/>
    <cellStyle name="Normal 39 3 5" xfId="29779" xr:uid="{00000000-0005-0000-0000-000053740000}"/>
    <cellStyle name="Normal 39 4" xfId="29780" xr:uid="{00000000-0005-0000-0000-000054740000}"/>
    <cellStyle name="Normal 39 4 2" xfId="29781" xr:uid="{00000000-0005-0000-0000-000055740000}"/>
    <cellStyle name="Normal 39 4 2 2" xfId="29782" xr:uid="{00000000-0005-0000-0000-000056740000}"/>
    <cellStyle name="Normal 39 4 3" xfId="29783" xr:uid="{00000000-0005-0000-0000-000057740000}"/>
    <cellStyle name="Normal 39 5" xfId="29784" xr:uid="{00000000-0005-0000-0000-000058740000}"/>
    <cellStyle name="Normal 39 5 2" xfId="29785" xr:uid="{00000000-0005-0000-0000-000059740000}"/>
    <cellStyle name="Normal 39 5 2 2" xfId="29786" xr:uid="{00000000-0005-0000-0000-00005A740000}"/>
    <cellStyle name="Normal 39 5 3" xfId="29787" xr:uid="{00000000-0005-0000-0000-00005B740000}"/>
    <cellStyle name="Normal 39 6" xfId="29788" xr:uid="{00000000-0005-0000-0000-00005C740000}"/>
    <cellStyle name="Normal 39 6 2" xfId="29789" xr:uid="{00000000-0005-0000-0000-00005D740000}"/>
    <cellStyle name="Normal 39 6 2 2" xfId="29790" xr:uid="{00000000-0005-0000-0000-00005E740000}"/>
    <cellStyle name="Normal 39 6 3" xfId="29791" xr:uid="{00000000-0005-0000-0000-00005F740000}"/>
    <cellStyle name="Normal 39 7" xfId="29792" xr:uid="{00000000-0005-0000-0000-000060740000}"/>
    <cellStyle name="Normal 390" xfId="29793" xr:uid="{00000000-0005-0000-0000-000061740000}"/>
    <cellStyle name="Normal 390 2" xfId="29794" xr:uid="{00000000-0005-0000-0000-000062740000}"/>
    <cellStyle name="Normal 390 2 2" xfId="29795" xr:uid="{00000000-0005-0000-0000-000063740000}"/>
    <cellStyle name="Normal 390 2 2 2" xfId="29796" xr:uid="{00000000-0005-0000-0000-000064740000}"/>
    <cellStyle name="Normal 390 2 3" xfId="29797" xr:uid="{00000000-0005-0000-0000-000065740000}"/>
    <cellStyle name="Normal 390 2 3 2" xfId="29798" xr:uid="{00000000-0005-0000-0000-000066740000}"/>
    <cellStyle name="Normal 390 2 3 2 2" xfId="29799" xr:uid="{00000000-0005-0000-0000-000067740000}"/>
    <cellStyle name="Normal 390 2 3 3" xfId="29800" xr:uid="{00000000-0005-0000-0000-000068740000}"/>
    <cellStyle name="Normal 390 2 4" xfId="29801" xr:uid="{00000000-0005-0000-0000-000069740000}"/>
    <cellStyle name="Normal 390 2 4 2" xfId="29802" xr:uid="{00000000-0005-0000-0000-00006A740000}"/>
    <cellStyle name="Normal 390 2 4 2 2" xfId="29803" xr:uid="{00000000-0005-0000-0000-00006B740000}"/>
    <cellStyle name="Normal 390 2 4 3" xfId="29804" xr:uid="{00000000-0005-0000-0000-00006C740000}"/>
    <cellStyle name="Normal 390 2 5" xfId="29805" xr:uid="{00000000-0005-0000-0000-00006D740000}"/>
    <cellStyle name="Normal 390 3" xfId="29806" xr:uid="{00000000-0005-0000-0000-00006E740000}"/>
    <cellStyle name="Normal 390 3 2" xfId="29807" xr:uid="{00000000-0005-0000-0000-00006F740000}"/>
    <cellStyle name="Normal 390 3 2 2" xfId="29808" xr:uid="{00000000-0005-0000-0000-000070740000}"/>
    <cellStyle name="Normal 390 3 2 2 2" xfId="29809" xr:uid="{00000000-0005-0000-0000-000071740000}"/>
    <cellStyle name="Normal 390 3 2 3" xfId="29810" xr:uid="{00000000-0005-0000-0000-000072740000}"/>
    <cellStyle name="Normal 390 3 2 3 2" xfId="29811" xr:uid="{00000000-0005-0000-0000-000073740000}"/>
    <cellStyle name="Normal 390 3 2 3 2 2" xfId="29812" xr:uid="{00000000-0005-0000-0000-000074740000}"/>
    <cellStyle name="Normal 390 3 2 3 3" xfId="29813" xr:uid="{00000000-0005-0000-0000-000075740000}"/>
    <cellStyle name="Normal 390 3 2 4" xfId="29814" xr:uid="{00000000-0005-0000-0000-000076740000}"/>
    <cellStyle name="Normal 390 3 3" xfId="29815" xr:uid="{00000000-0005-0000-0000-000077740000}"/>
    <cellStyle name="Normal 390 3 3 2" xfId="29816" xr:uid="{00000000-0005-0000-0000-000078740000}"/>
    <cellStyle name="Normal 390 3 3 2 2" xfId="29817" xr:uid="{00000000-0005-0000-0000-000079740000}"/>
    <cellStyle name="Normal 390 3 3 3" xfId="29818" xr:uid="{00000000-0005-0000-0000-00007A740000}"/>
    <cellStyle name="Normal 390 3 4" xfId="29819" xr:uid="{00000000-0005-0000-0000-00007B740000}"/>
    <cellStyle name="Normal 390 3 4 2" xfId="29820" xr:uid="{00000000-0005-0000-0000-00007C740000}"/>
    <cellStyle name="Normal 390 3 4 2 2" xfId="29821" xr:uid="{00000000-0005-0000-0000-00007D740000}"/>
    <cellStyle name="Normal 390 3 4 3" xfId="29822" xr:uid="{00000000-0005-0000-0000-00007E740000}"/>
    <cellStyle name="Normal 390 3 5" xfId="29823" xr:uid="{00000000-0005-0000-0000-00007F740000}"/>
    <cellStyle name="Normal 390 3 5 2" xfId="29824" xr:uid="{00000000-0005-0000-0000-000080740000}"/>
    <cellStyle name="Normal 390 3 5 2 2" xfId="29825" xr:uid="{00000000-0005-0000-0000-000081740000}"/>
    <cellStyle name="Normal 390 3 5 3" xfId="29826" xr:uid="{00000000-0005-0000-0000-000082740000}"/>
    <cellStyle name="Normal 390 3 6" xfId="29827" xr:uid="{00000000-0005-0000-0000-000083740000}"/>
    <cellStyle name="Normal 390 4" xfId="29828" xr:uid="{00000000-0005-0000-0000-000084740000}"/>
    <cellStyle name="Normal 390 4 2" xfId="29829" xr:uid="{00000000-0005-0000-0000-000085740000}"/>
    <cellStyle name="Normal 390 4 2 2" xfId="29830" xr:uid="{00000000-0005-0000-0000-000086740000}"/>
    <cellStyle name="Normal 390 4 3" xfId="29831" xr:uid="{00000000-0005-0000-0000-000087740000}"/>
    <cellStyle name="Normal 390 5" xfId="29832" xr:uid="{00000000-0005-0000-0000-000088740000}"/>
    <cellStyle name="Normal 390 5 2" xfId="29833" xr:uid="{00000000-0005-0000-0000-000089740000}"/>
    <cellStyle name="Normal 390 5 2 2" xfId="29834" xr:uid="{00000000-0005-0000-0000-00008A740000}"/>
    <cellStyle name="Normal 390 5 3" xfId="29835" xr:uid="{00000000-0005-0000-0000-00008B740000}"/>
    <cellStyle name="Normal 390 6" xfId="29836" xr:uid="{00000000-0005-0000-0000-00008C740000}"/>
    <cellStyle name="Normal 390 6 2" xfId="29837" xr:uid="{00000000-0005-0000-0000-00008D740000}"/>
    <cellStyle name="Normal 390 6 2 2" xfId="29838" xr:uid="{00000000-0005-0000-0000-00008E740000}"/>
    <cellStyle name="Normal 390 6 3" xfId="29839" xr:uid="{00000000-0005-0000-0000-00008F740000}"/>
    <cellStyle name="Normal 390 7" xfId="29840" xr:uid="{00000000-0005-0000-0000-000090740000}"/>
    <cellStyle name="Normal 391" xfId="29841" xr:uid="{00000000-0005-0000-0000-000091740000}"/>
    <cellStyle name="Normal 391 2" xfId="29842" xr:uid="{00000000-0005-0000-0000-000092740000}"/>
    <cellStyle name="Normal 391 2 2" xfId="29843" xr:uid="{00000000-0005-0000-0000-000093740000}"/>
    <cellStyle name="Normal 391 2 2 2" xfId="29844" xr:uid="{00000000-0005-0000-0000-000094740000}"/>
    <cellStyle name="Normal 391 2 3" xfId="29845" xr:uid="{00000000-0005-0000-0000-000095740000}"/>
    <cellStyle name="Normal 391 2 3 2" xfId="29846" xr:uid="{00000000-0005-0000-0000-000096740000}"/>
    <cellStyle name="Normal 391 2 3 2 2" xfId="29847" xr:uid="{00000000-0005-0000-0000-000097740000}"/>
    <cellStyle name="Normal 391 2 3 3" xfId="29848" xr:uid="{00000000-0005-0000-0000-000098740000}"/>
    <cellStyle name="Normal 391 2 4" xfId="29849" xr:uid="{00000000-0005-0000-0000-000099740000}"/>
    <cellStyle name="Normal 391 2 4 2" xfId="29850" xr:uid="{00000000-0005-0000-0000-00009A740000}"/>
    <cellStyle name="Normal 391 2 4 2 2" xfId="29851" xr:uid="{00000000-0005-0000-0000-00009B740000}"/>
    <cellStyle name="Normal 391 2 4 3" xfId="29852" xr:uid="{00000000-0005-0000-0000-00009C740000}"/>
    <cellStyle name="Normal 391 2 5" xfId="29853" xr:uid="{00000000-0005-0000-0000-00009D740000}"/>
    <cellStyle name="Normal 391 3" xfId="29854" xr:uid="{00000000-0005-0000-0000-00009E740000}"/>
    <cellStyle name="Normal 391 3 2" xfId="29855" xr:uid="{00000000-0005-0000-0000-00009F740000}"/>
    <cellStyle name="Normal 391 3 2 2" xfId="29856" xr:uid="{00000000-0005-0000-0000-0000A0740000}"/>
    <cellStyle name="Normal 391 3 2 2 2" xfId="29857" xr:uid="{00000000-0005-0000-0000-0000A1740000}"/>
    <cellStyle name="Normal 391 3 2 3" xfId="29858" xr:uid="{00000000-0005-0000-0000-0000A2740000}"/>
    <cellStyle name="Normal 391 3 2 3 2" xfId="29859" xr:uid="{00000000-0005-0000-0000-0000A3740000}"/>
    <cellStyle name="Normal 391 3 2 3 2 2" xfId="29860" xr:uid="{00000000-0005-0000-0000-0000A4740000}"/>
    <cellStyle name="Normal 391 3 2 3 3" xfId="29861" xr:uid="{00000000-0005-0000-0000-0000A5740000}"/>
    <cellStyle name="Normal 391 3 2 4" xfId="29862" xr:uid="{00000000-0005-0000-0000-0000A6740000}"/>
    <cellStyle name="Normal 391 3 3" xfId="29863" xr:uid="{00000000-0005-0000-0000-0000A7740000}"/>
    <cellStyle name="Normal 391 3 3 2" xfId="29864" xr:uid="{00000000-0005-0000-0000-0000A8740000}"/>
    <cellStyle name="Normal 391 3 3 2 2" xfId="29865" xr:uid="{00000000-0005-0000-0000-0000A9740000}"/>
    <cellStyle name="Normal 391 3 3 3" xfId="29866" xr:uid="{00000000-0005-0000-0000-0000AA740000}"/>
    <cellStyle name="Normal 391 3 4" xfId="29867" xr:uid="{00000000-0005-0000-0000-0000AB740000}"/>
    <cellStyle name="Normal 391 3 4 2" xfId="29868" xr:uid="{00000000-0005-0000-0000-0000AC740000}"/>
    <cellStyle name="Normal 391 3 4 2 2" xfId="29869" xr:uid="{00000000-0005-0000-0000-0000AD740000}"/>
    <cellStyle name="Normal 391 3 4 3" xfId="29870" xr:uid="{00000000-0005-0000-0000-0000AE740000}"/>
    <cellStyle name="Normal 391 3 5" xfId="29871" xr:uid="{00000000-0005-0000-0000-0000AF740000}"/>
    <cellStyle name="Normal 391 3 5 2" xfId="29872" xr:uid="{00000000-0005-0000-0000-0000B0740000}"/>
    <cellStyle name="Normal 391 3 5 2 2" xfId="29873" xr:uid="{00000000-0005-0000-0000-0000B1740000}"/>
    <cellStyle name="Normal 391 3 5 3" xfId="29874" xr:uid="{00000000-0005-0000-0000-0000B2740000}"/>
    <cellStyle name="Normal 391 3 6" xfId="29875" xr:uid="{00000000-0005-0000-0000-0000B3740000}"/>
    <cellStyle name="Normal 391 4" xfId="29876" xr:uid="{00000000-0005-0000-0000-0000B4740000}"/>
    <cellStyle name="Normal 391 4 2" xfId="29877" xr:uid="{00000000-0005-0000-0000-0000B5740000}"/>
    <cellStyle name="Normal 391 4 2 2" xfId="29878" xr:uid="{00000000-0005-0000-0000-0000B6740000}"/>
    <cellStyle name="Normal 391 4 3" xfId="29879" xr:uid="{00000000-0005-0000-0000-0000B7740000}"/>
    <cellStyle name="Normal 391 5" xfId="29880" xr:uid="{00000000-0005-0000-0000-0000B8740000}"/>
    <cellStyle name="Normal 391 5 2" xfId="29881" xr:uid="{00000000-0005-0000-0000-0000B9740000}"/>
    <cellStyle name="Normal 391 5 2 2" xfId="29882" xr:uid="{00000000-0005-0000-0000-0000BA740000}"/>
    <cellStyle name="Normal 391 5 3" xfId="29883" xr:uid="{00000000-0005-0000-0000-0000BB740000}"/>
    <cellStyle name="Normal 391 6" xfId="29884" xr:uid="{00000000-0005-0000-0000-0000BC740000}"/>
    <cellStyle name="Normal 391 6 2" xfId="29885" xr:uid="{00000000-0005-0000-0000-0000BD740000}"/>
    <cellStyle name="Normal 391 6 2 2" xfId="29886" xr:uid="{00000000-0005-0000-0000-0000BE740000}"/>
    <cellStyle name="Normal 391 6 3" xfId="29887" xr:uid="{00000000-0005-0000-0000-0000BF740000}"/>
    <cellStyle name="Normal 391 7" xfId="29888" xr:uid="{00000000-0005-0000-0000-0000C0740000}"/>
    <cellStyle name="Normal 392" xfId="29889" xr:uid="{00000000-0005-0000-0000-0000C1740000}"/>
    <cellStyle name="Normal 392 2" xfId="29890" xr:uid="{00000000-0005-0000-0000-0000C2740000}"/>
    <cellStyle name="Normal 392 2 2" xfId="29891" xr:uid="{00000000-0005-0000-0000-0000C3740000}"/>
    <cellStyle name="Normal 392 2 2 2" xfId="29892" xr:uid="{00000000-0005-0000-0000-0000C4740000}"/>
    <cellStyle name="Normal 392 2 3" xfId="29893" xr:uid="{00000000-0005-0000-0000-0000C5740000}"/>
    <cellStyle name="Normal 392 2 3 2" xfId="29894" xr:uid="{00000000-0005-0000-0000-0000C6740000}"/>
    <cellStyle name="Normal 392 2 3 2 2" xfId="29895" xr:uid="{00000000-0005-0000-0000-0000C7740000}"/>
    <cellStyle name="Normal 392 2 3 3" xfId="29896" xr:uid="{00000000-0005-0000-0000-0000C8740000}"/>
    <cellStyle name="Normal 392 2 4" xfId="29897" xr:uid="{00000000-0005-0000-0000-0000C9740000}"/>
    <cellStyle name="Normal 392 2 4 2" xfId="29898" xr:uid="{00000000-0005-0000-0000-0000CA740000}"/>
    <cellStyle name="Normal 392 2 4 2 2" xfId="29899" xr:uid="{00000000-0005-0000-0000-0000CB740000}"/>
    <cellStyle name="Normal 392 2 4 3" xfId="29900" xr:uid="{00000000-0005-0000-0000-0000CC740000}"/>
    <cellStyle name="Normal 392 2 5" xfId="29901" xr:uid="{00000000-0005-0000-0000-0000CD740000}"/>
    <cellStyle name="Normal 392 3" xfId="29902" xr:uid="{00000000-0005-0000-0000-0000CE740000}"/>
    <cellStyle name="Normal 392 3 2" xfId="29903" xr:uid="{00000000-0005-0000-0000-0000CF740000}"/>
    <cellStyle name="Normal 392 3 2 2" xfId="29904" xr:uid="{00000000-0005-0000-0000-0000D0740000}"/>
    <cellStyle name="Normal 392 3 2 2 2" xfId="29905" xr:uid="{00000000-0005-0000-0000-0000D1740000}"/>
    <cellStyle name="Normal 392 3 2 3" xfId="29906" xr:uid="{00000000-0005-0000-0000-0000D2740000}"/>
    <cellStyle name="Normal 392 3 2 3 2" xfId="29907" xr:uid="{00000000-0005-0000-0000-0000D3740000}"/>
    <cellStyle name="Normal 392 3 2 3 2 2" xfId="29908" xr:uid="{00000000-0005-0000-0000-0000D4740000}"/>
    <cellStyle name="Normal 392 3 2 3 3" xfId="29909" xr:uid="{00000000-0005-0000-0000-0000D5740000}"/>
    <cellStyle name="Normal 392 3 2 4" xfId="29910" xr:uid="{00000000-0005-0000-0000-0000D6740000}"/>
    <cellStyle name="Normal 392 3 3" xfId="29911" xr:uid="{00000000-0005-0000-0000-0000D7740000}"/>
    <cellStyle name="Normal 392 3 3 2" xfId="29912" xr:uid="{00000000-0005-0000-0000-0000D8740000}"/>
    <cellStyle name="Normal 392 3 3 2 2" xfId="29913" xr:uid="{00000000-0005-0000-0000-0000D9740000}"/>
    <cellStyle name="Normal 392 3 3 3" xfId="29914" xr:uid="{00000000-0005-0000-0000-0000DA740000}"/>
    <cellStyle name="Normal 392 3 4" xfId="29915" xr:uid="{00000000-0005-0000-0000-0000DB740000}"/>
    <cellStyle name="Normal 392 3 4 2" xfId="29916" xr:uid="{00000000-0005-0000-0000-0000DC740000}"/>
    <cellStyle name="Normal 392 3 4 2 2" xfId="29917" xr:uid="{00000000-0005-0000-0000-0000DD740000}"/>
    <cellStyle name="Normal 392 3 4 3" xfId="29918" xr:uid="{00000000-0005-0000-0000-0000DE740000}"/>
    <cellStyle name="Normal 392 3 5" xfId="29919" xr:uid="{00000000-0005-0000-0000-0000DF740000}"/>
    <cellStyle name="Normal 392 3 5 2" xfId="29920" xr:uid="{00000000-0005-0000-0000-0000E0740000}"/>
    <cellStyle name="Normal 392 3 5 2 2" xfId="29921" xr:uid="{00000000-0005-0000-0000-0000E1740000}"/>
    <cellStyle name="Normal 392 3 5 3" xfId="29922" xr:uid="{00000000-0005-0000-0000-0000E2740000}"/>
    <cellStyle name="Normal 392 3 6" xfId="29923" xr:uid="{00000000-0005-0000-0000-0000E3740000}"/>
    <cellStyle name="Normal 392 4" xfId="29924" xr:uid="{00000000-0005-0000-0000-0000E4740000}"/>
    <cellStyle name="Normal 392 4 2" xfId="29925" xr:uid="{00000000-0005-0000-0000-0000E5740000}"/>
    <cellStyle name="Normal 392 4 2 2" xfId="29926" xr:uid="{00000000-0005-0000-0000-0000E6740000}"/>
    <cellStyle name="Normal 392 4 3" xfId="29927" xr:uid="{00000000-0005-0000-0000-0000E7740000}"/>
    <cellStyle name="Normal 392 5" xfId="29928" xr:uid="{00000000-0005-0000-0000-0000E8740000}"/>
    <cellStyle name="Normal 392 5 2" xfId="29929" xr:uid="{00000000-0005-0000-0000-0000E9740000}"/>
    <cellStyle name="Normal 392 5 2 2" xfId="29930" xr:uid="{00000000-0005-0000-0000-0000EA740000}"/>
    <cellStyle name="Normal 392 5 3" xfId="29931" xr:uid="{00000000-0005-0000-0000-0000EB740000}"/>
    <cellStyle name="Normal 392 6" xfId="29932" xr:uid="{00000000-0005-0000-0000-0000EC740000}"/>
    <cellStyle name="Normal 392 6 2" xfId="29933" xr:uid="{00000000-0005-0000-0000-0000ED740000}"/>
    <cellStyle name="Normal 392 6 2 2" xfId="29934" xr:uid="{00000000-0005-0000-0000-0000EE740000}"/>
    <cellStyle name="Normal 392 6 3" xfId="29935" xr:uid="{00000000-0005-0000-0000-0000EF740000}"/>
    <cellStyle name="Normal 392 7" xfId="29936" xr:uid="{00000000-0005-0000-0000-0000F0740000}"/>
    <cellStyle name="Normal 393" xfId="29937" xr:uid="{00000000-0005-0000-0000-0000F1740000}"/>
    <cellStyle name="Normal 393 2" xfId="29938" xr:uid="{00000000-0005-0000-0000-0000F2740000}"/>
    <cellStyle name="Normal 393 2 2" xfId="29939" xr:uid="{00000000-0005-0000-0000-0000F3740000}"/>
    <cellStyle name="Normal 393 2 2 2" xfId="29940" xr:uid="{00000000-0005-0000-0000-0000F4740000}"/>
    <cellStyle name="Normal 393 2 3" xfId="29941" xr:uid="{00000000-0005-0000-0000-0000F5740000}"/>
    <cellStyle name="Normal 393 2 3 2" xfId="29942" xr:uid="{00000000-0005-0000-0000-0000F6740000}"/>
    <cellStyle name="Normal 393 2 3 2 2" xfId="29943" xr:uid="{00000000-0005-0000-0000-0000F7740000}"/>
    <cellStyle name="Normal 393 2 3 3" xfId="29944" xr:uid="{00000000-0005-0000-0000-0000F8740000}"/>
    <cellStyle name="Normal 393 2 4" xfId="29945" xr:uid="{00000000-0005-0000-0000-0000F9740000}"/>
    <cellStyle name="Normal 393 2 4 2" xfId="29946" xr:uid="{00000000-0005-0000-0000-0000FA740000}"/>
    <cellStyle name="Normal 393 2 4 2 2" xfId="29947" xr:uid="{00000000-0005-0000-0000-0000FB740000}"/>
    <cellStyle name="Normal 393 2 4 3" xfId="29948" xr:uid="{00000000-0005-0000-0000-0000FC740000}"/>
    <cellStyle name="Normal 393 2 5" xfId="29949" xr:uid="{00000000-0005-0000-0000-0000FD740000}"/>
    <cellStyle name="Normal 393 3" xfId="29950" xr:uid="{00000000-0005-0000-0000-0000FE740000}"/>
    <cellStyle name="Normal 393 3 2" xfId="29951" xr:uid="{00000000-0005-0000-0000-0000FF740000}"/>
    <cellStyle name="Normal 393 3 2 2" xfId="29952" xr:uid="{00000000-0005-0000-0000-000000750000}"/>
    <cellStyle name="Normal 393 3 2 2 2" xfId="29953" xr:uid="{00000000-0005-0000-0000-000001750000}"/>
    <cellStyle name="Normal 393 3 2 3" xfId="29954" xr:uid="{00000000-0005-0000-0000-000002750000}"/>
    <cellStyle name="Normal 393 3 2 3 2" xfId="29955" xr:uid="{00000000-0005-0000-0000-000003750000}"/>
    <cellStyle name="Normal 393 3 2 3 2 2" xfId="29956" xr:uid="{00000000-0005-0000-0000-000004750000}"/>
    <cellStyle name="Normal 393 3 2 3 3" xfId="29957" xr:uid="{00000000-0005-0000-0000-000005750000}"/>
    <cellStyle name="Normal 393 3 2 4" xfId="29958" xr:uid="{00000000-0005-0000-0000-000006750000}"/>
    <cellStyle name="Normal 393 3 3" xfId="29959" xr:uid="{00000000-0005-0000-0000-000007750000}"/>
    <cellStyle name="Normal 393 3 3 2" xfId="29960" xr:uid="{00000000-0005-0000-0000-000008750000}"/>
    <cellStyle name="Normal 393 3 3 2 2" xfId="29961" xr:uid="{00000000-0005-0000-0000-000009750000}"/>
    <cellStyle name="Normal 393 3 3 3" xfId="29962" xr:uid="{00000000-0005-0000-0000-00000A750000}"/>
    <cellStyle name="Normal 393 3 4" xfId="29963" xr:uid="{00000000-0005-0000-0000-00000B750000}"/>
    <cellStyle name="Normal 393 3 4 2" xfId="29964" xr:uid="{00000000-0005-0000-0000-00000C750000}"/>
    <cellStyle name="Normal 393 3 4 2 2" xfId="29965" xr:uid="{00000000-0005-0000-0000-00000D750000}"/>
    <cellStyle name="Normal 393 3 4 3" xfId="29966" xr:uid="{00000000-0005-0000-0000-00000E750000}"/>
    <cellStyle name="Normal 393 3 5" xfId="29967" xr:uid="{00000000-0005-0000-0000-00000F750000}"/>
    <cellStyle name="Normal 393 3 5 2" xfId="29968" xr:uid="{00000000-0005-0000-0000-000010750000}"/>
    <cellStyle name="Normal 393 3 5 2 2" xfId="29969" xr:uid="{00000000-0005-0000-0000-000011750000}"/>
    <cellStyle name="Normal 393 3 5 3" xfId="29970" xr:uid="{00000000-0005-0000-0000-000012750000}"/>
    <cellStyle name="Normal 393 3 6" xfId="29971" xr:uid="{00000000-0005-0000-0000-000013750000}"/>
    <cellStyle name="Normal 393 4" xfId="29972" xr:uid="{00000000-0005-0000-0000-000014750000}"/>
    <cellStyle name="Normal 393 4 2" xfId="29973" xr:uid="{00000000-0005-0000-0000-000015750000}"/>
    <cellStyle name="Normal 393 4 2 2" xfId="29974" xr:uid="{00000000-0005-0000-0000-000016750000}"/>
    <cellStyle name="Normal 393 4 3" xfId="29975" xr:uid="{00000000-0005-0000-0000-000017750000}"/>
    <cellStyle name="Normal 393 5" xfId="29976" xr:uid="{00000000-0005-0000-0000-000018750000}"/>
    <cellStyle name="Normal 393 5 2" xfId="29977" xr:uid="{00000000-0005-0000-0000-000019750000}"/>
    <cellStyle name="Normal 393 5 2 2" xfId="29978" xr:uid="{00000000-0005-0000-0000-00001A750000}"/>
    <cellStyle name="Normal 393 5 3" xfId="29979" xr:uid="{00000000-0005-0000-0000-00001B750000}"/>
    <cellStyle name="Normal 393 6" xfId="29980" xr:uid="{00000000-0005-0000-0000-00001C750000}"/>
    <cellStyle name="Normal 393 6 2" xfId="29981" xr:uid="{00000000-0005-0000-0000-00001D750000}"/>
    <cellStyle name="Normal 393 6 2 2" xfId="29982" xr:uid="{00000000-0005-0000-0000-00001E750000}"/>
    <cellStyle name="Normal 393 6 3" xfId="29983" xr:uid="{00000000-0005-0000-0000-00001F750000}"/>
    <cellStyle name="Normal 393 7" xfId="29984" xr:uid="{00000000-0005-0000-0000-000020750000}"/>
    <cellStyle name="Normal 394" xfId="29985" xr:uid="{00000000-0005-0000-0000-000021750000}"/>
    <cellStyle name="Normal 394 2" xfId="29986" xr:uid="{00000000-0005-0000-0000-000022750000}"/>
    <cellStyle name="Normal 394 2 2" xfId="29987" xr:uid="{00000000-0005-0000-0000-000023750000}"/>
    <cellStyle name="Normal 394 2 2 2" xfId="29988" xr:uid="{00000000-0005-0000-0000-000024750000}"/>
    <cellStyle name="Normal 394 2 3" xfId="29989" xr:uid="{00000000-0005-0000-0000-000025750000}"/>
    <cellStyle name="Normal 394 2 3 2" xfId="29990" xr:uid="{00000000-0005-0000-0000-000026750000}"/>
    <cellStyle name="Normal 394 2 3 2 2" xfId="29991" xr:uid="{00000000-0005-0000-0000-000027750000}"/>
    <cellStyle name="Normal 394 2 3 3" xfId="29992" xr:uid="{00000000-0005-0000-0000-000028750000}"/>
    <cellStyle name="Normal 394 2 4" xfId="29993" xr:uid="{00000000-0005-0000-0000-000029750000}"/>
    <cellStyle name="Normal 394 2 4 2" xfId="29994" xr:uid="{00000000-0005-0000-0000-00002A750000}"/>
    <cellStyle name="Normal 394 2 4 2 2" xfId="29995" xr:uid="{00000000-0005-0000-0000-00002B750000}"/>
    <cellStyle name="Normal 394 2 4 3" xfId="29996" xr:uid="{00000000-0005-0000-0000-00002C750000}"/>
    <cellStyle name="Normal 394 2 5" xfId="29997" xr:uid="{00000000-0005-0000-0000-00002D750000}"/>
    <cellStyle name="Normal 394 3" xfId="29998" xr:uid="{00000000-0005-0000-0000-00002E750000}"/>
    <cellStyle name="Normal 394 3 2" xfId="29999" xr:uid="{00000000-0005-0000-0000-00002F750000}"/>
    <cellStyle name="Normal 394 3 2 2" xfId="30000" xr:uid="{00000000-0005-0000-0000-000030750000}"/>
    <cellStyle name="Normal 394 3 2 2 2" xfId="30001" xr:uid="{00000000-0005-0000-0000-000031750000}"/>
    <cellStyle name="Normal 394 3 2 3" xfId="30002" xr:uid="{00000000-0005-0000-0000-000032750000}"/>
    <cellStyle name="Normal 394 3 2 3 2" xfId="30003" xr:uid="{00000000-0005-0000-0000-000033750000}"/>
    <cellStyle name="Normal 394 3 2 3 2 2" xfId="30004" xr:uid="{00000000-0005-0000-0000-000034750000}"/>
    <cellStyle name="Normal 394 3 2 3 3" xfId="30005" xr:uid="{00000000-0005-0000-0000-000035750000}"/>
    <cellStyle name="Normal 394 3 2 4" xfId="30006" xr:uid="{00000000-0005-0000-0000-000036750000}"/>
    <cellStyle name="Normal 394 3 3" xfId="30007" xr:uid="{00000000-0005-0000-0000-000037750000}"/>
    <cellStyle name="Normal 394 3 3 2" xfId="30008" xr:uid="{00000000-0005-0000-0000-000038750000}"/>
    <cellStyle name="Normal 394 3 3 2 2" xfId="30009" xr:uid="{00000000-0005-0000-0000-000039750000}"/>
    <cellStyle name="Normal 394 3 3 3" xfId="30010" xr:uid="{00000000-0005-0000-0000-00003A750000}"/>
    <cellStyle name="Normal 394 3 4" xfId="30011" xr:uid="{00000000-0005-0000-0000-00003B750000}"/>
    <cellStyle name="Normal 394 3 4 2" xfId="30012" xr:uid="{00000000-0005-0000-0000-00003C750000}"/>
    <cellStyle name="Normal 394 3 4 2 2" xfId="30013" xr:uid="{00000000-0005-0000-0000-00003D750000}"/>
    <cellStyle name="Normal 394 3 4 3" xfId="30014" xr:uid="{00000000-0005-0000-0000-00003E750000}"/>
    <cellStyle name="Normal 394 3 5" xfId="30015" xr:uid="{00000000-0005-0000-0000-00003F750000}"/>
    <cellStyle name="Normal 394 3 5 2" xfId="30016" xr:uid="{00000000-0005-0000-0000-000040750000}"/>
    <cellStyle name="Normal 394 3 5 2 2" xfId="30017" xr:uid="{00000000-0005-0000-0000-000041750000}"/>
    <cellStyle name="Normal 394 3 5 3" xfId="30018" xr:uid="{00000000-0005-0000-0000-000042750000}"/>
    <cellStyle name="Normal 394 3 6" xfId="30019" xr:uid="{00000000-0005-0000-0000-000043750000}"/>
    <cellStyle name="Normal 394 4" xfId="30020" xr:uid="{00000000-0005-0000-0000-000044750000}"/>
    <cellStyle name="Normal 394 4 2" xfId="30021" xr:uid="{00000000-0005-0000-0000-000045750000}"/>
    <cellStyle name="Normal 394 4 2 2" xfId="30022" xr:uid="{00000000-0005-0000-0000-000046750000}"/>
    <cellStyle name="Normal 394 4 3" xfId="30023" xr:uid="{00000000-0005-0000-0000-000047750000}"/>
    <cellStyle name="Normal 394 5" xfId="30024" xr:uid="{00000000-0005-0000-0000-000048750000}"/>
    <cellStyle name="Normal 394 5 2" xfId="30025" xr:uid="{00000000-0005-0000-0000-000049750000}"/>
    <cellStyle name="Normal 394 5 2 2" xfId="30026" xr:uid="{00000000-0005-0000-0000-00004A750000}"/>
    <cellStyle name="Normal 394 5 3" xfId="30027" xr:uid="{00000000-0005-0000-0000-00004B750000}"/>
    <cellStyle name="Normal 394 6" xfId="30028" xr:uid="{00000000-0005-0000-0000-00004C750000}"/>
    <cellStyle name="Normal 394 6 2" xfId="30029" xr:uid="{00000000-0005-0000-0000-00004D750000}"/>
    <cellStyle name="Normal 394 6 2 2" xfId="30030" xr:uid="{00000000-0005-0000-0000-00004E750000}"/>
    <cellStyle name="Normal 394 6 3" xfId="30031" xr:uid="{00000000-0005-0000-0000-00004F750000}"/>
    <cellStyle name="Normal 394 7" xfId="30032" xr:uid="{00000000-0005-0000-0000-000050750000}"/>
    <cellStyle name="Normal 395" xfId="30033" xr:uid="{00000000-0005-0000-0000-000051750000}"/>
    <cellStyle name="Normal 395 2" xfId="30034" xr:uid="{00000000-0005-0000-0000-000052750000}"/>
    <cellStyle name="Normal 395 2 2" xfId="30035" xr:uid="{00000000-0005-0000-0000-000053750000}"/>
    <cellStyle name="Normal 395 2 2 2" xfId="30036" xr:uid="{00000000-0005-0000-0000-000054750000}"/>
    <cellStyle name="Normal 395 2 3" xfId="30037" xr:uid="{00000000-0005-0000-0000-000055750000}"/>
    <cellStyle name="Normal 395 2 3 2" xfId="30038" xr:uid="{00000000-0005-0000-0000-000056750000}"/>
    <cellStyle name="Normal 395 2 3 2 2" xfId="30039" xr:uid="{00000000-0005-0000-0000-000057750000}"/>
    <cellStyle name="Normal 395 2 3 3" xfId="30040" xr:uid="{00000000-0005-0000-0000-000058750000}"/>
    <cellStyle name="Normal 395 2 4" xfId="30041" xr:uid="{00000000-0005-0000-0000-000059750000}"/>
    <cellStyle name="Normal 395 2 4 2" xfId="30042" xr:uid="{00000000-0005-0000-0000-00005A750000}"/>
    <cellStyle name="Normal 395 2 4 2 2" xfId="30043" xr:uid="{00000000-0005-0000-0000-00005B750000}"/>
    <cellStyle name="Normal 395 2 4 3" xfId="30044" xr:uid="{00000000-0005-0000-0000-00005C750000}"/>
    <cellStyle name="Normal 395 2 5" xfId="30045" xr:uid="{00000000-0005-0000-0000-00005D750000}"/>
    <cellStyle name="Normal 395 3" xfId="30046" xr:uid="{00000000-0005-0000-0000-00005E750000}"/>
    <cellStyle name="Normal 395 3 2" xfId="30047" xr:uid="{00000000-0005-0000-0000-00005F750000}"/>
    <cellStyle name="Normal 395 3 2 2" xfId="30048" xr:uid="{00000000-0005-0000-0000-000060750000}"/>
    <cellStyle name="Normal 395 3 2 2 2" xfId="30049" xr:uid="{00000000-0005-0000-0000-000061750000}"/>
    <cellStyle name="Normal 395 3 2 3" xfId="30050" xr:uid="{00000000-0005-0000-0000-000062750000}"/>
    <cellStyle name="Normal 395 3 2 3 2" xfId="30051" xr:uid="{00000000-0005-0000-0000-000063750000}"/>
    <cellStyle name="Normal 395 3 2 3 2 2" xfId="30052" xr:uid="{00000000-0005-0000-0000-000064750000}"/>
    <cellStyle name="Normal 395 3 2 3 3" xfId="30053" xr:uid="{00000000-0005-0000-0000-000065750000}"/>
    <cellStyle name="Normal 395 3 2 4" xfId="30054" xr:uid="{00000000-0005-0000-0000-000066750000}"/>
    <cellStyle name="Normal 395 3 3" xfId="30055" xr:uid="{00000000-0005-0000-0000-000067750000}"/>
    <cellStyle name="Normal 395 3 3 2" xfId="30056" xr:uid="{00000000-0005-0000-0000-000068750000}"/>
    <cellStyle name="Normal 395 3 3 2 2" xfId="30057" xr:uid="{00000000-0005-0000-0000-000069750000}"/>
    <cellStyle name="Normal 395 3 3 3" xfId="30058" xr:uid="{00000000-0005-0000-0000-00006A750000}"/>
    <cellStyle name="Normal 395 3 4" xfId="30059" xr:uid="{00000000-0005-0000-0000-00006B750000}"/>
    <cellStyle name="Normal 395 3 4 2" xfId="30060" xr:uid="{00000000-0005-0000-0000-00006C750000}"/>
    <cellStyle name="Normal 395 3 4 2 2" xfId="30061" xr:uid="{00000000-0005-0000-0000-00006D750000}"/>
    <cellStyle name="Normal 395 3 4 3" xfId="30062" xr:uid="{00000000-0005-0000-0000-00006E750000}"/>
    <cellStyle name="Normal 395 3 5" xfId="30063" xr:uid="{00000000-0005-0000-0000-00006F750000}"/>
    <cellStyle name="Normal 395 3 5 2" xfId="30064" xr:uid="{00000000-0005-0000-0000-000070750000}"/>
    <cellStyle name="Normal 395 3 5 2 2" xfId="30065" xr:uid="{00000000-0005-0000-0000-000071750000}"/>
    <cellStyle name="Normal 395 3 5 3" xfId="30066" xr:uid="{00000000-0005-0000-0000-000072750000}"/>
    <cellStyle name="Normal 395 3 6" xfId="30067" xr:uid="{00000000-0005-0000-0000-000073750000}"/>
    <cellStyle name="Normal 395 4" xfId="30068" xr:uid="{00000000-0005-0000-0000-000074750000}"/>
    <cellStyle name="Normal 395 4 2" xfId="30069" xr:uid="{00000000-0005-0000-0000-000075750000}"/>
    <cellStyle name="Normal 395 4 2 2" xfId="30070" xr:uid="{00000000-0005-0000-0000-000076750000}"/>
    <cellStyle name="Normal 395 4 3" xfId="30071" xr:uid="{00000000-0005-0000-0000-000077750000}"/>
    <cellStyle name="Normal 395 5" xfId="30072" xr:uid="{00000000-0005-0000-0000-000078750000}"/>
    <cellStyle name="Normal 395 5 2" xfId="30073" xr:uid="{00000000-0005-0000-0000-000079750000}"/>
    <cellStyle name="Normal 395 5 2 2" xfId="30074" xr:uid="{00000000-0005-0000-0000-00007A750000}"/>
    <cellStyle name="Normal 395 5 3" xfId="30075" xr:uid="{00000000-0005-0000-0000-00007B750000}"/>
    <cellStyle name="Normal 395 6" xfId="30076" xr:uid="{00000000-0005-0000-0000-00007C750000}"/>
    <cellStyle name="Normal 395 6 2" xfId="30077" xr:uid="{00000000-0005-0000-0000-00007D750000}"/>
    <cellStyle name="Normal 395 6 2 2" xfId="30078" xr:uid="{00000000-0005-0000-0000-00007E750000}"/>
    <cellStyle name="Normal 395 6 3" xfId="30079" xr:uid="{00000000-0005-0000-0000-00007F750000}"/>
    <cellStyle name="Normal 395 7" xfId="30080" xr:uid="{00000000-0005-0000-0000-000080750000}"/>
    <cellStyle name="Normal 396" xfId="30081" xr:uid="{00000000-0005-0000-0000-000081750000}"/>
    <cellStyle name="Normal 396 2" xfId="30082" xr:uid="{00000000-0005-0000-0000-000082750000}"/>
    <cellStyle name="Normal 396 2 2" xfId="30083" xr:uid="{00000000-0005-0000-0000-000083750000}"/>
    <cellStyle name="Normal 396 2 2 2" xfId="30084" xr:uid="{00000000-0005-0000-0000-000084750000}"/>
    <cellStyle name="Normal 396 2 3" xfId="30085" xr:uid="{00000000-0005-0000-0000-000085750000}"/>
    <cellStyle name="Normal 396 2 3 2" xfId="30086" xr:uid="{00000000-0005-0000-0000-000086750000}"/>
    <cellStyle name="Normal 396 2 3 2 2" xfId="30087" xr:uid="{00000000-0005-0000-0000-000087750000}"/>
    <cellStyle name="Normal 396 2 3 3" xfId="30088" xr:uid="{00000000-0005-0000-0000-000088750000}"/>
    <cellStyle name="Normal 396 2 4" xfId="30089" xr:uid="{00000000-0005-0000-0000-000089750000}"/>
    <cellStyle name="Normal 396 2 4 2" xfId="30090" xr:uid="{00000000-0005-0000-0000-00008A750000}"/>
    <cellStyle name="Normal 396 2 4 2 2" xfId="30091" xr:uid="{00000000-0005-0000-0000-00008B750000}"/>
    <cellStyle name="Normal 396 2 4 3" xfId="30092" xr:uid="{00000000-0005-0000-0000-00008C750000}"/>
    <cellStyle name="Normal 396 2 5" xfId="30093" xr:uid="{00000000-0005-0000-0000-00008D750000}"/>
    <cellStyle name="Normal 396 3" xfId="30094" xr:uid="{00000000-0005-0000-0000-00008E750000}"/>
    <cellStyle name="Normal 396 3 2" xfId="30095" xr:uid="{00000000-0005-0000-0000-00008F750000}"/>
    <cellStyle name="Normal 396 3 2 2" xfId="30096" xr:uid="{00000000-0005-0000-0000-000090750000}"/>
    <cellStyle name="Normal 396 3 2 2 2" xfId="30097" xr:uid="{00000000-0005-0000-0000-000091750000}"/>
    <cellStyle name="Normal 396 3 2 3" xfId="30098" xr:uid="{00000000-0005-0000-0000-000092750000}"/>
    <cellStyle name="Normal 396 3 2 3 2" xfId="30099" xr:uid="{00000000-0005-0000-0000-000093750000}"/>
    <cellStyle name="Normal 396 3 2 3 2 2" xfId="30100" xr:uid="{00000000-0005-0000-0000-000094750000}"/>
    <cellStyle name="Normal 396 3 2 3 3" xfId="30101" xr:uid="{00000000-0005-0000-0000-000095750000}"/>
    <cellStyle name="Normal 396 3 2 4" xfId="30102" xr:uid="{00000000-0005-0000-0000-000096750000}"/>
    <cellStyle name="Normal 396 3 3" xfId="30103" xr:uid="{00000000-0005-0000-0000-000097750000}"/>
    <cellStyle name="Normal 396 3 3 2" xfId="30104" xr:uid="{00000000-0005-0000-0000-000098750000}"/>
    <cellStyle name="Normal 396 3 3 2 2" xfId="30105" xr:uid="{00000000-0005-0000-0000-000099750000}"/>
    <cellStyle name="Normal 396 3 3 3" xfId="30106" xr:uid="{00000000-0005-0000-0000-00009A750000}"/>
    <cellStyle name="Normal 396 3 4" xfId="30107" xr:uid="{00000000-0005-0000-0000-00009B750000}"/>
    <cellStyle name="Normal 396 3 4 2" xfId="30108" xr:uid="{00000000-0005-0000-0000-00009C750000}"/>
    <cellStyle name="Normal 396 3 4 2 2" xfId="30109" xr:uid="{00000000-0005-0000-0000-00009D750000}"/>
    <cellStyle name="Normal 396 3 4 3" xfId="30110" xr:uid="{00000000-0005-0000-0000-00009E750000}"/>
    <cellStyle name="Normal 396 3 5" xfId="30111" xr:uid="{00000000-0005-0000-0000-00009F750000}"/>
    <cellStyle name="Normal 396 3 5 2" xfId="30112" xr:uid="{00000000-0005-0000-0000-0000A0750000}"/>
    <cellStyle name="Normal 396 3 5 2 2" xfId="30113" xr:uid="{00000000-0005-0000-0000-0000A1750000}"/>
    <cellStyle name="Normal 396 3 5 3" xfId="30114" xr:uid="{00000000-0005-0000-0000-0000A2750000}"/>
    <cellStyle name="Normal 396 3 6" xfId="30115" xr:uid="{00000000-0005-0000-0000-0000A3750000}"/>
    <cellStyle name="Normal 396 4" xfId="30116" xr:uid="{00000000-0005-0000-0000-0000A4750000}"/>
    <cellStyle name="Normal 396 4 2" xfId="30117" xr:uid="{00000000-0005-0000-0000-0000A5750000}"/>
    <cellStyle name="Normal 396 4 2 2" xfId="30118" xr:uid="{00000000-0005-0000-0000-0000A6750000}"/>
    <cellStyle name="Normal 396 4 3" xfId="30119" xr:uid="{00000000-0005-0000-0000-0000A7750000}"/>
    <cellStyle name="Normal 396 5" xfId="30120" xr:uid="{00000000-0005-0000-0000-0000A8750000}"/>
    <cellStyle name="Normal 396 5 2" xfId="30121" xr:uid="{00000000-0005-0000-0000-0000A9750000}"/>
    <cellStyle name="Normal 396 5 2 2" xfId="30122" xr:uid="{00000000-0005-0000-0000-0000AA750000}"/>
    <cellStyle name="Normal 396 5 3" xfId="30123" xr:uid="{00000000-0005-0000-0000-0000AB750000}"/>
    <cellStyle name="Normal 396 6" xfId="30124" xr:uid="{00000000-0005-0000-0000-0000AC750000}"/>
    <cellStyle name="Normal 396 6 2" xfId="30125" xr:uid="{00000000-0005-0000-0000-0000AD750000}"/>
    <cellStyle name="Normal 396 6 2 2" xfId="30126" xr:uid="{00000000-0005-0000-0000-0000AE750000}"/>
    <cellStyle name="Normal 396 6 3" xfId="30127" xr:uid="{00000000-0005-0000-0000-0000AF750000}"/>
    <cellStyle name="Normal 396 7" xfId="30128" xr:uid="{00000000-0005-0000-0000-0000B0750000}"/>
    <cellStyle name="Normal 397" xfId="30129" xr:uid="{00000000-0005-0000-0000-0000B1750000}"/>
    <cellStyle name="Normal 397 2" xfId="30130" xr:uid="{00000000-0005-0000-0000-0000B2750000}"/>
    <cellStyle name="Normal 397 2 2" xfId="30131" xr:uid="{00000000-0005-0000-0000-0000B3750000}"/>
    <cellStyle name="Normal 397 2 2 2" xfId="30132" xr:uid="{00000000-0005-0000-0000-0000B4750000}"/>
    <cellStyle name="Normal 397 2 3" xfId="30133" xr:uid="{00000000-0005-0000-0000-0000B5750000}"/>
    <cellStyle name="Normal 397 2 3 2" xfId="30134" xr:uid="{00000000-0005-0000-0000-0000B6750000}"/>
    <cellStyle name="Normal 397 2 3 2 2" xfId="30135" xr:uid="{00000000-0005-0000-0000-0000B7750000}"/>
    <cellStyle name="Normal 397 2 3 3" xfId="30136" xr:uid="{00000000-0005-0000-0000-0000B8750000}"/>
    <cellStyle name="Normal 397 2 4" xfId="30137" xr:uid="{00000000-0005-0000-0000-0000B9750000}"/>
    <cellStyle name="Normal 397 2 4 2" xfId="30138" xr:uid="{00000000-0005-0000-0000-0000BA750000}"/>
    <cellStyle name="Normal 397 2 4 2 2" xfId="30139" xr:uid="{00000000-0005-0000-0000-0000BB750000}"/>
    <cellStyle name="Normal 397 2 4 3" xfId="30140" xr:uid="{00000000-0005-0000-0000-0000BC750000}"/>
    <cellStyle name="Normal 397 2 5" xfId="30141" xr:uid="{00000000-0005-0000-0000-0000BD750000}"/>
    <cellStyle name="Normal 397 3" xfId="30142" xr:uid="{00000000-0005-0000-0000-0000BE750000}"/>
    <cellStyle name="Normal 397 3 2" xfId="30143" xr:uid="{00000000-0005-0000-0000-0000BF750000}"/>
    <cellStyle name="Normal 397 3 2 2" xfId="30144" xr:uid="{00000000-0005-0000-0000-0000C0750000}"/>
    <cellStyle name="Normal 397 3 2 2 2" xfId="30145" xr:uid="{00000000-0005-0000-0000-0000C1750000}"/>
    <cellStyle name="Normal 397 3 2 3" xfId="30146" xr:uid="{00000000-0005-0000-0000-0000C2750000}"/>
    <cellStyle name="Normal 397 3 2 3 2" xfId="30147" xr:uid="{00000000-0005-0000-0000-0000C3750000}"/>
    <cellStyle name="Normal 397 3 2 3 2 2" xfId="30148" xr:uid="{00000000-0005-0000-0000-0000C4750000}"/>
    <cellStyle name="Normal 397 3 2 3 3" xfId="30149" xr:uid="{00000000-0005-0000-0000-0000C5750000}"/>
    <cellStyle name="Normal 397 3 2 4" xfId="30150" xr:uid="{00000000-0005-0000-0000-0000C6750000}"/>
    <cellStyle name="Normal 397 3 3" xfId="30151" xr:uid="{00000000-0005-0000-0000-0000C7750000}"/>
    <cellStyle name="Normal 397 3 3 2" xfId="30152" xr:uid="{00000000-0005-0000-0000-0000C8750000}"/>
    <cellStyle name="Normal 397 3 3 2 2" xfId="30153" xr:uid="{00000000-0005-0000-0000-0000C9750000}"/>
    <cellStyle name="Normal 397 3 3 3" xfId="30154" xr:uid="{00000000-0005-0000-0000-0000CA750000}"/>
    <cellStyle name="Normal 397 3 4" xfId="30155" xr:uid="{00000000-0005-0000-0000-0000CB750000}"/>
    <cellStyle name="Normal 397 3 4 2" xfId="30156" xr:uid="{00000000-0005-0000-0000-0000CC750000}"/>
    <cellStyle name="Normal 397 3 4 2 2" xfId="30157" xr:uid="{00000000-0005-0000-0000-0000CD750000}"/>
    <cellStyle name="Normal 397 3 4 3" xfId="30158" xr:uid="{00000000-0005-0000-0000-0000CE750000}"/>
    <cellStyle name="Normal 397 3 5" xfId="30159" xr:uid="{00000000-0005-0000-0000-0000CF750000}"/>
    <cellStyle name="Normal 397 3 5 2" xfId="30160" xr:uid="{00000000-0005-0000-0000-0000D0750000}"/>
    <cellStyle name="Normal 397 3 5 2 2" xfId="30161" xr:uid="{00000000-0005-0000-0000-0000D1750000}"/>
    <cellStyle name="Normal 397 3 5 3" xfId="30162" xr:uid="{00000000-0005-0000-0000-0000D2750000}"/>
    <cellStyle name="Normal 397 3 6" xfId="30163" xr:uid="{00000000-0005-0000-0000-0000D3750000}"/>
    <cellStyle name="Normal 397 4" xfId="30164" xr:uid="{00000000-0005-0000-0000-0000D4750000}"/>
    <cellStyle name="Normal 397 4 2" xfId="30165" xr:uid="{00000000-0005-0000-0000-0000D5750000}"/>
    <cellStyle name="Normal 397 4 2 2" xfId="30166" xr:uid="{00000000-0005-0000-0000-0000D6750000}"/>
    <cellStyle name="Normal 397 4 3" xfId="30167" xr:uid="{00000000-0005-0000-0000-0000D7750000}"/>
    <cellStyle name="Normal 397 5" xfId="30168" xr:uid="{00000000-0005-0000-0000-0000D8750000}"/>
    <cellStyle name="Normal 397 5 2" xfId="30169" xr:uid="{00000000-0005-0000-0000-0000D9750000}"/>
    <cellStyle name="Normal 397 5 2 2" xfId="30170" xr:uid="{00000000-0005-0000-0000-0000DA750000}"/>
    <cellStyle name="Normal 397 5 3" xfId="30171" xr:uid="{00000000-0005-0000-0000-0000DB750000}"/>
    <cellStyle name="Normal 397 6" xfId="30172" xr:uid="{00000000-0005-0000-0000-0000DC750000}"/>
    <cellStyle name="Normal 397 6 2" xfId="30173" xr:uid="{00000000-0005-0000-0000-0000DD750000}"/>
    <cellStyle name="Normal 397 6 2 2" xfId="30174" xr:uid="{00000000-0005-0000-0000-0000DE750000}"/>
    <cellStyle name="Normal 397 6 3" xfId="30175" xr:uid="{00000000-0005-0000-0000-0000DF750000}"/>
    <cellStyle name="Normal 397 7" xfId="30176" xr:uid="{00000000-0005-0000-0000-0000E0750000}"/>
    <cellStyle name="Normal 398" xfId="30177" xr:uid="{00000000-0005-0000-0000-0000E1750000}"/>
    <cellStyle name="Normal 398 2" xfId="30178" xr:uid="{00000000-0005-0000-0000-0000E2750000}"/>
    <cellStyle name="Normal 398 2 2" xfId="30179" xr:uid="{00000000-0005-0000-0000-0000E3750000}"/>
    <cellStyle name="Normal 398 2 2 2" xfId="30180" xr:uid="{00000000-0005-0000-0000-0000E4750000}"/>
    <cellStyle name="Normal 398 2 3" xfId="30181" xr:uid="{00000000-0005-0000-0000-0000E5750000}"/>
    <cellStyle name="Normal 398 2 3 2" xfId="30182" xr:uid="{00000000-0005-0000-0000-0000E6750000}"/>
    <cellStyle name="Normal 398 2 3 2 2" xfId="30183" xr:uid="{00000000-0005-0000-0000-0000E7750000}"/>
    <cellStyle name="Normal 398 2 3 3" xfId="30184" xr:uid="{00000000-0005-0000-0000-0000E8750000}"/>
    <cellStyle name="Normal 398 2 4" xfId="30185" xr:uid="{00000000-0005-0000-0000-0000E9750000}"/>
    <cellStyle name="Normal 398 2 4 2" xfId="30186" xr:uid="{00000000-0005-0000-0000-0000EA750000}"/>
    <cellStyle name="Normal 398 2 4 2 2" xfId="30187" xr:uid="{00000000-0005-0000-0000-0000EB750000}"/>
    <cellStyle name="Normal 398 2 4 3" xfId="30188" xr:uid="{00000000-0005-0000-0000-0000EC750000}"/>
    <cellStyle name="Normal 398 2 5" xfId="30189" xr:uid="{00000000-0005-0000-0000-0000ED750000}"/>
    <cellStyle name="Normal 398 3" xfId="30190" xr:uid="{00000000-0005-0000-0000-0000EE750000}"/>
    <cellStyle name="Normal 398 3 2" xfId="30191" xr:uid="{00000000-0005-0000-0000-0000EF750000}"/>
    <cellStyle name="Normal 398 3 2 2" xfId="30192" xr:uid="{00000000-0005-0000-0000-0000F0750000}"/>
    <cellStyle name="Normal 398 3 2 2 2" xfId="30193" xr:uid="{00000000-0005-0000-0000-0000F1750000}"/>
    <cellStyle name="Normal 398 3 2 3" xfId="30194" xr:uid="{00000000-0005-0000-0000-0000F2750000}"/>
    <cellStyle name="Normal 398 3 2 3 2" xfId="30195" xr:uid="{00000000-0005-0000-0000-0000F3750000}"/>
    <cellStyle name="Normal 398 3 2 3 2 2" xfId="30196" xr:uid="{00000000-0005-0000-0000-0000F4750000}"/>
    <cellStyle name="Normal 398 3 2 3 3" xfId="30197" xr:uid="{00000000-0005-0000-0000-0000F5750000}"/>
    <cellStyle name="Normal 398 3 2 4" xfId="30198" xr:uid="{00000000-0005-0000-0000-0000F6750000}"/>
    <cellStyle name="Normal 398 3 3" xfId="30199" xr:uid="{00000000-0005-0000-0000-0000F7750000}"/>
    <cellStyle name="Normal 398 3 3 2" xfId="30200" xr:uid="{00000000-0005-0000-0000-0000F8750000}"/>
    <cellStyle name="Normal 398 3 3 2 2" xfId="30201" xr:uid="{00000000-0005-0000-0000-0000F9750000}"/>
    <cellStyle name="Normal 398 3 3 3" xfId="30202" xr:uid="{00000000-0005-0000-0000-0000FA750000}"/>
    <cellStyle name="Normal 398 3 4" xfId="30203" xr:uid="{00000000-0005-0000-0000-0000FB750000}"/>
    <cellStyle name="Normal 398 3 4 2" xfId="30204" xr:uid="{00000000-0005-0000-0000-0000FC750000}"/>
    <cellStyle name="Normal 398 3 4 2 2" xfId="30205" xr:uid="{00000000-0005-0000-0000-0000FD750000}"/>
    <cellStyle name="Normal 398 3 4 3" xfId="30206" xr:uid="{00000000-0005-0000-0000-0000FE750000}"/>
    <cellStyle name="Normal 398 3 5" xfId="30207" xr:uid="{00000000-0005-0000-0000-0000FF750000}"/>
    <cellStyle name="Normal 398 3 5 2" xfId="30208" xr:uid="{00000000-0005-0000-0000-000000760000}"/>
    <cellStyle name="Normal 398 3 5 2 2" xfId="30209" xr:uid="{00000000-0005-0000-0000-000001760000}"/>
    <cellStyle name="Normal 398 3 5 3" xfId="30210" xr:uid="{00000000-0005-0000-0000-000002760000}"/>
    <cellStyle name="Normal 398 3 6" xfId="30211" xr:uid="{00000000-0005-0000-0000-000003760000}"/>
    <cellStyle name="Normal 398 4" xfId="30212" xr:uid="{00000000-0005-0000-0000-000004760000}"/>
    <cellStyle name="Normal 398 4 2" xfId="30213" xr:uid="{00000000-0005-0000-0000-000005760000}"/>
    <cellStyle name="Normal 398 4 2 2" xfId="30214" xr:uid="{00000000-0005-0000-0000-000006760000}"/>
    <cellStyle name="Normal 398 4 3" xfId="30215" xr:uid="{00000000-0005-0000-0000-000007760000}"/>
    <cellStyle name="Normal 398 5" xfId="30216" xr:uid="{00000000-0005-0000-0000-000008760000}"/>
    <cellStyle name="Normal 398 5 2" xfId="30217" xr:uid="{00000000-0005-0000-0000-000009760000}"/>
    <cellStyle name="Normal 398 5 2 2" xfId="30218" xr:uid="{00000000-0005-0000-0000-00000A760000}"/>
    <cellStyle name="Normal 398 5 3" xfId="30219" xr:uid="{00000000-0005-0000-0000-00000B760000}"/>
    <cellStyle name="Normal 398 6" xfId="30220" xr:uid="{00000000-0005-0000-0000-00000C760000}"/>
    <cellStyle name="Normal 398 6 2" xfId="30221" xr:uid="{00000000-0005-0000-0000-00000D760000}"/>
    <cellStyle name="Normal 398 6 2 2" xfId="30222" xr:uid="{00000000-0005-0000-0000-00000E760000}"/>
    <cellStyle name="Normal 398 6 3" xfId="30223" xr:uid="{00000000-0005-0000-0000-00000F760000}"/>
    <cellStyle name="Normal 398 7" xfId="30224" xr:uid="{00000000-0005-0000-0000-000010760000}"/>
    <cellStyle name="Normal 399" xfId="30225" xr:uid="{00000000-0005-0000-0000-000011760000}"/>
    <cellStyle name="Normal 399 2" xfId="30226" xr:uid="{00000000-0005-0000-0000-000012760000}"/>
    <cellStyle name="Normal 399 2 2" xfId="30227" xr:uid="{00000000-0005-0000-0000-000013760000}"/>
    <cellStyle name="Normal 399 2 2 2" xfId="30228" xr:uid="{00000000-0005-0000-0000-000014760000}"/>
    <cellStyle name="Normal 399 2 3" xfId="30229" xr:uid="{00000000-0005-0000-0000-000015760000}"/>
    <cellStyle name="Normal 399 2 3 2" xfId="30230" xr:uid="{00000000-0005-0000-0000-000016760000}"/>
    <cellStyle name="Normal 399 2 3 2 2" xfId="30231" xr:uid="{00000000-0005-0000-0000-000017760000}"/>
    <cellStyle name="Normal 399 2 3 3" xfId="30232" xr:uid="{00000000-0005-0000-0000-000018760000}"/>
    <cellStyle name="Normal 399 2 4" xfId="30233" xr:uid="{00000000-0005-0000-0000-000019760000}"/>
    <cellStyle name="Normal 399 2 4 2" xfId="30234" xr:uid="{00000000-0005-0000-0000-00001A760000}"/>
    <cellStyle name="Normal 399 2 4 2 2" xfId="30235" xr:uid="{00000000-0005-0000-0000-00001B760000}"/>
    <cellStyle name="Normal 399 2 4 3" xfId="30236" xr:uid="{00000000-0005-0000-0000-00001C760000}"/>
    <cellStyle name="Normal 399 2 5" xfId="30237" xr:uid="{00000000-0005-0000-0000-00001D760000}"/>
    <cellStyle name="Normal 399 3" xfId="30238" xr:uid="{00000000-0005-0000-0000-00001E760000}"/>
    <cellStyle name="Normal 399 3 2" xfId="30239" xr:uid="{00000000-0005-0000-0000-00001F760000}"/>
    <cellStyle name="Normal 399 3 2 2" xfId="30240" xr:uid="{00000000-0005-0000-0000-000020760000}"/>
    <cellStyle name="Normal 399 3 2 2 2" xfId="30241" xr:uid="{00000000-0005-0000-0000-000021760000}"/>
    <cellStyle name="Normal 399 3 2 3" xfId="30242" xr:uid="{00000000-0005-0000-0000-000022760000}"/>
    <cellStyle name="Normal 399 3 2 3 2" xfId="30243" xr:uid="{00000000-0005-0000-0000-000023760000}"/>
    <cellStyle name="Normal 399 3 2 3 2 2" xfId="30244" xr:uid="{00000000-0005-0000-0000-000024760000}"/>
    <cellStyle name="Normal 399 3 2 3 3" xfId="30245" xr:uid="{00000000-0005-0000-0000-000025760000}"/>
    <cellStyle name="Normal 399 3 2 4" xfId="30246" xr:uid="{00000000-0005-0000-0000-000026760000}"/>
    <cellStyle name="Normal 399 3 3" xfId="30247" xr:uid="{00000000-0005-0000-0000-000027760000}"/>
    <cellStyle name="Normal 399 3 3 2" xfId="30248" xr:uid="{00000000-0005-0000-0000-000028760000}"/>
    <cellStyle name="Normal 399 3 3 2 2" xfId="30249" xr:uid="{00000000-0005-0000-0000-000029760000}"/>
    <cellStyle name="Normal 399 3 3 3" xfId="30250" xr:uid="{00000000-0005-0000-0000-00002A760000}"/>
    <cellStyle name="Normal 399 3 4" xfId="30251" xr:uid="{00000000-0005-0000-0000-00002B760000}"/>
    <cellStyle name="Normal 399 3 4 2" xfId="30252" xr:uid="{00000000-0005-0000-0000-00002C760000}"/>
    <cellStyle name="Normal 399 3 4 2 2" xfId="30253" xr:uid="{00000000-0005-0000-0000-00002D760000}"/>
    <cellStyle name="Normal 399 3 4 3" xfId="30254" xr:uid="{00000000-0005-0000-0000-00002E760000}"/>
    <cellStyle name="Normal 399 3 5" xfId="30255" xr:uid="{00000000-0005-0000-0000-00002F760000}"/>
    <cellStyle name="Normal 399 3 5 2" xfId="30256" xr:uid="{00000000-0005-0000-0000-000030760000}"/>
    <cellStyle name="Normal 399 3 5 2 2" xfId="30257" xr:uid="{00000000-0005-0000-0000-000031760000}"/>
    <cellStyle name="Normal 399 3 5 3" xfId="30258" xr:uid="{00000000-0005-0000-0000-000032760000}"/>
    <cellStyle name="Normal 399 3 6" xfId="30259" xr:uid="{00000000-0005-0000-0000-000033760000}"/>
    <cellStyle name="Normal 399 4" xfId="30260" xr:uid="{00000000-0005-0000-0000-000034760000}"/>
    <cellStyle name="Normal 399 4 2" xfId="30261" xr:uid="{00000000-0005-0000-0000-000035760000}"/>
    <cellStyle name="Normal 399 4 2 2" xfId="30262" xr:uid="{00000000-0005-0000-0000-000036760000}"/>
    <cellStyle name="Normal 399 4 3" xfId="30263" xr:uid="{00000000-0005-0000-0000-000037760000}"/>
    <cellStyle name="Normal 399 5" xfId="30264" xr:uid="{00000000-0005-0000-0000-000038760000}"/>
    <cellStyle name="Normal 399 5 2" xfId="30265" xr:uid="{00000000-0005-0000-0000-000039760000}"/>
    <cellStyle name="Normal 399 5 2 2" xfId="30266" xr:uid="{00000000-0005-0000-0000-00003A760000}"/>
    <cellStyle name="Normal 399 5 3" xfId="30267" xr:uid="{00000000-0005-0000-0000-00003B760000}"/>
    <cellStyle name="Normal 399 6" xfId="30268" xr:uid="{00000000-0005-0000-0000-00003C760000}"/>
    <cellStyle name="Normal 399 6 2" xfId="30269" xr:uid="{00000000-0005-0000-0000-00003D760000}"/>
    <cellStyle name="Normal 399 6 2 2" xfId="30270" xr:uid="{00000000-0005-0000-0000-00003E760000}"/>
    <cellStyle name="Normal 399 6 3" xfId="30271" xr:uid="{00000000-0005-0000-0000-00003F760000}"/>
    <cellStyle name="Normal 399 7" xfId="30272" xr:uid="{00000000-0005-0000-0000-000040760000}"/>
    <cellStyle name="Normal 4" xfId="30273" xr:uid="{00000000-0005-0000-0000-000041760000}"/>
    <cellStyle name="Normal 4 10" xfId="30274" xr:uid="{00000000-0005-0000-0000-000042760000}"/>
    <cellStyle name="Normal 4 10 2" xfId="30275" xr:uid="{00000000-0005-0000-0000-000043760000}"/>
    <cellStyle name="Normal 4 11" xfId="30276" xr:uid="{00000000-0005-0000-0000-000044760000}"/>
    <cellStyle name="Normal 4 12" xfId="30277" xr:uid="{00000000-0005-0000-0000-000045760000}"/>
    <cellStyle name="Normal 4 2" xfId="30278" xr:uid="{00000000-0005-0000-0000-000046760000}"/>
    <cellStyle name="Normal 4 2 2" xfId="30279" xr:uid="{00000000-0005-0000-0000-000047760000}"/>
    <cellStyle name="Normal 4 2 2 2" xfId="30280" xr:uid="{00000000-0005-0000-0000-000048760000}"/>
    <cellStyle name="Normal 4 2 2 2 2" xfId="30281" xr:uid="{00000000-0005-0000-0000-000049760000}"/>
    <cellStyle name="Normal 4 2 2 3" xfId="30282" xr:uid="{00000000-0005-0000-0000-00004A760000}"/>
    <cellStyle name="Normal 4 2 2 3 2" xfId="30283" xr:uid="{00000000-0005-0000-0000-00004B760000}"/>
    <cellStyle name="Normal 4 2 2 3 2 2" xfId="30284" xr:uid="{00000000-0005-0000-0000-00004C760000}"/>
    <cellStyle name="Normal 4 2 2 3 3" xfId="30285" xr:uid="{00000000-0005-0000-0000-00004D760000}"/>
    <cellStyle name="Normal 4 2 2 4" xfId="30286" xr:uid="{00000000-0005-0000-0000-00004E760000}"/>
    <cellStyle name="Normal 4 2 2 4 2" xfId="30287" xr:uid="{00000000-0005-0000-0000-00004F760000}"/>
    <cellStyle name="Normal 4 2 2 4 2 2" xfId="30288" xr:uid="{00000000-0005-0000-0000-000050760000}"/>
    <cellStyle name="Normal 4 2 2 4 3" xfId="30289" xr:uid="{00000000-0005-0000-0000-000051760000}"/>
    <cellStyle name="Normal 4 2 2 5" xfId="30290" xr:uid="{00000000-0005-0000-0000-000052760000}"/>
    <cellStyle name="Normal 4 2 3" xfId="30291" xr:uid="{00000000-0005-0000-0000-000053760000}"/>
    <cellStyle name="Normal 4 2 3 2" xfId="30292" xr:uid="{00000000-0005-0000-0000-000054760000}"/>
    <cellStyle name="Normal 4 2 3 2 2" xfId="30293" xr:uid="{00000000-0005-0000-0000-000055760000}"/>
    <cellStyle name="Normal 4 2 3 2 2 2" xfId="30294" xr:uid="{00000000-0005-0000-0000-000056760000}"/>
    <cellStyle name="Normal 4 2 3 2 3" xfId="30295" xr:uid="{00000000-0005-0000-0000-000057760000}"/>
    <cellStyle name="Normal 4 2 3 2 3 2" xfId="30296" xr:uid="{00000000-0005-0000-0000-000058760000}"/>
    <cellStyle name="Normal 4 2 3 2 3 2 2" xfId="30297" xr:uid="{00000000-0005-0000-0000-000059760000}"/>
    <cellStyle name="Normal 4 2 3 2 3 3" xfId="30298" xr:uid="{00000000-0005-0000-0000-00005A760000}"/>
    <cellStyle name="Normal 4 2 3 2 4" xfId="30299" xr:uid="{00000000-0005-0000-0000-00005B760000}"/>
    <cellStyle name="Normal 4 2 3 3" xfId="30300" xr:uid="{00000000-0005-0000-0000-00005C760000}"/>
    <cellStyle name="Normal 4 2 3 3 2" xfId="30301" xr:uid="{00000000-0005-0000-0000-00005D760000}"/>
    <cellStyle name="Normal 4 2 3 3 2 2" xfId="30302" xr:uid="{00000000-0005-0000-0000-00005E760000}"/>
    <cellStyle name="Normal 4 2 3 3 3" xfId="30303" xr:uid="{00000000-0005-0000-0000-00005F760000}"/>
    <cellStyle name="Normal 4 2 3 4" xfId="30304" xr:uid="{00000000-0005-0000-0000-000060760000}"/>
    <cellStyle name="Normal 4 2 3 4 2" xfId="30305" xr:uid="{00000000-0005-0000-0000-000061760000}"/>
    <cellStyle name="Normal 4 2 3 4 2 2" xfId="30306" xr:uid="{00000000-0005-0000-0000-000062760000}"/>
    <cellStyle name="Normal 4 2 3 4 3" xfId="30307" xr:uid="{00000000-0005-0000-0000-000063760000}"/>
    <cellStyle name="Normal 4 2 3 5" xfId="30308" xr:uid="{00000000-0005-0000-0000-000064760000}"/>
    <cellStyle name="Normal 4 2 3 5 2" xfId="30309" xr:uid="{00000000-0005-0000-0000-000065760000}"/>
    <cellStyle name="Normal 4 2 3 5 2 2" xfId="30310" xr:uid="{00000000-0005-0000-0000-000066760000}"/>
    <cellStyle name="Normal 4 2 3 5 3" xfId="30311" xr:uid="{00000000-0005-0000-0000-000067760000}"/>
    <cellStyle name="Normal 4 2 3 6" xfId="30312" xr:uid="{00000000-0005-0000-0000-000068760000}"/>
    <cellStyle name="Normal 4 2 4" xfId="30313" xr:uid="{00000000-0005-0000-0000-000069760000}"/>
    <cellStyle name="Normal 4 2 4 2" xfId="30314" xr:uid="{00000000-0005-0000-0000-00006A760000}"/>
    <cellStyle name="Normal 4 2 4 2 2" xfId="30315" xr:uid="{00000000-0005-0000-0000-00006B760000}"/>
    <cellStyle name="Normal 4 2 4 3" xfId="30316" xr:uid="{00000000-0005-0000-0000-00006C760000}"/>
    <cellStyle name="Normal 4 2 5" xfId="30317" xr:uid="{00000000-0005-0000-0000-00006D760000}"/>
    <cellStyle name="Normal 4 2 5 2" xfId="30318" xr:uid="{00000000-0005-0000-0000-00006E760000}"/>
    <cellStyle name="Normal 4 2 5 2 2" xfId="30319" xr:uid="{00000000-0005-0000-0000-00006F760000}"/>
    <cellStyle name="Normal 4 2 5 3" xfId="30320" xr:uid="{00000000-0005-0000-0000-000070760000}"/>
    <cellStyle name="Normal 4 2 6" xfId="30321" xr:uid="{00000000-0005-0000-0000-000071760000}"/>
    <cellStyle name="Normal 4 2 6 2" xfId="30322" xr:uid="{00000000-0005-0000-0000-000072760000}"/>
    <cellStyle name="Normal 4 2 6 2 2" xfId="30323" xr:uid="{00000000-0005-0000-0000-000073760000}"/>
    <cellStyle name="Normal 4 2 6 3" xfId="30324" xr:uid="{00000000-0005-0000-0000-000074760000}"/>
    <cellStyle name="Normal 4 2 7" xfId="30325" xr:uid="{00000000-0005-0000-0000-000075760000}"/>
    <cellStyle name="Normal 4 2 7 2" xfId="30326" xr:uid="{00000000-0005-0000-0000-000076760000}"/>
    <cellStyle name="Normal 4 2 8" xfId="30327" xr:uid="{00000000-0005-0000-0000-000077760000}"/>
    <cellStyle name="Normal 4 3" xfId="30328" xr:uid="{00000000-0005-0000-0000-000078760000}"/>
    <cellStyle name="Normal 4 3 2" xfId="30329" xr:uid="{00000000-0005-0000-0000-000079760000}"/>
    <cellStyle name="Normal 4 3 2 2" xfId="30330" xr:uid="{00000000-0005-0000-0000-00007A760000}"/>
    <cellStyle name="Normal 4 3 2 2 2" xfId="30331" xr:uid="{00000000-0005-0000-0000-00007B760000}"/>
    <cellStyle name="Normal 4 3 2 3" xfId="30332" xr:uid="{00000000-0005-0000-0000-00007C760000}"/>
    <cellStyle name="Normal 4 3 2 3 2" xfId="30333" xr:uid="{00000000-0005-0000-0000-00007D760000}"/>
    <cellStyle name="Normal 4 3 2 3 2 2" xfId="30334" xr:uid="{00000000-0005-0000-0000-00007E760000}"/>
    <cellStyle name="Normal 4 3 2 3 3" xfId="30335" xr:uid="{00000000-0005-0000-0000-00007F760000}"/>
    <cellStyle name="Normal 4 3 2 4" xfId="30336" xr:uid="{00000000-0005-0000-0000-000080760000}"/>
    <cellStyle name="Normal 4 3 2 4 2" xfId="30337" xr:uid="{00000000-0005-0000-0000-000081760000}"/>
    <cellStyle name="Normal 4 3 2 4 2 2" xfId="30338" xr:uid="{00000000-0005-0000-0000-000082760000}"/>
    <cellStyle name="Normal 4 3 2 4 3" xfId="30339" xr:uid="{00000000-0005-0000-0000-000083760000}"/>
    <cellStyle name="Normal 4 3 2 5" xfId="30340" xr:uid="{00000000-0005-0000-0000-000084760000}"/>
    <cellStyle name="Normal 4 3 3" xfId="30341" xr:uid="{00000000-0005-0000-0000-000085760000}"/>
    <cellStyle name="Normal 4 3 3 2" xfId="30342" xr:uid="{00000000-0005-0000-0000-000086760000}"/>
    <cellStyle name="Normal 4 3 3 2 2" xfId="30343" xr:uid="{00000000-0005-0000-0000-000087760000}"/>
    <cellStyle name="Normal 4 3 3 3" xfId="30344" xr:uid="{00000000-0005-0000-0000-000088760000}"/>
    <cellStyle name="Normal 4 3 4" xfId="30345" xr:uid="{00000000-0005-0000-0000-000089760000}"/>
    <cellStyle name="Normal 4 3 4 2" xfId="30346" xr:uid="{00000000-0005-0000-0000-00008A760000}"/>
    <cellStyle name="Normal 4 3 4 2 2" xfId="30347" xr:uid="{00000000-0005-0000-0000-00008B760000}"/>
    <cellStyle name="Normal 4 3 4 3" xfId="30348" xr:uid="{00000000-0005-0000-0000-00008C760000}"/>
    <cellStyle name="Normal 4 3 5" xfId="30349" xr:uid="{00000000-0005-0000-0000-00008D760000}"/>
    <cellStyle name="Normal 4 3 5 2" xfId="30350" xr:uid="{00000000-0005-0000-0000-00008E760000}"/>
    <cellStyle name="Normal 4 3 5 2 2" xfId="30351" xr:uid="{00000000-0005-0000-0000-00008F760000}"/>
    <cellStyle name="Normal 4 3 5 3" xfId="30352" xr:uid="{00000000-0005-0000-0000-000090760000}"/>
    <cellStyle name="Normal 4 3 6" xfId="30353" xr:uid="{00000000-0005-0000-0000-000091760000}"/>
    <cellStyle name="Normal 4 4" xfId="30354" xr:uid="{00000000-0005-0000-0000-000092760000}"/>
    <cellStyle name="Normal 4 4 2" xfId="30355" xr:uid="{00000000-0005-0000-0000-000093760000}"/>
    <cellStyle name="Normal 4 4 2 2" xfId="30356" xr:uid="{00000000-0005-0000-0000-000094760000}"/>
    <cellStyle name="Normal 4 4 2 2 2" xfId="30357" xr:uid="{00000000-0005-0000-0000-000095760000}"/>
    <cellStyle name="Normal 4 4 2 3" xfId="30358" xr:uid="{00000000-0005-0000-0000-000096760000}"/>
    <cellStyle name="Normal 4 4 2 3 2" xfId="30359" xr:uid="{00000000-0005-0000-0000-000097760000}"/>
    <cellStyle name="Normal 4 4 2 3 2 2" xfId="30360" xr:uid="{00000000-0005-0000-0000-000098760000}"/>
    <cellStyle name="Normal 4 4 2 3 3" xfId="30361" xr:uid="{00000000-0005-0000-0000-000099760000}"/>
    <cellStyle name="Normal 4 4 2 4" xfId="30362" xr:uid="{00000000-0005-0000-0000-00009A760000}"/>
    <cellStyle name="Normal 4 4 2 4 2" xfId="30363" xr:uid="{00000000-0005-0000-0000-00009B760000}"/>
    <cellStyle name="Normal 4 4 2 4 2 2" xfId="30364" xr:uid="{00000000-0005-0000-0000-00009C760000}"/>
    <cellStyle name="Normal 4 4 2 4 3" xfId="30365" xr:uid="{00000000-0005-0000-0000-00009D760000}"/>
    <cellStyle name="Normal 4 4 2 5" xfId="30366" xr:uid="{00000000-0005-0000-0000-00009E760000}"/>
    <cellStyle name="Normal 4 4 3" xfId="30367" xr:uid="{00000000-0005-0000-0000-00009F760000}"/>
    <cellStyle name="Normal 4 4 3 2" xfId="30368" xr:uid="{00000000-0005-0000-0000-0000A0760000}"/>
    <cellStyle name="Normal 4 4 3 2 2" xfId="30369" xr:uid="{00000000-0005-0000-0000-0000A1760000}"/>
    <cellStyle name="Normal 4 4 3 3" xfId="30370" xr:uid="{00000000-0005-0000-0000-0000A2760000}"/>
    <cellStyle name="Normal 4 4 4" xfId="30371" xr:uid="{00000000-0005-0000-0000-0000A3760000}"/>
    <cellStyle name="Normal 4 4 4 2" xfId="30372" xr:uid="{00000000-0005-0000-0000-0000A4760000}"/>
    <cellStyle name="Normal 4 4 4 2 2" xfId="30373" xr:uid="{00000000-0005-0000-0000-0000A5760000}"/>
    <cellStyle name="Normal 4 4 4 3" xfId="30374" xr:uid="{00000000-0005-0000-0000-0000A6760000}"/>
    <cellStyle name="Normal 4 4 5" xfId="30375" xr:uid="{00000000-0005-0000-0000-0000A7760000}"/>
    <cellStyle name="Normal 4 4 5 2" xfId="30376" xr:uid="{00000000-0005-0000-0000-0000A8760000}"/>
    <cellStyle name="Normal 4 4 5 2 2" xfId="30377" xr:uid="{00000000-0005-0000-0000-0000A9760000}"/>
    <cellStyle name="Normal 4 4 5 3" xfId="30378" xr:uid="{00000000-0005-0000-0000-0000AA760000}"/>
    <cellStyle name="Normal 4 4 6" xfId="30379" xr:uid="{00000000-0005-0000-0000-0000AB760000}"/>
    <cellStyle name="Normal 4 5" xfId="30380" xr:uid="{00000000-0005-0000-0000-0000AC760000}"/>
    <cellStyle name="Normal 4 5 2" xfId="30381" xr:uid="{00000000-0005-0000-0000-0000AD760000}"/>
    <cellStyle name="Normal 4 5 2 2" xfId="30382" xr:uid="{00000000-0005-0000-0000-0000AE760000}"/>
    <cellStyle name="Normal 4 5 3" xfId="30383" xr:uid="{00000000-0005-0000-0000-0000AF760000}"/>
    <cellStyle name="Normal 4 5 3 2" xfId="30384" xr:uid="{00000000-0005-0000-0000-0000B0760000}"/>
    <cellStyle name="Normal 4 5 3 2 2" xfId="30385" xr:uid="{00000000-0005-0000-0000-0000B1760000}"/>
    <cellStyle name="Normal 4 5 3 3" xfId="30386" xr:uid="{00000000-0005-0000-0000-0000B2760000}"/>
    <cellStyle name="Normal 4 5 4" xfId="30387" xr:uid="{00000000-0005-0000-0000-0000B3760000}"/>
    <cellStyle name="Normal 4 5 4 2" xfId="30388" xr:uid="{00000000-0005-0000-0000-0000B4760000}"/>
    <cellStyle name="Normal 4 5 4 2 2" xfId="30389" xr:uid="{00000000-0005-0000-0000-0000B5760000}"/>
    <cellStyle name="Normal 4 5 4 3" xfId="30390" xr:uid="{00000000-0005-0000-0000-0000B6760000}"/>
    <cellStyle name="Normal 4 5 5" xfId="30391" xr:uid="{00000000-0005-0000-0000-0000B7760000}"/>
    <cellStyle name="Normal 4 6" xfId="30392" xr:uid="{00000000-0005-0000-0000-0000B8760000}"/>
    <cellStyle name="Normal 4 6 2" xfId="30393" xr:uid="{00000000-0005-0000-0000-0000B9760000}"/>
    <cellStyle name="Normal 4 6 2 2" xfId="30394" xr:uid="{00000000-0005-0000-0000-0000BA760000}"/>
    <cellStyle name="Normal 4 6 3" xfId="30395" xr:uid="{00000000-0005-0000-0000-0000BB760000}"/>
    <cellStyle name="Normal 4 6 3 2" xfId="30396" xr:uid="{00000000-0005-0000-0000-0000BC760000}"/>
    <cellStyle name="Normal 4 6 3 2 2" xfId="30397" xr:uid="{00000000-0005-0000-0000-0000BD760000}"/>
    <cellStyle name="Normal 4 6 3 3" xfId="30398" xr:uid="{00000000-0005-0000-0000-0000BE760000}"/>
    <cellStyle name="Normal 4 6 4" xfId="30399" xr:uid="{00000000-0005-0000-0000-0000BF760000}"/>
    <cellStyle name="Normal 4 6 4 2" xfId="30400" xr:uid="{00000000-0005-0000-0000-0000C0760000}"/>
    <cellStyle name="Normal 4 6 4 2 2" xfId="30401" xr:uid="{00000000-0005-0000-0000-0000C1760000}"/>
    <cellStyle name="Normal 4 6 4 3" xfId="30402" xr:uid="{00000000-0005-0000-0000-0000C2760000}"/>
    <cellStyle name="Normal 4 6 5" xfId="30403" xr:uid="{00000000-0005-0000-0000-0000C3760000}"/>
    <cellStyle name="Normal 4 7" xfId="30404" xr:uid="{00000000-0005-0000-0000-0000C4760000}"/>
    <cellStyle name="Normal 4 7 2" xfId="30405" xr:uid="{00000000-0005-0000-0000-0000C5760000}"/>
    <cellStyle name="Normal 4 7 2 2" xfId="30406" xr:uid="{00000000-0005-0000-0000-0000C6760000}"/>
    <cellStyle name="Normal 4 7 3" xfId="30407" xr:uid="{00000000-0005-0000-0000-0000C7760000}"/>
    <cellStyle name="Normal 4 8" xfId="30408" xr:uid="{00000000-0005-0000-0000-0000C8760000}"/>
    <cellStyle name="Normal 4 8 2" xfId="30409" xr:uid="{00000000-0005-0000-0000-0000C9760000}"/>
    <cellStyle name="Normal 4 8 2 2" xfId="30410" xr:uid="{00000000-0005-0000-0000-0000CA760000}"/>
    <cellStyle name="Normal 4 8 3" xfId="30411" xr:uid="{00000000-0005-0000-0000-0000CB760000}"/>
    <cellStyle name="Normal 4 9" xfId="30412" xr:uid="{00000000-0005-0000-0000-0000CC760000}"/>
    <cellStyle name="Normal 4 9 2" xfId="30413" xr:uid="{00000000-0005-0000-0000-0000CD760000}"/>
    <cellStyle name="Normal 4 9 2 2" xfId="30414" xr:uid="{00000000-0005-0000-0000-0000CE760000}"/>
    <cellStyle name="Normal 4 9 3" xfId="30415" xr:uid="{00000000-0005-0000-0000-0000CF760000}"/>
    <cellStyle name="Normal 40" xfId="30416" xr:uid="{00000000-0005-0000-0000-0000D0760000}"/>
    <cellStyle name="Normal 40 2" xfId="30417" xr:uid="{00000000-0005-0000-0000-0000D1760000}"/>
    <cellStyle name="Normal 40 2 2" xfId="30418" xr:uid="{00000000-0005-0000-0000-0000D2760000}"/>
    <cellStyle name="Normal 40 2 2 2" xfId="30419" xr:uid="{00000000-0005-0000-0000-0000D3760000}"/>
    <cellStyle name="Normal 40 2 2 2 2" xfId="30420" xr:uid="{00000000-0005-0000-0000-0000D4760000}"/>
    <cellStyle name="Normal 40 2 2 3" xfId="30421" xr:uid="{00000000-0005-0000-0000-0000D5760000}"/>
    <cellStyle name="Normal 40 2 2 3 2" xfId="30422" xr:uid="{00000000-0005-0000-0000-0000D6760000}"/>
    <cellStyle name="Normal 40 2 2 3 2 2" xfId="30423" xr:uid="{00000000-0005-0000-0000-0000D7760000}"/>
    <cellStyle name="Normal 40 2 2 3 3" xfId="30424" xr:uid="{00000000-0005-0000-0000-0000D8760000}"/>
    <cellStyle name="Normal 40 2 2 4" xfId="30425" xr:uid="{00000000-0005-0000-0000-0000D9760000}"/>
    <cellStyle name="Normal 40 2 2 4 2" xfId="30426" xr:uid="{00000000-0005-0000-0000-0000DA760000}"/>
    <cellStyle name="Normal 40 2 2 4 2 2" xfId="30427" xr:uid="{00000000-0005-0000-0000-0000DB760000}"/>
    <cellStyle name="Normal 40 2 2 4 3" xfId="30428" xr:uid="{00000000-0005-0000-0000-0000DC760000}"/>
    <cellStyle name="Normal 40 2 2 5" xfId="30429" xr:uid="{00000000-0005-0000-0000-0000DD760000}"/>
    <cellStyle name="Normal 40 2 3" xfId="30430" xr:uid="{00000000-0005-0000-0000-0000DE760000}"/>
    <cellStyle name="Normal 40 2 3 2" xfId="30431" xr:uid="{00000000-0005-0000-0000-0000DF760000}"/>
    <cellStyle name="Normal 40 2 3 2 2" xfId="30432" xr:uid="{00000000-0005-0000-0000-0000E0760000}"/>
    <cellStyle name="Normal 40 2 3 3" xfId="30433" xr:uid="{00000000-0005-0000-0000-0000E1760000}"/>
    <cellStyle name="Normal 40 2 4" xfId="30434" xr:uid="{00000000-0005-0000-0000-0000E2760000}"/>
    <cellStyle name="Normal 40 2 4 2" xfId="30435" xr:uid="{00000000-0005-0000-0000-0000E3760000}"/>
    <cellStyle name="Normal 40 2 4 2 2" xfId="30436" xr:uid="{00000000-0005-0000-0000-0000E4760000}"/>
    <cellStyle name="Normal 40 2 4 3" xfId="30437" xr:uid="{00000000-0005-0000-0000-0000E5760000}"/>
    <cellStyle name="Normal 40 2 5" xfId="30438" xr:uid="{00000000-0005-0000-0000-0000E6760000}"/>
    <cellStyle name="Normal 40 2 5 2" xfId="30439" xr:uid="{00000000-0005-0000-0000-0000E7760000}"/>
    <cellStyle name="Normal 40 2 5 2 2" xfId="30440" xr:uid="{00000000-0005-0000-0000-0000E8760000}"/>
    <cellStyle name="Normal 40 2 5 3" xfId="30441" xr:uid="{00000000-0005-0000-0000-0000E9760000}"/>
    <cellStyle name="Normal 40 2 6" xfId="30442" xr:uid="{00000000-0005-0000-0000-0000EA760000}"/>
    <cellStyle name="Normal 40 3" xfId="30443" xr:uid="{00000000-0005-0000-0000-0000EB760000}"/>
    <cellStyle name="Normal 40 3 2" xfId="30444" xr:uid="{00000000-0005-0000-0000-0000EC760000}"/>
    <cellStyle name="Normal 40 3 2 2" xfId="30445" xr:uid="{00000000-0005-0000-0000-0000ED760000}"/>
    <cellStyle name="Normal 40 3 3" xfId="30446" xr:uid="{00000000-0005-0000-0000-0000EE760000}"/>
    <cellStyle name="Normal 40 3 3 2" xfId="30447" xr:uid="{00000000-0005-0000-0000-0000EF760000}"/>
    <cellStyle name="Normal 40 3 3 2 2" xfId="30448" xr:uid="{00000000-0005-0000-0000-0000F0760000}"/>
    <cellStyle name="Normal 40 3 3 3" xfId="30449" xr:uid="{00000000-0005-0000-0000-0000F1760000}"/>
    <cellStyle name="Normal 40 3 4" xfId="30450" xr:uid="{00000000-0005-0000-0000-0000F2760000}"/>
    <cellStyle name="Normal 40 3 4 2" xfId="30451" xr:uid="{00000000-0005-0000-0000-0000F3760000}"/>
    <cellStyle name="Normal 40 3 4 2 2" xfId="30452" xr:uid="{00000000-0005-0000-0000-0000F4760000}"/>
    <cellStyle name="Normal 40 3 4 3" xfId="30453" xr:uid="{00000000-0005-0000-0000-0000F5760000}"/>
    <cellStyle name="Normal 40 3 5" xfId="30454" xr:uid="{00000000-0005-0000-0000-0000F6760000}"/>
    <cellStyle name="Normal 40 4" xfId="30455" xr:uid="{00000000-0005-0000-0000-0000F7760000}"/>
    <cellStyle name="Normal 40 4 2" xfId="30456" xr:uid="{00000000-0005-0000-0000-0000F8760000}"/>
    <cellStyle name="Normal 40 4 2 2" xfId="30457" xr:uid="{00000000-0005-0000-0000-0000F9760000}"/>
    <cellStyle name="Normal 40 4 3" xfId="30458" xr:uid="{00000000-0005-0000-0000-0000FA760000}"/>
    <cellStyle name="Normal 40 5" xfId="30459" xr:uid="{00000000-0005-0000-0000-0000FB760000}"/>
    <cellStyle name="Normal 40 5 2" xfId="30460" xr:uid="{00000000-0005-0000-0000-0000FC760000}"/>
    <cellStyle name="Normal 40 5 2 2" xfId="30461" xr:uid="{00000000-0005-0000-0000-0000FD760000}"/>
    <cellStyle name="Normal 40 5 3" xfId="30462" xr:uid="{00000000-0005-0000-0000-0000FE760000}"/>
    <cellStyle name="Normal 40 6" xfId="30463" xr:uid="{00000000-0005-0000-0000-0000FF760000}"/>
    <cellStyle name="Normal 40 6 2" xfId="30464" xr:uid="{00000000-0005-0000-0000-000000770000}"/>
    <cellStyle name="Normal 40 6 2 2" xfId="30465" xr:uid="{00000000-0005-0000-0000-000001770000}"/>
    <cellStyle name="Normal 40 6 3" xfId="30466" xr:uid="{00000000-0005-0000-0000-000002770000}"/>
    <cellStyle name="Normal 40 7" xfId="30467" xr:uid="{00000000-0005-0000-0000-000003770000}"/>
    <cellStyle name="Normal 400" xfId="30468" xr:uid="{00000000-0005-0000-0000-000004770000}"/>
    <cellStyle name="Normal 400 2" xfId="30469" xr:uid="{00000000-0005-0000-0000-000005770000}"/>
    <cellStyle name="Normal 400 2 2" xfId="30470" xr:uid="{00000000-0005-0000-0000-000006770000}"/>
    <cellStyle name="Normal 400 2 2 2" xfId="30471" xr:uid="{00000000-0005-0000-0000-000007770000}"/>
    <cellStyle name="Normal 400 2 3" xfId="30472" xr:uid="{00000000-0005-0000-0000-000008770000}"/>
    <cellStyle name="Normal 400 2 3 2" xfId="30473" xr:uid="{00000000-0005-0000-0000-000009770000}"/>
    <cellStyle name="Normal 400 2 3 2 2" xfId="30474" xr:uid="{00000000-0005-0000-0000-00000A770000}"/>
    <cellStyle name="Normal 400 2 3 3" xfId="30475" xr:uid="{00000000-0005-0000-0000-00000B770000}"/>
    <cellStyle name="Normal 400 2 4" xfId="30476" xr:uid="{00000000-0005-0000-0000-00000C770000}"/>
    <cellStyle name="Normal 400 2 4 2" xfId="30477" xr:uid="{00000000-0005-0000-0000-00000D770000}"/>
    <cellStyle name="Normal 400 2 4 2 2" xfId="30478" xr:uid="{00000000-0005-0000-0000-00000E770000}"/>
    <cellStyle name="Normal 400 2 4 3" xfId="30479" xr:uid="{00000000-0005-0000-0000-00000F770000}"/>
    <cellStyle name="Normal 400 2 5" xfId="30480" xr:uid="{00000000-0005-0000-0000-000010770000}"/>
    <cellStyle name="Normal 400 3" xfId="30481" xr:uid="{00000000-0005-0000-0000-000011770000}"/>
    <cellStyle name="Normal 400 3 2" xfId="30482" xr:uid="{00000000-0005-0000-0000-000012770000}"/>
    <cellStyle name="Normal 400 3 2 2" xfId="30483" xr:uid="{00000000-0005-0000-0000-000013770000}"/>
    <cellStyle name="Normal 400 3 2 2 2" xfId="30484" xr:uid="{00000000-0005-0000-0000-000014770000}"/>
    <cellStyle name="Normal 400 3 2 3" xfId="30485" xr:uid="{00000000-0005-0000-0000-000015770000}"/>
    <cellStyle name="Normal 400 3 2 3 2" xfId="30486" xr:uid="{00000000-0005-0000-0000-000016770000}"/>
    <cellStyle name="Normal 400 3 2 3 2 2" xfId="30487" xr:uid="{00000000-0005-0000-0000-000017770000}"/>
    <cellStyle name="Normal 400 3 2 3 3" xfId="30488" xr:uid="{00000000-0005-0000-0000-000018770000}"/>
    <cellStyle name="Normal 400 3 2 4" xfId="30489" xr:uid="{00000000-0005-0000-0000-000019770000}"/>
    <cellStyle name="Normal 400 3 3" xfId="30490" xr:uid="{00000000-0005-0000-0000-00001A770000}"/>
    <cellStyle name="Normal 400 3 3 2" xfId="30491" xr:uid="{00000000-0005-0000-0000-00001B770000}"/>
    <cellStyle name="Normal 400 3 3 2 2" xfId="30492" xr:uid="{00000000-0005-0000-0000-00001C770000}"/>
    <cellStyle name="Normal 400 3 3 3" xfId="30493" xr:uid="{00000000-0005-0000-0000-00001D770000}"/>
    <cellStyle name="Normal 400 3 4" xfId="30494" xr:uid="{00000000-0005-0000-0000-00001E770000}"/>
    <cellStyle name="Normal 400 3 4 2" xfId="30495" xr:uid="{00000000-0005-0000-0000-00001F770000}"/>
    <cellStyle name="Normal 400 3 4 2 2" xfId="30496" xr:uid="{00000000-0005-0000-0000-000020770000}"/>
    <cellStyle name="Normal 400 3 4 3" xfId="30497" xr:uid="{00000000-0005-0000-0000-000021770000}"/>
    <cellStyle name="Normal 400 3 5" xfId="30498" xr:uid="{00000000-0005-0000-0000-000022770000}"/>
    <cellStyle name="Normal 400 3 5 2" xfId="30499" xr:uid="{00000000-0005-0000-0000-000023770000}"/>
    <cellStyle name="Normal 400 3 5 2 2" xfId="30500" xr:uid="{00000000-0005-0000-0000-000024770000}"/>
    <cellStyle name="Normal 400 3 5 3" xfId="30501" xr:uid="{00000000-0005-0000-0000-000025770000}"/>
    <cellStyle name="Normal 400 3 6" xfId="30502" xr:uid="{00000000-0005-0000-0000-000026770000}"/>
    <cellStyle name="Normal 400 4" xfId="30503" xr:uid="{00000000-0005-0000-0000-000027770000}"/>
    <cellStyle name="Normal 400 4 2" xfId="30504" xr:uid="{00000000-0005-0000-0000-000028770000}"/>
    <cellStyle name="Normal 400 4 2 2" xfId="30505" xr:uid="{00000000-0005-0000-0000-000029770000}"/>
    <cellStyle name="Normal 400 4 3" xfId="30506" xr:uid="{00000000-0005-0000-0000-00002A770000}"/>
    <cellStyle name="Normal 400 5" xfId="30507" xr:uid="{00000000-0005-0000-0000-00002B770000}"/>
    <cellStyle name="Normal 400 5 2" xfId="30508" xr:uid="{00000000-0005-0000-0000-00002C770000}"/>
    <cellStyle name="Normal 400 5 2 2" xfId="30509" xr:uid="{00000000-0005-0000-0000-00002D770000}"/>
    <cellStyle name="Normal 400 5 3" xfId="30510" xr:uid="{00000000-0005-0000-0000-00002E770000}"/>
    <cellStyle name="Normal 400 6" xfId="30511" xr:uid="{00000000-0005-0000-0000-00002F770000}"/>
    <cellStyle name="Normal 400 6 2" xfId="30512" xr:uid="{00000000-0005-0000-0000-000030770000}"/>
    <cellStyle name="Normal 400 6 2 2" xfId="30513" xr:uid="{00000000-0005-0000-0000-000031770000}"/>
    <cellStyle name="Normal 400 6 3" xfId="30514" xr:uid="{00000000-0005-0000-0000-000032770000}"/>
    <cellStyle name="Normal 400 7" xfId="30515" xr:uid="{00000000-0005-0000-0000-000033770000}"/>
    <cellStyle name="Normal 401" xfId="30516" xr:uid="{00000000-0005-0000-0000-000034770000}"/>
    <cellStyle name="Normal 401 2" xfId="30517" xr:uid="{00000000-0005-0000-0000-000035770000}"/>
    <cellStyle name="Normal 401 2 2" xfId="30518" xr:uid="{00000000-0005-0000-0000-000036770000}"/>
    <cellStyle name="Normal 401 2 2 2" xfId="30519" xr:uid="{00000000-0005-0000-0000-000037770000}"/>
    <cellStyle name="Normal 401 2 3" xfId="30520" xr:uid="{00000000-0005-0000-0000-000038770000}"/>
    <cellStyle name="Normal 401 2 3 2" xfId="30521" xr:uid="{00000000-0005-0000-0000-000039770000}"/>
    <cellStyle name="Normal 401 2 3 2 2" xfId="30522" xr:uid="{00000000-0005-0000-0000-00003A770000}"/>
    <cellStyle name="Normal 401 2 3 3" xfId="30523" xr:uid="{00000000-0005-0000-0000-00003B770000}"/>
    <cellStyle name="Normal 401 2 4" xfId="30524" xr:uid="{00000000-0005-0000-0000-00003C770000}"/>
    <cellStyle name="Normal 401 2 4 2" xfId="30525" xr:uid="{00000000-0005-0000-0000-00003D770000}"/>
    <cellStyle name="Normal 401 2 4 2 2" xfId="30526" xr:uid="{00000000-0005-0000-0000-00003E770000}"/>
    <cellStyle name="Normal 401 2 4 3" xfId="30527" xr:uid="{00000000-0005-0000-0000-00003F770000}"/>
    <cellStyle name="Normal 401 2 5" xfId="30528" xr:uid="{00000000-0005-0000-0000-000040770000}"/>
    <cellStyle name="Normal 401 3" xfId="30529" xr:uid="{00000000-0005-0000-0000-000041770000}"/>
    <cellStyle name="Normal 401 3 2" xfId="30530" xr:uid="{00000000-0005-0000-0000-000042770000}"/>
    <cellStyle name="Normal 401 3 2 2" xfId="30531" xr:uid="{00000000-0005-0000-0000-000043770000}"/>
    <cellStyle name="Normal 401 3 2 2 2" xfId="30532" xr:uid="{00000000-0005-0000-0000-000044770000}"/>
    <cellStyle name="Normal 401 3 2 3" xfId="30533" xr:uid="{00000000-0005-0000-0000-000045770000}"/>
    <cellStyle name="Normal 401 3 2 3 2" xfId="30534" xr:uid="{00000000-0005-0000-0000-000046770000}"/>
    <cellStyle name="Normal 401 3 2 3 2 2" xfId="30535" xr:uid="{00000000-0005-0000-0000-000047770000}"/>
    <cellStyle name="Normal 401 3 2 3 3" xfId="30536" xr:uid="{00000000-0005-0000-0000-000048770000}"/>
    <cellStyle name="Normal 401 3 2 4" xfId="30537" xr:uid="{00000000-0005-0000-0000-000049770000}"/>
    <cellStyle name="Normal 401 3 3" xfId="30538" xr:uid="{00000000-0005-0000-0000-00004A770000}"/>
    <cellStyle name="Normal 401 3 3 2" xfId="30539" xr:uid="{00000000-0005-0000-0000-00004B770000}"/>
    <cellStyle name="Normal 401 3 3 2 2" xfId="30540" xr:uid="{00000000-0005-0000-0000-00004C770000}"/>
    <cellStyle name="Normal 401 3 3 3" xfId="30541" xr:uid="{00000000-0005-0000-0000-00004D770000}"/>
    <cellStyle name="Normal 401 3 4" xfId="30542" xr:uid="{00000000-0005-0000-0000-00004E770000}"/>
    <cellStyle name="Normal 401 3 4 2" xfId="30543" xr:uid="{00000000-0005-0000-0000-00004F770000}"/>
    <cellStyle name="Normal 401 3 4 2 2" xfId="30544" xr:uid="{00000000-0005-0000-0000-000050770000}"/>
    <cellStyle name="Normal 401 3 4 3" xfId="30545" xr:uid="{00000000-0005-0000-0000-000051770000}"/>
    <cellStyle name="Normal 401 3 5" xfId="30546" xr:uid="{00000000-0005-0000-0000-000052770000}"/>
    <cellStyle name="Normal 401 3 5 2" xfId="30547" xr:uid="{00000000-0005-0000-0000-000053770000}"/>
    <cellStyle name="Normal 401 3 5 2 2" xfId="30548" xr:uid="{00000000-0005-0000-0000-000054770000}"/>
    <cellStyle name="Normal 401 3 5 3" xfId="30549" xr:uid="{00000000-0005-0000-0000-000055770000}"/>
    <cellStyle name="Normal 401 3 6" xfId="30550" xr:uid="{00000000-0005-0000-0000-000056770000}"/>
    <cellStyle name="Normal 401 4" xfId="30551" xr:uid="{00000000-0005-0000-0000-000057770000}"/>
    <cellStyle name="Normal 401 4 2" xfId="30552" xr:uid="{00000000-0005-0000-0000-000058770000}"/>
    <cellStyle name="Normal 401 4 2 2" xfId="30553" xr:uid="{00000000-0005-0000-0000-000059770000}"/>
    <cellStyle name="Normal 401 4 3" xfId="30554" xr:uid="{00000000-0005-0000-0000-00005A770000}"/>
    <cellStyle name="Normal 401 5" xfId="30555" xr:uid="{00000000-0005-0000-0000-00005B770000}"/>
    <cellStyle name="Normal 401 5 2" xfId="30556" xr:uid="{00000000-0005-0000-0000-00005C770000}"/>
    <cellStyle name="Normal 401 5 2 2" xfId="30557" xr:uid="{00000000-0005-0000-0000-00005D770000}"/>
    <cellStyle name="Normal 401 5 3" xfId="30558" xr:uid="{00000000-0005-0000-0000-00005E770000}"/>
    <cellStyle name="Normal 401 6" xfId="30559" xr:uid="{00000000-0005-0000-0000-00005F770000}"/>
    <cellStyle name="Normal 401 6 2" xfId="30560" xr:uid="{00000000-0005-0000-0000-000060770000}"/>
    <cellStyle name="Normal 401 6 2 2" xfId="30561" xr:uid="{00000000-0005-0000-0000-000061770000}"/>
    <cellStyle name="Normal 401 6 3" xfId="30562" xr:uid="{00000000-0005-0000-0000-000062770000}"/>
    <cellStyle name="Normal 401 7" xfId="30563" xr:uid="{00000000-0005-0000-0000-000063770000}"/>
    <cellStyle name="Normal 402" xfId="30564" xr:uid="{00000000-0005-0000-0000-000064770000}"/>
    <cellStyle name="Normal 402 2" xfId="30565" xr:uid="{00000000-0005-0000-0000-000065770000}"/>
    <cellStyle name="Normal 402 2 2" xfId="30566" xr:uid="{00000000-0005-0000-0000-000066770000}"/>
    <cellStyle name="Normal 402 2 2 2" xfId="30567" xr:uid="{00000000-0005-0000-0000-000067770000}"/>
    <cellStyle name="Normal 402 2 3" xfId="30568" xr:uid="{00000000-0005-0000-0000-000068770000}"/>
    <cellStyle name="Normal 402 2 3 2" xfId="30569" xr:uid="{00000000-0005-0000-0000-000069770000}"/>
    <cellStyle name="Normal 402 2 3 2 2" xfId="30570" xr:uid="{00000000-0005-0000-0000-00006A770000}"/>
    <cellStyle name="Normal 402 2 3 3" xfId="30571" xr:uid="{00000000-0005-0000-0000-00006B770000}"/>
    <cellStyle name="Normal 402 2 4" xfId="30572" xr:uid="{00000000-0005-0000-0000-00006C770000}"/>
    <cellStyle name="Normal 402 2 4 2" xfId="30573" xr:uid="{00000000-0005-0000-0000-00006D770000}"/>
    <cellStyle name="Normal 402 2 4 2 2" xfId="30574" xr:uid="{00000000-0005-0000-0000-00006E770000}"/>
    <cellStyle name="Normal 402 2 4 3" xfId="30575" xr:uid="{00000000-0005-0000-0000-00006F770000}"/>
    <cellStyle name="Normal 402 2 5" xfId="30576" xr:uid="{00000000-0005-0000-0000-000070770000}"/>
    <cellStyle name="Normal 402 3" xfId="30577" xr:uid="{00000000-0005-0000-0000-000071770000}"/>
    <cellStyle name="Normal 402 3 2" xfId="30578" xr:uid="{00000000-0005-0000-0000-000072770000}"/>
    <cellStyle name="Normal 402 3 2 2" xfId="30579" xr:uid="{00000000-0005-0000-0000-000073770000}"/>
    <cellStyle name="Normal 402 3 2 2 2" xfId="30580" xr:uid="{00000000-0005-0000-0000-000074770000}"/>
    <cellStyle name="Normal 402 3 2 3" xfId="30581" xr:uid="{00000000-0005-0000-0000-000075770000}"/>
    <cellStyle name="Normal 402 3 2 3 2" xfId="30582" xr:uid="{00000000-0005-0000-0000-000076770000}"/>
    <cellStyle name="Normal 402 3 2 3 2 2" xfId="30583" xr:uid="{00000000-0005-0000-0000-000077770000}"/>
    <cellStyle name="Normal 402 3 2 3 3" xfId="30584" xr:uid="{00000000-0005-0000-0000-000078770000}"/>
    <cellStyle name="Normal 402 3 2 4" xfId="30585" xr:uid="{00000000-0005-0000-0000-000079770000}"/>
    <cellStyle name="Normal 402 3 3" xfId="30586" xr:uid="{00000000-0005-0000-0000-00007A770000}"/>
    <cellStyle name="Normal 402 3 3 2" xfId="30587" xr:uid="{00000000-0005-0000-0000-00007B770000}"/>
    <cellStyle name="Normal 402 3 3 2 2" xfId="30588" xr:uid="{00000000-0005-0000-0000-00007C770000}"/>
    <cellStyle name="Normal 402 3 3 3" xfId="30589" xr:uid="{00000000-0005-0000-0000-00007D770000}"/>
    <cellStyle name="Normal 402 3 4" xfId="30590" xr:uid="{00000000-0005-0000-0000-00007E770000}"/>
    <cellStyle name="Normal 402 3 4 2" xfId="30591" xr:uid="{00000000-0005-0000-0000-00007F770000}"/>
    <cellStyle name="Normal 402 3 4 2 2" xfId="30592" xr:uid="{00000000-0005-0000-0000-000080770000}"/>
    <cellStyle name="Normal 402 3 4 3" xfId="30593" xr:uid="{00000000-0005-0000-0000-000081770000}"/>
    <cellStyle name="Normal 402 3 5" xfId="30594" xr:uid="{00000000-0005-0000-0000-000082770000}"/>
    <cellStyle name="Normal 402 3 5 2" xfId="30595" xr:uid="{00000000-0005-0000-0000-000083770000}"/>
    <cellStyle name="Normal 402 3 5 2 2" xfId="30596" xr:uid="{00000000-0005-0000-0000-000084770000}"/>
    <cellStyle name="Normal 402 3 5 3" xfId="30597" xr:uid="{00000000-0005-0000-0000-000085770000}"/>
    <cellStyle name="Normal 402 3 6" xfId="30598" xr:uid="{00000000-0005-0000-0000-000086770000}"/>
    <cellStyle name="Normal 402 4" xfId="30599" xr:uid="{00000000-0005-0000-0000-000087770000}"/>
    <cellStyle name="Normal 402 4 2" xfId="30600" xr:uid="{00000000-0005-0000-0000-000088770000}"/>
    <cellStyle name="Normal 402 4 2 2" xfId="30601" xr:uid="{00000000-0005-0000-0000-000089770000}"/>
    <cellStyle name="Normal 402 4 3" xfId="30602" xr:uid="{00000000-0005-0000-0000-00008A770000}"/>
    <cellStyle name="Normal 402 5" xfId="30603" xr:uid="{00000000-0005-0000-0000-00008B770000}"/>
    <cellStyle name="Normal 402 5 2" xfId="30604" xr:uid="{00000000-0005-0000-0000-00008C770000}"/>
    <cellStyle name="Normal 402 5 2 2" xfId="30605" xr:uid="{00000000-0005-0000-0000-00008D770000}"/>
    <cellStyle name="Normal 402 5 3" xfId="30606" xr:uid="{00000000-0005-0000-0000-00008E770000}"/>
    <cellStyle name="Normal 402 6" xfId="30607" xr:uid="{00000000-0005-0000-0000-00008F770000}"/>
    <cellStyle name="Normal 402 6 2" xfId="30608" xr:uid="{00000000-0005-0000-0000-000090770000}"/>
    <cellStyle name="Normal 402 6 2 2" xfId="30609" xr:uid="{00000000-0005-0000-0000-000091770000}"/>
    <cellStyle name="Normal 402 6 3" xfId="30610" xr:uid="{00000000-0005-0000-0000-000092770000}"/>
    <cellStyle name="Normal 402 7" xfId="30611" xr:uid="{00000000-0005-0000-0000-000093770000}"/>
    <cellStyle name="Normal 403" xfId="30612" xr:uid="{00000000-0005-0000-0000-000094770000}"/>
    <cellStyle name="Normal 403 2" xfId="30613" xr:uid="{00000000-0005-0000-0000-000095770000}"/>
    <cellStyle name="Normal 403 2 2" xfId="30614" xr:uid="{00000000-0005-0000-0000-000096770000}"/>
    <cellStyle name="Normal 403 2 2 2" xfId="30615" xr:uid="{00000000-0005-0000-0000-000097770000}"/>
    <cellStyle name="Normal 403 2 3" xfId="30616" xr:uid="{00000000-0005-0000-0000-000098770000}"/>
    <cellStyle name="Normal 403 2 3 2" xfId="30617" xr:uid="{00000000-0005-0000-0000-000099770000}"/>
    <cellStyle name="Normal 403 2 3 2 2" xfId="30618" xr:uid="{00000000-0005-0000-0000-00009A770000}"/>
    <cellStyle name="Normal 403 2 3 3" xfId="30619" xr:uid="{00000000-0005-0000-0000-00009B770000}"/>
    <cellStyle name="Normal 403 2 4" xfId="30620" xr:uid="{00000000-0005-0000-0000-00009C770000}"/>
    <cellStyle name="Normal 403 2 4 2" xfId="30621" xr:uid="{00000000-0005-0000-0000-00009D770000}"/>
    <cellStyle name="Normal 403 2 4 2 2" xfId="30622" xr:uid="{00000000-0005-0000-0000-00009E770000}"/>
    <cellStyle name="Normal 403 2 4 3" xfId="30623" xr:uid="{00000000-0005-0000-0000-00009F770000}"/>
    <cellStyle name="Normal 403 2 5" xfId="30624" xr:uid="{00000000-0005-0000-0000-0000A0770000}"/>
    <cellStyle name="Normal 403 3" xfId="30625" xr:uid="{00000000-0005-0000-0000-0000A1770000}"/>
    <cellStyle name="Normal 403 3 2" xfId="30626" xr:uid="{00000000-0005-0000-0000-0000A2770000}"/>
    <cellStyle name="Normal 403 3 2 2" xfId="30627" xr:uid="{00000000-0005-0000-0000-0000A3770000}"/>
    <cellStyle name="Normal 403 3 2 2 2" xfId="30628" xr:uid="{00000000-0005-0000-0000-0000A4770000}"/>
    <cellStyle name="Normal 403 3 2 3" xfId="30629" xr:uid="{00000000-0005-0000-0000-0000A5770000}"/>
    <cellStyle name="Normal 403 3 2 3 2" xfId="30630" xr:uid="{00000000-0005-0000-0000-0000A6770000}"/>
    <cellStyle name="Normal 403 3 2 3 2 2" xfId="30631" xr:uid="{00000000-0005-0000-0000-0000A7770000}"/>
    <cellStyle name="Normal 403 3 2 3 3" xfId="30632" xr:uid="{00000000-0005-0000-0000-0000A8770000}"/>
    <cellStyle name="Normal 403 3 2 4" xfId="30633" xr:uid="{00000000-0005-0000-0000-0000A9770000}"/>
    <cellStyle name="Normal 403 3 3" xfId="30634" xr:uid="{00000000-0005-0000-0000-0000AA770000}"/>
    <cellStyle name="Normal 403 3 3 2" xfId="30635" xr:uid="{00000000-0005-0000-0000-0000AB770000}"/>
    <cellStyle name="Normal 403 3 3 2 2" xfId="30636" xr:uid="{00000000-0005-0000-0000-0000AC770000}"/>
    <cellStyle name="Normal 403 3 3 3" xfId="30637" xr:uid="{00000000-0005-0000-0000-0000AD770000}"/>
    <cellStyle name="Normal 403 3 4" xfId="30638" xr:uid="{00000000-0005-0000-0000-0000AE770000}"/>
    <cellStyle name="Normal 403 3 4 2" xfId="30639" xr:uid="{00000000-0005-0000-0000-0000AF770000}"/>
    <cellStyle name="Normal 403 3 4 2 2" xfId="30640" xr:uid="{00000000-0005-0000-0000-0000B0770000}"/>
    <cellStyle name="Normal 403 3 4 3" xfId="30641" xr:uid="{00000000-0005-0000-0000-0000B1770000}"/>
    <cellStyle name="Normal 403 3 5" xfId="30642" xr:uid="{00000000-0005-0000-0000-0000B2770000}"/>
    <cellStyle name="Normal 403 3 5 2" xfId="30643" xr:uid="{00000000-0005-0000-0000-0000B3770000}"/>
    <cellStyle name="Normal 403 3 5 2 2" xfId="30644" xr:uid="{00000000-0005-0000-0000-0000B4770000}"/>
    <cellStyle name="Normal 403 3 5 3" xfId="30645" xr:uid="{00000000-0005-0000-0000-0000B5770000}"/>
    <cellStyle name="Normal 403 3 6" xfId="30646" xr:uid="{00000000-0005-0000-0000-0000B6770000}"/>
    <cellStyle name="Normal 403 4" xfId="30647" xr:uid="{00000000-0005-0000-0000-0000B7770000}"/>
    <cellStyle name="Normal 403 4 2" xfId="30648" xr:uid="{00000000-0005-0000-0000-0000B8770000}"/>
    <cellStyle name="Normal 403 4 2 2" xfId="30649" xr:uid="{00000000-0005-0000-0000-0000B9770000}"/>
    <cellStyle name="Normal 403 4 3" xfId="30650" xr:uid="{00000000-0005-0000-0000-0000BA770000}"/>
    <cellStyle name="Normal 403 5" xfId="30651" xr:uid="{00000000-0005-0000-0000-0000BB770000}"/>
    <cellStyle name="Normal 403 5 2" xfId="30652" xr:uid="{00000000-0005-0000-0000-0000BC770000}"/>
    <cellStyle name="Normal 403 5 2 2" xfId="30653" xr:uid="{00000000-0005-0000-0000-0000BD770000}"/>
    <cellStyle name="Normal 403 5 3" xfId="30654" xr:uid="{00000000-0005-0000-0000-0000BE770000}"/>
    <cellStyle name="Normal 403 6" xfId="30655" xr:uid="{00000000-0005-0000-0000-0000BF770000}"/>
    <cellStyle name="Normal 403 6 2" xfId="30656" xr:uid="{00000000-0005-0000-0000-0000C0770000}"/>
    <cellStyle name="Normal 403 6 2 2" xfId="30657" xr:uid="{00000000-0005-0000-0000-0000C1770000}"/>
    <cellStyle name="Normal 403 6 3" xfId="30658" xr:uid="{00000000-0005-0000-0000-0000C2770000}"/>
    <cellStyle name="Normal 403 7" xfId="30659" xr:uid="{00000000-0005-0000-0000-0000C3770000}"/>
    <cellStyle name="Normal 404" xfId="30660" xr:uid="{00000000-0005-0000-0000-0000C4770000}"/>
    <cellStyle name="Normal 404 2" xfId="30661" xr:uid="{00000000-0005-0000-0000-0000C5770000}"/>
    <cellStyle name="Normal 404 2 2" xfId="30662" xr:uid="{00000000-0005-0000-0000-0000C6770000}"/>
    <cellStyle name="Normal 404 2 2 2" xfId="30663" xr:uid="{00000000-0005-0000-0000-0000C7770000}"/>
    <cellStyle name="Normal 404 2 3" xfId="30664" xr:uid="{00000000-0005-0000-0000-0000C8770000}"/>
    <cellStyle name="Normal 404 2 3 2" xfId="30665" xr:uid="{00000000-0005-0000-0000-0000C9770000}"/>
    <cellStyle name="Normal 404 2 3 2 2" xfId="30666" xr:uid="{00000000-0005-0000-0000-0000CA770000}"/>
    <cellStyle name="Normal 404 2 3 3" xfId="30667" xr:uid="{00000000-0005-0000-0000-0000CB770000}"/>
    <cellStyle name="Normal 404 2 4" xfId="30668" xr:uid="{00000000-0005-0000-0000-0000CC770000}"/>
    <cellStyle name="Normal 404 2 4 2" xfId="30669" xr:uid="{00000000-0005-0000-0000-0000CD770000}"/>
    <cellStyle name="Normal 404 2 4 2 2" xfId="30670" xr:uid="{00000000-0005-0000-0000-0000CE770000}"/>
    <cellStyle name="Normal 404 2 4 3" xfId="30671" xr:uid="{00000000-0005-0000-0000-0000CF770000}"/>
    <cellStyle name="Normal 404 2 5" xfId="30672" xr:uid="{00000000-0005-0000-0000-0000D0770000}"/>
    <cellStyle name="Normal 404 3" xfId="30673" xr:uid="{00000000-0005-0000-0000-0000D1770000}"/>
    <cellStyle name="Normal 404 3 2" xfId="30674" xr:uid="{00000000-0005-0000-0000-0000D2770000}"/>
    <cellStyle name="Normal 404 3 2 2" xfId="30675" xr:uid="{00000000-0005-0000-0000-0000D3770000}"/>
    <cellStyle name="Normal 404 3 2 2 2" xfId="30676" xr:uid="{00000000-0005-0000-0000-0000D4770000}"/>
    <cellStyle name="Normal 404 3 2 3" xfId="30677" xr:uid="{00000000-0005-0000-0000-0000D5770000}"/>
    <cellStyle name="Normal 404 3 2 3 2" xfId="30678" xr:uid="{00000000-0005-0000-0000-0000D6770000}"/>
    <cellStyle name="Normal 404 3 2 3 2 2" xfId="30679" xr:uid="{00000000-0005-0000-0000-0000D7770000}"/>
    <cellStyle name="Normal 404 3 2 3 3" xfId="30680" xr:uid="{00000000-0005-0000-0000-0000D8770000}"/>
    <cellStyle name="Normal 404 3 2 4" xfId="30681" xr:uid="{00000000-0005-0000-0000-0000D9770000}"/>
    <cellStyle name="Normal 404 3 3" xfId="30682" xr:uid="{00000000-0005-0000-0000-0000DA770000}"/>
    <cellStyle name="Normal 404 3 3 2" xfId="30683" xr:uid="{00000000-0005-0000-0000-0000DB770000}"/>
    <cellStyle name="Normal 404 3 3 2 2" xfId="30684" xr:uid="{00000000-0005-0000-0000-0000DC770000}"/>
    <cellStyle name="Normal 404 3 3 3" xfId="30685" xr:uid="{00000000-0005-0000-0000-0000DD770000}"/>
    <cellStyle name="Normal 404 3 4" xfId="30686" xr:uid="{00000000-0005-0000-0000-0000DE770000}"/>
    <cellStyle name="Normal 404 3 4 2" xfId="30687" xr:uid="{00000000-0005-0000-0000-0000DF770000}"/>
    <cellStyle name="Normal 404 3 4 2 2" xfId="30688" xr:uid="{00000000-0005-0000-0000-0000E0770000}"/>
    <cellStyle name="Normal 404 3 4 3" xfId="30689" xr:uid="{00000000-0005-0000-0000-0000E1770000}"/>
    <cellStyle name="Normal 404 3 5" xfId="30690" xr:uid="{00000000-0005-0000-0000-0000E2770000}"/>
    <cellStyle name="Normal 404 3 5 2" xfId="30691" xr:uid="{00000000-0005-0000-0000-0000E3770000}"/>
    <cellStyle name="Normal 404 3 5 2 2" xfId="30692" xr:uid="{00000000-0005-0000-0000-0000E4770000}"/>
    <cellStyle name="Normal 404 3 5 3" xfId="30693" xr:uid="{00000000-0005-0000-0000-0000E5770000}"/>
    <cellStyle name="Normal 404 3 6" xfId="30694" xr:uid="{00000000-0005-0000-0000-0000E6770000}"/>
    <cellStyle name="Normal 404 4" xfId="30695" xr:uid="{00000000-0005-0000-0000-0000E7770000}"/>
    <cellStyle name="Normal 404 4 2" xfId="30696" xr:uid="{00000000-0005-0000-0000-0000E8770000}"/>
    <cellStyle name="Normal 404 4 2 2" xfId="30697" xr:uid="{00000000-0005-0000-0000-0000E9770000}"/>
    <cellStyle name="Normal 404 4 3" xfId="30698" xr:uid="{00000000-0005-0000-0000-0000EA770000}"/>
    <cellStyle name="Normal 404 5" xfId="30699" xr:uid="{00000000-0005-0000-0000-0000EB770000}"/>
    <cellStyle name="Normal 404 5 2" xfId="30700" xr:uid="{00000000-0005-0000-0000-0000EC770000}"/>
    <cellStyle name="Normal 404 5 2 2" xfId="30701" xr:uid="{00000000-0005-0000-0000-0000ED770000}"/>
    <cellStyle name="Normal 404 5 3" xfId="30702" xr:uid="{00000000-0005-0000-0000-0000EE770000}"/>
    <cellStyle name="Normal 404 6" xfId="30703" xr:uid="{00000000-0005-0000-0000-0000EF770000}"/>
    <cellStyle name="Normal 404 6 2" xfId="30704" xr:uid="{00000000-0005-0000-0000-0000F0770000}"/>
    <cellStyle name="Normal 404 6 2 2" xfId="30705" xr:uid="{00000000-0005-0000-0000-0000F1770000}"/>
    <cellStyle name="Normal 404 6 3" xfId="30706" xr:uid="{00000000-0005-0000-0000-0000F2770000}"/>
    <cellStyle name="Normal 404 7" xfId="30707" xr:uid="{00000000-0005-0000-0000-0000F3770000}"/>
    <cellStyle name="Normal 405" xfId="30708" xr:uid="{00000000-0005-0000-0000-0000F4770000}"/>
    <cellStyle name="Normal 405 2" xfId="30709" xr:uid="{00000000-0005-0000-0000-0000F5770000}"/>
    <cellStyle name="Normal 405 2 2" xfId="30710" xr:uid="{00000000-0005-0000-0000-0000F6770000}"/>
    <cellStyle name="Normal 405 2 2 2" xfId="30711" xr:uid="{00000000-0005-0000-0000-0000F7770000}"/>
    <cellStyle name="Normal 405 2 3" xfId="30712" xr:uid="{00000000-0005-0000-0000-0000F8770000}"/>
    <cellStyle name="Normal 405 2 3 2" xfId="30713" xr:uid="{00000000-0005-0000-0000-0000F9770000}"/>
    <cellStyle name="Normal 405 2 3 2 2" xfId="30714" xr:uid="{00000000-0005-0000-0000-0000FA770000}"/>
    <cellStyle name="Normal 405 2 3 3" xfId="30715" xr:uid="{00000000-0005-0000-0000-0000FB770000}"/>
    <cellStyle name="Normal 405 2 4" xfId="30716" xr:uid="{00000000-0005-0000-0000-0000FC770000}"/>
    <cellStyle name="Normal 405 2 4 2" xfId="30717" xr:uid="{00000000-0005-0000-0000-0000FD770000}"/>
    <cellStyle name="Normal 405 2 4 2 2" xfId="30718" xr:uid="{00000000-0005-0000-0000-0000FE770000}"/>
    <cellStyle name="Normal 405 2 4 3" xfId="30719" xr:uid="{00000000-0005-0000-0000-0000FF770000}"/>
    <cellStyle name="Normal 405 2 5" xfId="30720" xr:uid="{00000000-0005-0000-0000-000000780000}"/>
    <cellStyle name="Normal 405 3" xfId="30721" xr:uid="{00000000-0005-0000-0000-000001780000}"/>
    <cellStyle name="Normal 405 3 2" xfId="30722" xr:uid="{00000000-0005-0000-0000-000002780000}"/>
    <cellStyle name="Normal 405 3 2 2" xfId="30723" xr:uid="{00000000-0005-0000-0000-000003780000}"/>
    <cellStyle name="Normal 405 3 2 2 2" xfId="30724" xr:uid="{00000000-0005-0000-0000-000004780000}"/>
    <cellStyle name="Normal 405 3 2 3" xfId="30725" xr:uid="{00000000-0005-0000-0000-000005780000}"/>
    <cellStyle name="Normal 405 3 2 3 2" xfId="30726" xr:uid="{00000000-0005-0000-0000-000006780000}"/>
    <cellStyle name="Normal 405 3 2 3 2 2" xfId="30727" xr:uid="{00000000-0005-0000-0000-000007780000}"/>
    <cellStyle name="Normal 405 3 2 3 3" xfId="30728" xr:uid="{00000000-0005-0000-0000-000008780000}"/>
    <cellStyle name="Normal 405 3 2 4" xfId="30729" xr:uid="{00000000-0005-0000-0000-000009780000}"/>
    <cellStyle name="Normal 405 3 3" xfId="30730" xr:uid="{00000000-0005-0000-0000-00000A780000}"/>
    <cellStyle name="Normal 405 3 3 2" xfId="30731" xr:uid="{00000000-0005-0000-0000-00000B780000}"/>
    <cellStyle name="Normal 405 3 3 2 2" xfId="30732" xr:uid="{00000000-0005-0000-0000-00000C780000}"/>
    <cellStyle name="Normal 405 3 3 3" xfId="30733" xr:uid="{00000000-0005-0000-0000-00000D780000}"/>
    <cellStyle name="Normal 405 3 4" xfId="30734" xr:uid="{00000000-0005-0000-0000-00000E780000}"/>
    <cellStyle name="Normal 405 3 4 2" xfId="30735" xr:uid="{00000000-0005-0000-0000-00000F780000}"/>
    <cellStyle name="Normal 405 3 4 2 2" xfId="30736" xr:uid="{00000000-0005-0000-0000-000010780000}"/>
    <cellStyle name="Normal 405 3 4 3" xfId="30737" xr:uid="{00000000-0005-0000-0000-000011780000}"/>
    <cellStyle name="Normal 405 3 5" xfId="30738" xr:uid="{00000000-0005-0000-0000-000012780000}"/>
    <cellStyle name="Normal 405 3 5 2" xfId="30739" xr:uid="{00000000-0005-0000-0000-000013780000}"/>
    <cellStyle name="Normal 405 3 5 2 2" xfId="30740" xr:uid="{00000000-0005-0000-0000-000014780000}"/>
    <cellStyle name="Normal 405 3 5 3" xfId="30741" xr:uid="{00000000-0005-0000-0000-000015780000}"/>
    <cellStyle name="Normal 405 3 6" xfId="30742" xr:uid="{00000000-0005-0000-0000-000016780000}"/>
    <cellStyle name="Normal 405 4" xfId="30743" xr:uid="{00000000-0005-0000-0000-000017780000}"/>
    <cellStyle name="Normal 405 4 2" xfId="30744" xr:uid="{00000000-0005-0000-0000-000018780000}"/>
    <cellStyle name="Normal 405 4 2 2" xfId="30745" xr:uid="{00000000-0005-0000-0000-000019780000}"/>
    <cellStyle name="Normal 405 4 3" xfId="30746" xr:uid="{00000000-0005-0000-0000-00001A780000}"/>
    <cellStyle name="Normal 405 5" xfId="30747" xr:uid="{00000000-0005-0000-0000-00001B780000}"/>
    <cellStyle name="Normal 405 5 2" xfId="30748" xr:uid="{00000000-0005-0000-0000-00001C780000}"/>
    <cellStyle name="Normal 405 5 2 2" xfId="30749" xr:uid="{00000000-0005-0000-0000-00001D780000}"/>
    <cellStyle name="Normal 405 5 3" xfId="30750" xr:uid="{00000000-0005-0000-0000-00001E780000}"/>
    <cellStyle name="Normal 405 6" xfId="30751" xr:uid="{00000000-0005-0000-0000-00001F780000}"/>
    <cellStyle name="Normal 405 6 2" xfId="30752" xr:uid="{00000000-0005-0000-0000-000020780000}"/>
    <cellStyle name="Normal 405 6 2 2" xfId="30753" xr:uid="{00000000-0005-0000-0000-000021780000}"/>
    <cellStyle name="Normal 405 6 3" xfId="30754" xr:uid="{00000000-0005-0000-0000-000022780000}"/>
    <cellStyle name="Normal 405 7" xfId="30755" xr:uid="{00000000-0005-0000-0000-000023780000}"/>
    <cellStyle name="Normal 406" xfId="30756" xr:uid="{00000000-0005-0000-0000-000024780000}"/>
    <cellStyle name="Normal 406 2" xfId="30757" xr:uid="{00000000-0005-0000-0000-000025780000}"/>
    <cellStyle name="Normal 406 2 2" xfId="30758" xr:uid="{00000000-0005-0000-0000-000026780000}"/>
    <cellStyle name="Normal 406 2 2 2" xfId="30759" xr:uid="{00000000-0005-0000-0000-000027780000}"/>
    <cellStyle name="Normal 406 2 3" xfId="30760" xr:uid="{00000000-0005-0000-0000-000028780000}"/>
    <cellStyle name="Normal 406 2 3 2" xfId="30761" xr:uid="{00000000-0005-0000-0000-000029780000}"/>
    <cellStyle name="Normal 406 2 3 2 2" xfId="30762" xr:uid="{00000000-0005-0000-0000-00002A780000}"/>
    <cellStyle name="Normal 406 2 3 3" xfId="30763" xr:uid="{00000000-0005-0000-0000-00002B780000}"/>
    <cellStyle name="Normal 406 2 4" xfId="30764" xr:uid="{00000000-0005-0000-0000-00002C780000}"/>
    <cellStyle name="Normal 406 2 4 2" xfId="30765" xr:uid="{00000000-0005-0000-0000-00002D780000}"/>
    <cellStyle name="Normal 406 2 4 2 2" xfId="30766" xr:uid="{00000000-0005-0000-0000-00002E780000}"/>
    <cellStyle name="Normal 406 2 4 3" xfId="30767" xr:uid="{00000000-0005-0000-0000-00002F780000}"/>
    <cellStyle name="Normal 406 2 5" xfId="30768" xr:uid="{00000000-0005-0000-0000-000030780000}"/>
    <cellStyle name="Normal 406 3" xfId="30769" xr:uid="{00000000-0005-0000-0000-000031780000}"/>
    <cellStyle name="Normal 406 3 2" xfId="30770" xr:uid="{00000000-0005-0000-0000-000032780000}"/>
    <cellStyle name="Normal 406 3 2 2" xfId="30771" xr:uid="{00000000-0005-0000-0000-000033780000}"/>
    <cellStyle name="Normal 406 3 2 2 2" xfId="30772" xr:uid="{00000000-0005-0000-0000-000034780000}"/>
    <cellStyle name="Normal 406 3 2 3" xfId="30773" xr:uid="{00000000-0005-0000-0000-000035780000}"/>
    <cellStyle name="Normal 406 3 2 3 2" xfId="30774" xr:uid="{00000000-0005-0000-0000-000036780000}"/>
    <cellStyle name="Normal 406 3 2 3 2 2" xfId="30775" xr:uid="{00000000-0005-0000-0000-000037780000}"/>
    <cellStyle name="Normal 406 3 2 3 3" xfId="30776" xr:uid="{00000000-0005-0000-0000-000038780000}"/>
    <cellStyle name="Normal 406 3 2 4" xfId="30777" xr:uid="{00000000-0005-0000-0000-000039780000}"/>
    <cellStyle name="Normal 406 3 3" xfId="30778" xr:uid="{00000000-0005-0000-0000-00003A780000}"/>
    <cellStyle name="Normal 406 3 3 2" xfId="30779" xr:uid="{00000000-0005-0000-0000-00003B780000}"/>
    <cellStyle name="Normal 406 3 3 2 2" xfId="30780" xr:uid="{00000000-0005-0000-0000-00003C780000}"/>
    <cellStyle name="Normal 406 3 3 3" xfId="30781" xr:uid="{00000000-0005-0000-0000-00003D780000}"/>
    <cellStyle name="Normal 406 3 4" xfId="30782" xr:uid="{00000000-0005-0000-0000-00003E780000}"/>
    <cellStyle name="Normal 406 3 4 2" xfId="30783" xr:uid="{00000000-0005-0000-0000-00003F780000}"/>
    <cellStyle name="Normal 406 3 4 2 2" xfId="30784" xr:uid="{00000000-0005-0000-0000-000040780000}"/>
    <cellStyle name="Normal 406 3 4 3" xfId="30785" xr:uid="{00000000-0005-0000-0000-000041780000}"/>
    <cellStyle name="Normal 406 3 5" xfId="30786" xr:uid="{00000000-0005-0000-0000-000042780000}"/>
    <cellStyle name="Normal 406 3 5 2" xfId="30787" xr:uid="{00000000-0005-0000-0000-000043780000}"/>
    <cellStyle name="Normal 406 3 5 2 2" xfId="30788" xr:uid="{00000000-0005-0000-0000-000044780000}"/>
    <cellStyle name="Normal 406 3 5 3" xfId="30789" xr:uid="{00000000-0005-0000-0000-000045780000}"/>
    <cellStyle name="Normal 406 3 6" xfId="30790" xr:uid="{00000000-0005-0000-0000-000046780000}"/>
    <cellStyle name="Normal 406 4" xfId="30791" xr:uid="{00000000-0005-0000-0000-000047780000}"/>
    <cellStyle name="Normal 406 4 2" xfId="30792" xr:uid="{00000000-0005-0000-0000-000048780000}"/>
    <cellStyle name="Normal 406 4 2 2" xfId="30793" xr:uid="{00000000-0005-0000-0000-000049780000}"/>
    <cellStyle name="Normal 406 4 3" xfId="30794" xr:uid="{00000000-0005-0000-0000-00004A780000}"/>
    <cellStyle name="Normal 406 5" xfId="30795" xr:uid="{00000000-0005-0000-0000-00004B780000}"/>
    <cellStyle name="Normal 406 5 2" xfId="30796" xr:uid="{00000000-0005-0000-0000-00004C780000}"/>
    <cellStyle name="Normal 406 5 2 2" xfId="30797" xr:uid="{00000000-0005-0000-0000-00004D780000}"/>
    <cellStyle name="Normal 406 5 3" xfId="30798" xr:uid="{00000000-0005-0000-0000-00004E780000}"/>
    <cellStyle name="Normal 406 6" xfId="30799" xr:uid="{00000000-0005-0000-0000-00004F780000}"/>
    <cellStyle name="Normal 406 6 2" xfId="30800" xr:uid="{00000000-0005-0000-0000-000050780000}"/>
    <cellStyle name="Normal 406 6 2 2" xfId="30801" xr:uid="{00000000-0005-0000-0000-000051780000}"/>
    <cellStyle name="Normal 406 6 3" xfId="30802" xr:uid="{00000000-0005-0000-0000-000052780000}"/>
    <cellStyle name="Normal 406 7" xfId="30803" xr:uid="{00000000-0005-0000-0000-000053780000}"/>
    <cellStyle name="Normal 407" xfId="30804" xr:uid="{00000000-0005-0000-0000-000054780000}"/>
    <cellStyle name="Normal 407 2" xfId="30805" xr:uid="{00000000-0005-0000-0000-000055780000}"/>
    <cellStyle name="Normal 407 2 2" xfId="30806" xr:uid="{00000000-0005-0000-0000-000056780000}"/>
    <cellStyle name="Normal 407 2 2 2" xfId="30807" xr:uid="{00000000-0005-0000-0000-000057780000}"/>
    <cellStyle name="Normal 407 2 3" xfId="30808" xr:uid="{00000000-0005-0000-0000-000058780000}"/>
    <cellStyle name="Normal 407 2 3 2" xfId="30809" xr:uid="{00000000-0005-0000-0000-000059780000}"/>
    <cellStyle name="Normal 407 2 3 2 2" xfId="30810" xr:uid="{00000000-0005-0000-0000-00005A780000}"/>
    <cellStyle name="Normal 407 2 3 3" xfId="30811" xr:uid="{00000000-0005-0000-0000-00005B780000}"/>
    <cellStyle name="Normal 407 2 4" xfId="30812" xr:uid="{00000000-0005-0000-0000-00005C780000}"/>
    <cellStyle name="Normal 407 2 4 2" xfId="30813" xr:uid="{00000000-0005-0000-0000-00005D780000}"/>
    <cellStyle name="Normal 407 2 4 2 2" xfId="30814" xr:uid="{00000000-0005-0000-0000-00005E780000}"/>
    <cellStyle name="Normal 407 2 4 3" xfId="30815" xr:uid="{00000000-0005-0000-0000-00005F780000}"/>
    <cellStyle name="Normal 407 2 5" xfId="30816" xr:uid="{00000000-0005-0000-0000-000060780000}"/>
    <cellStyle name="Normal 407 3" xfId="30817" xr:uid="{00000000-0005-0000-0000-000061780000}"/>
    <cellStyle name="Normal 407 3 2" xfId="30818" xr:uid="{00000000-0005-0000-0000-000062780000}"/>
    <cellStyle name="Normal 407 3 2 2" xfId="30819" xr:uid="{00000000-0005-0000-0000-000063780000}"/>
    <cellStyle name="Normal 407 3 2 2 2" xfId="30820" xr:uid="{00000000-0005-0000-0000-000064780000}"/>
    <cellStyle name="Normal 407 3 2 3" xfId="30821" xr:uid="{00000000-0005-0000-0000-000065780000}"/>
    <cellStyle name="Normal 407 3 2 3 2" xfId="30822" xr:uid="{00000000-0005-0000-0000-000066780000}"/>
    <cellStyle name="Normal 407 3 2 3 2 2" xfId="30823" xr:uid="{00000000-0005-0000-0000-000067780000}"/>
    <cellStyle name="Normal 407 3 2 3 3" xfId="30824" xr:uid="{00000000-0005-0000-0000-000068780000}"/>
    <cellStyle name="Normal 407 3 2 4" xfId="30825" xr:uid="{00000000-0005-0000-0000-000069780000}"/>
    <cellStyle name="Normal 407 3 3" xfId="30826" xr:uid="{00000000-0005-0000-0000-00006A780000}"/>
    <cellStyle name="Normal 407 3 3 2" xfId="30827" xr:uid="{00000000-0005-0000-0000-00006B780000}"/>
    <cellStyle name="Normal 407 3 3 2 2" xfId="30828" xr:uid="{00000000-0005-0000-0000-00006C780000}"/>
    <cellStyle name="Normal 407 3 3 3" xfId="30829" xr:uid="{00000000-0005-0000-0000-00006D780000}"/>
    <cellStyle name="Normal 407 3 4" xfId="30830" xr:uid="{00000000-0005-0000-0000-00006E780000}"/>
    <cellStyle name="Normal 407 3 4 2" xfId="30831" xr:uid="{00000000-0005-0000-0000-00006F780000}"/>
    <cellStyle name="Normal 407 3 4 2 2" xfId="30832" xr:uid="{00000000-0005-0000-0000-000070780000}"/>
    <cellStyle name="Normal 407 3 4 3" xfId="30833" xr:uid="{00000000-0005-0000-0000-000071780000}"/>
    <cellStyle name="Normal 407 3 5" xfId="30834" xr:uid="{00000000-0005-0000-0000-000072780000}"/>
    <cellStyle name="Normal 407 3 5 2" xfId="30835" xr:uid="{00000000-0005-0000-0000-000073780000}"/>
    <cellStyle name="Normal 407 3 5 2 2" xfId="30836" xr:uid="{00000000-0005-0000-0000-000074780000}"/>
    <cellStyle name="Normal 407 3 5 3" xfId="30837" xr:uid="{00000000-0005-0000-0000-000075780000}"/>
    <cellStyle name="Normal 407 3 6" xfId="30838" xr:uid="{00000000-0005-0000-0000-000076780000}"/>
    <cellStyle name="Normal 407 4" xfId="30839" xr:uid="{00000000-0005-0000-0000-000077780000}"/>
    <cellStyle name="Normal 407 4 2" xfId="30840" xr:uid="{00000000-0005-0000-0000-000078780000}"/>
    <cellStyle name="Normal 407 4 2 2" xfId="30841" xr:uid="{00000000-0005-0000-0000-000079780000}"/>
    <cellStyle name="Normal 407 4 3" xfId="30842" xr:uid="{00000000-0005-0000-0000-00007A780000}"/>
    <cellStyle name="Normal 407 5" xfId="30843" xr:uid="{00000000-0005-0000-0000-00007B780000}"/>
    <cellStyle name="Normal 407 5 2" xfId="30844" xr:uid="{00000000-0005-0000-0000-00007C780000}"/>
    <cellStyle name="Normal 407 5 2 2" xfId="30845" xr:uid="{00000000-0005-0000-0000-00007D780000}"/>
    <cellStyle name="Normal 407 5 3" xfId="30846" xr:uid="{00000000-0005-0000-0000-00007E780000}"/>
    <cellStyle name="Normal 407 6" xfId="30847" xr:uid="{00000000-0005-0000-0000-00007F780000}"/>
    <cellStyle name="Normal 407 6 2" xfId="30848" xr:uid="{00000000-0005-0000-0000-000080780000}"/>
    <cellStyle name="Normal 407 6 2 2" xfId="30849" xr:uid="{00000000-0005-0000-0000-000081780000}"/>
    <cellStyle name="Normal 407 6 3" xfId="30850" xr:uid="{00000000-0005-0000-0000-000082780000}"/>
    <cellStyle name="Normal 407 7" xfId="30851" xr:uid="{00000000-0005-0000-0000-000083780000}"/>
    <cellStyle name="Normal 408" xfId="30852" xr:uid="{00000000-0005-0000-0000-000084780000}"/>
    <cellStyle name="Normal 408 2" xfId="30853" xr:uid="{00000000-0005-0000-0000-000085780000}"/>
    <cellStyle name="Normal 408 2 2" xfId="30854" xr:uid="{00000000-0005-0000-0000-000086780000}"/>
    <cellStyle name="Normal 408 2 2 2" xfId="30855" xr:uid="{00000000-0005-0000-0000-000087780000}"/>
    <cellStyle name="Normal 408 2 3" xfId="30856" xr:uid="{00000000-0005-0000-0000-000088780000}"/>
    <cellStyle name="Normal 408 2 3 2" xfId="30857" xr:uid="{00000000-0005-0000-0000-000089780000}"/>
    <cellStyle name="Normal 408 2 3 2 2" xfId="30858" xr:uid="{00000000-0005-0000-0000-00008A780000}"/>
    <cellStyle name="Normal 408 2 3 3" xfId="30859" xr:uid="{00000000-0005-0000-0000-00008B780000}"/>
    <cellStyle name="Normal 408 2 4" xfId="30860" xr:uid="{00000000-0005-0000-0000-00008C780000}"/>
    <cellStyle name="Normal 408 2 4 2" xfId="30861" xr:uid="{00000000-0005-0000-0000-00008D780000}"/>
    <cellStyle name="Normal 408 2 4 2 2" xfId="30862" xr:uid="{00000000-0005-0000-0000-00008E780000}"/>
    <cellStyle name="Normal 408 2 4 3" xfId="30863" xr:uid="{00000000-0005-0000-0000-00008F780000}"/>
    <cellStyle name="Normal 408 2 5" xfId="30864" xr:uid="{00000000-0005-0000-0000-000090780000}"/>
    <cellStyle name="Normal 408 3" xfId="30865" xr:uid="{00000000-0005-0000-0000-000091780000}"/>
    <cellStyle name="Normal 408 3 2" xfId="30866" xr:uid="{00000000-0005-0000-0000-000092780000}"/>
    <cellStyle name="Normal 408 3 2 2" xfId="30867" xr:uid="{00000000-0005-0000-0000-000093780000}"/>
    <cellStyle name="Normal 408 3 2 2 2" xfId="30868" xr:uid="{00000000-0005-0000-0000-000094780000}"/>
    <cellStyle name="Normal 408 3 2 3" xfId="30869" xr:uid="{00000000-0005-0000-0000-000095780000}"/>
    <cellStyle name="Normal 408 3 2 3 2" xfId="30870" xr:uid="{00000000-0005-0000-0000-000096780000}"/>
    <cellStyle name="Normal 408 3 2 3 2 2" xfId="30871" xr:uid="{00000000-0005-0000-0000-000097780000}"/>
    <cellStyle name="Normal 408 3 2 3 3" xfId="30872" xr:uid="{00000000-0005-0000-0000-000098780000}"/>
    <cellStyle name="Normal 408 3 2 4" xfId="30873" xr:uid="{00000000-0005-0000-0000-000099780000}"/>
    <cellStyle name="Normal 408 3 3" xfId="30874" xr:uid="{00000000-0005-0000-0000-00009A780000}"/>
    <cellStyle name="Normal 408 3 3 2" xfId="30875" xr:uid="{00000000-0005-0000-0000-00009B780000}"/>
    <cellStyle name="Normal 408 3 3 2 2" xfId="30876" xr:uid="{00000000-0005-0000-0000-00009C780000}"/>
    <cellStyle name="Normal 408 3 3 3" xfId="30877" xr:uid="{00000000-0005-0000-0000-00009D780000}"/>
    <cellStyle name="Normal 408 3 4" xfId="30878" xr:uid="{00000000-0005-0000-0000-00009E780000}"/>
    <cellStyle name="Normal 408 3 4 2" xfId="30879" xr:uid="{00000000-0005-0000-0000-00009F780000}"/>
    <cellStyle name="Normal 408 3 4 2 2" xfId="30880" xr:uid="{00000000-0005-0000-0000-0000A0780000}"/>
    <cellStyle name="Normal 408 3 4 3" xfId="30881" xr:uid="{00000000-0005-0000-0000-0000A1780000}"/>
    <cellStyle name="Normal 408 3 5" xfId="30882" xr:uid="{00000000-0005-0000-0000-0000A2780000}"/>
    <cellStyle name="Normal 408 3 5 2" xfId="30883" xr:uid="{00000000-0005-0000-0000-0000A3780000}"/>
    <cellStyle name="Normal 408 3 5 2 2" xfId="30884" xr:uid="{00000000-0005-0000-0000-0000A4780000}"/>
    <cellStyle name="Normal 408 3 5 3" xfId="30885" xr:uid="{00000000-0005-0000-0000-0000A5780000}"/>
    <cellStyle name="Normal 408 3 6" xfId="30886" xr:uid="{00000000-0005-0000-0000-0000A6780000}"/>
    <cellStyle name="Normal 408 4" xfId="30887" xr:uid="{00000000-0005-0000-0000-0000A7780000}"/>
    <cellStyle name="Normal 408 4 2" xfId="30888" xr:uid="{00000000-0005-0000-0000-0000A8780000}"/>
    <cellStyle name="Normal 408 4 2 2" xfId="30889" xr:uid="{00000000-0005-0000-0000-0000A9780000}"/>
    <cellStyle name="Normal 408 4 3" xfId="30890" xr:uid="{00000000-0005-0000-0000-0000AA780000}"/>
    <cellStyle name="Normal 408 5" xfId="30891" xr:uid="{00000000-0005-0000-0000-0000AB780000}"/>
    <cellStyle name="Normal 408 5 2" xfId="30892" xr:uid="{00000000-0005-0000-0000-0000AC780000}"/>
    <cellStyle name="Normal 408 5 2 2" xfId="30893" xr:uid="{00000000-0005-0000-0000-0000AD780000}"/>
    <cellStyle name="Normal 408 5 3" xfId="30894" xr:uid="{00000000-0005-0000-0000-0000AE780000}"/>
    <cellStyle name="Normal 408 6" xfId="30895" xr:uid="{00000000-0005-0000-0000-0000AF780000}"/>
    <cellStyle name="Normal 408 6 2" xfId="30896" xr:uid="{00000000-0005-0000-0000-0000B0780000}"/>
    <cellStyle name="Normal 408 6 2 2" xfId="30897" xr:uid="{00000000-0005-0000-0000-0000B1780000}"/>
    <cellStyle name="Normal 408 6 3" xfId="30898" xr:uid="{00000000-0005-0000-0000-0000B2780000}"/>
    <cellStyle name="Normal 408 7" xfId="30899" xr:uid="{00000000-0005-0000-0000-0000B3780000}"/>
    <cellStyle name="Normal 409" xfId="30900" xr:uid="{00000000-0005-0000-0000-0000B4780000}"/>
    <cellStyle name="Normal 409 2" xfId="30901" xr:uid="{00000000-0005-0000-0000-0000B5780000}"/>
    <cellStyle name="Normal 409 2 2" xfId="30902" xr:uid="{00000000-0005-0000-0000-0000B6780000}"/>
    <cellStyle name="Normal 409 2 2 2" xfId="30903" xr:uid="{00000000-0005-0000-0000-0000B7780000}"/>
    <cellStyle name="Normal 409 2 3" xfId="30904" xr:uid="{00000000-0005-0000-0000-0000B8780000}"/>
    <cellStyle name="Normal 409 2 3 2" xfId="30905" xr:uid="{00000000-0005-0000-0000-0000B9780000}"/>
    <cellStyle name="Normal 409 2 3 2 2" xfId="30906" xr:uid="{00000000-0005-0000-0000-0000BA780000}"/>
    <cellStyle name="Normal 409 2 3 3" xfId="30907" xr:uid="{00000000-0005-0000-0000-0000BB780000}"/>
    <cellStyle name="Normal 409 2 4" xfId="30908" xr:uid="{00000000-0005-0000-0000-0000BC780000}"/>
    <cellStyle name="Normal 409 2 4 2" xfId="30909" xr:uid="{00000000-0005-0000-0000-0000BD780000}"/>
    <cellStyle name="Normal 409 2 4 2 2" xfId="30910" xr:uid="{00000000-0005-0000-0000-0000BE780000}"/>
    <cellStyle name="Normal 409 2 4 3" xfId="30911" xr:uid="{00000000-0005-0000-0000-0000BF780000}"/>
    <cellStyle name="Normal 409 2 5" xfId="30912" xr:uid="{00000000-0005-0000-0000-0000C0780000}"/>
    <cellStyle name="Normal 409 3" xfId="30913" xr:uid="{00000000-0005-0000-0000-0000C1780000}"/>
    <cellStyle name="Normal 409 3 2" xfId="30914" xr:uid="{00000000-0005-0000-0000-0000C2780000}"/>
    <cellStyle name="Normal 409 3 2 2" xfId="30915" xr:uid="{00000000-0005-0000-0000-0000C3780000}"/>
    <cellStyle name="Normal 409 3 2 2 2" xfId="30916" xr:uid="{00000000-0005-0000-0000-0000C4780000}"/>
    <cellStyle name="Normal 409 3 2 3" xfId="30917" xr:uid="{00000000-0005-0000-0000-0000C5780000}"/>
    <cellStyle name="Normal 409 3 2 3 2" xfId="30918" xr:uid="{00000000-0005-0000-0000-0000C6780000}"/>
    <cellStyle name="Normal 409 3 2 3 2 2" xfId="30919" xr:uid="{00000000-0005-0000-0000-0000C7780000}"/>
    <cellStyle name="Normal 409 3 2 3 3" xfId="30920" xr:uid="{00000000-0005-0000-0000-0000C8780000}"/>
    <cellStyle name="Normal 409 3 2 4" xfId="30921" xr:uid="{00000000-0005-0000-0000-0000C9780000}"/>
    <cellStyle name="Normal 409 3 3" xfId="30922" xr:uid="{00000000-0005-0000-0000-0000CA780000}"/>
    <cellStyle name="Normal 409 3 3 2" xfId="30923" xr:uid="{00000000-0005-0000-0000-0000CB780000}"/>
    <cellStyle name="Normal 409 3 3 2 2" xfId="30924" xr:uid="{00000000-0005-0000-0000-0000CC780000}"/>
    <cellStyle name="Normal 409 3 3 3" xfId="30925" xr:uid="{00000000-0005-0000-0000-0000CD780000}"/>
    <cellStyle name="Normal 409 3 4" xfId="30926" xr:uid="{00000000-0005-0000-0000-0000CE780000}"/>
    <cellStyle name="Normal 409 3 4 2" xfId="30927" xr:uid="{00000000-0005-0000-0000-0000CF780000}"/>
    <cellStyle name="Normal 409 3 4 2 2" xfId="30928" xr:uid="{00000000-0005-0000-0000-0000D0780000}"/>
    <cellStyle name="Normal 409 3 4 3" xfId="30929" xr:uid="{00000000-0005-0000-0000-0000D1780000}"/>
    <cellStyle name="Normal 409 3 5" xfId="30930" xr:uid="{00000000-0005-0000-0000-0000D2780000}"/>
    <cellStyle name="Normal 409 3 5 2" xfId="30931" xr:uid="{00000000-0005-0000-0000-0000D3780000}"/>
    <cellStyle name="Normal 409 3 5 2 2" xfId="30932" xr:uid="{00000000-0005-0000-0000-0000D4780000}"/>
    <cellStyle name="Normal 409 3 5 3" xfId="30933" xr:uid="{00000000-0005-0000-0000-0000D5780000}"/>
    <cellStyle name="Normal 409 3 6" xfId="30934" xr:uid="{00000000-0005-0000-0000-0000D6780000}"/>
    <cellStyle name="Normal 409 4" xfId="30935" xr:uid="{00000000-0005-0000-0000-0000D7780000}"/>
    <cellStyle name="Normal 409 4 2" xfId="30936" xr:uid="{00000000-0005-0000-0000-0000D8780000}"/>
    <cellStyle name="Normal 409 4 2 2" xfId="30937" xr:uid="{00000000-0005-0000-0000-0000D9780000}"/>
    <cellStyle name="Normal 409 4 3" xfId="30938" xr:uid="{00000000-0005-0000-0000-0000DA780000}"/>
    <cellStyle name="Normal 409 5" xfId="30939" xr:uid="{00000000-0005-0000-0000-0000DB780000}"/>
    <cellStyle name="Normal 409 5 2" xfId="30940" xr:uid="{00000000-0005-0000-0000-0000DC780000}"/>
    <cellStyle name="Normal 409 5 2 2" xfId="30941" xr:uid="{00000000-0005-0000-0000-0000DD780000}"/>
    <cellStyle name="Normal 409 5 3" xfId="30942" xr:uid="{00000000-0005-0000-0000-0000DE780000}"/>
    <cellStyle name="Normal 409 6" xfId="30943" xr:uid="{00000000-0005-0000-0000-0000DF780000}"/>
    <cellStyle name="Normal 409 6 2" xfId="30944" xr:uid="{00000000-0005-0000-0000-0000E0780000}"/>
    <cellStyle name="Normal 409 6 2 2" xfId="30945" xr:uid="{00000000-0005-0000-0000-0000E1780000}"/>
    <cellStyle name="Normal 409 6 3" xfId="30946" xr:uid="{00000000-0005-0000-0000-0000E2780000}"/>
    <cellStyle name="Normal 409 7" xfId="30947" xr:uid="{00000000-0005-0000-0000-0000E3780000}"/>
    <cellStyle name="Normal 41" xfId="30948" xr:uid="{00000000-0005-0000-0000-0000E4780000}"/>
    <cellStyle name="Normal 41 2" xfId="30949" xr:uid="{00000000-0005-0000-0000-0000E5780000}"/>
    <cellStyle name="Normal 41 2 2" xfId="30950" xr:uid="{00000000-0005-0000-0000-0000E6780000}"/>
    <cellStyle name="Normal 41 2 2 2" xfId="30951" xr:uid="{00000000-0005-0000-0000-0000E7780000}"/>
    <cellStyle name="Normal 41 2 2 2 2" xfId="30952" xr:uid="{00000000-0005-0000-0000-0000E8780000}"/>
    <cellStyle name="Normal 41 2 2 3" xfId="30953" xr:uid="{00000000-0005-0000-0000-0000E9780000}"/>
    <cellStyle name="Normal 41 2 2 3 2" xfId="30954" xr:uid="{00000000-0005-0000-0000-0000EA780000}"/>
    <cellStyle name="Normal 41 2 2 3 2 2" xfId="30955" xr:uid="{00000000-0005-0000-0000-0000EB780000}"/>
    <cellStyle name="Normal 41 2 2 3 3" xfId="30956" xr:uid="{00000000-0005-0000-0000-0000EC780000}"/>
    <cellStyle name="Normal 41 2 2 4" xfId="30957" xr:uid="{00000000-0005-0000-0000-0000ED780000}"/>
    <cellStyle name="Normal 41 2 2 4 2" xfId="30958" xr:uid="{00000000-0005-0000-0000-0000EE780000}"/>
    <cellStyle name="Normal 41 2 2 4 2 2" xfId="30959" xr:uid="{00000000-0005-0000-0000-0000EF780000}"/>
    <cellStyle name="Normal 41 2 2 4 3" xfId="30960" xr:uid="{00000000-0005-0000-0000-0000F0780000}"/>
    <cellStyle name="Normal 41 2 2 5" xfId="30961" xr:uid="{00000000-0005-0000-0000-0000F1780000}"/>
    <cellStyle name="Normal 41 2 3" xfId="30962" xr:uid="{00000000-0005-0000-0000-0000F2780000}"/>
    <cellStyle name="Normal 41 2 3 2" xfId="30963" xr:uid="{00000000-0005-0000-0000-0000F3780000}"/>
    <cellStyle name="Normal 41 2 3 2 2" xfId="30964" xr:uid="{00000000-0005-0000-0000-0000F4780000}"/>
    <cellStyle name="Normal 41 2 3 3" xfId="30965" xr:uid="{00000000-0005-0000-0000-0000F5780000}"/>
    <cellStyle name="Normal 41 2 4" xfId="30966" xr:uid="{00000000-0005-0000-0000-0000F6780000}"/>
    <cellStyle name="Normal 41 2 4 2" xfId="30967" xr:uid="{00000000-0005-0000-0000-0000F7780000}"/>
    <cellStyle name="Normal 41 2 4 2 2" xfId="30968" xr:uid="{00000000-0005-0000-0000-0000F8780000}"/>
    <cellStyle name="Normal 41 2 4 3" xfId="30969" xr:uid="{00000000-0005-0000-0000-0000F9780000}"/>
    <cellStyle name="Normal 41 2 5" xfId="30970" xr:uid="{00000000-0005-0000-0000-0000FA780000}"/>
    <cellStyle name="Normal 41 2 5 2" xfId="30971" xr:uid="{00000000-0005-0000-0000-0000FB780000}"/>
    <cellStyle name="Normal 41 2 5 2 2" xfId="30972" xr:uid="{00000000-0005-0000-0000-0000FC780000}"/>
    <cellStyle name="Normal 41 2 5 3" xfId="30973" xr:uid="{00000000-0005-0000-0000-0000FD780000}"/>
    <cellStyle name="Normal 41 2 6" xfId="30974" xr:uid="{00000000-0005-0000-0000-0000FE780000}"/>
    <cellStyle name="Normal 41 3" xfId="30975" xr:uid="{00000000-0005-0000-0000-0000FF780000}"/>
    <cellStyle name="Normal 41 3 2" xfId="30976" xr:uid="{00000000-0005-0000-0000-000000790000}"/>
    <cellStyle name="Normal 41 3 2 2" xfId="30977" xr:uid="{00000000-0005-0000-0000-000001790000}"/>
    <cellStyle name="Normal 41 3 3" xfId="30978" xr:uid="{00000000-0005-0000-0000-000002790000}"/>
    <cellStyle name="Normal 41 3 3 2" xfId="30979" xr:uid="{00000000-0005-0000-0000-000003790000}"/>
    <cellStyle name="Normal 41 3 3 2 2" xfId="30980" xr:uid="{00000000-0005-0000-0000-000004790000}"/>
    <cellStyle name="Normal 41 3 3 3" xfId="30981" xr:uid="{00000000-0005-0000-0000-000005790000}"/>
    <cellStyle name="Normal 41 3 4" xfId="30982" xr:uid="{00000000-0005-0000-0000-000006790000}"/>
    <cellStyle name="Normal 41 3 4 2" xfId="30983" xr:uid="{00000000-0005-0000-0000-000007790000}"/>
    <cellStyle name="Normal 41 3 4 2 2" xfId="30984" xr:uid="{00000000-0005-0000-0000-000008790000}"/>
    <cellStyle name="Normal 41 3 4 3" xfId="30985" xr:uid="{00000000-0005-0000-0000-000009790000}"/>
    <cellStyle name="Normal 41 3 5" xfId="30986" xr:uid="{00000000-0005-0000-0000-00000A790000}"/>
    <cellStyle name="Normal 41 4" xfId="30987" xr:uid="{00000000-0005-0000-0000-00000B790000}"/>
    <cellStyle name="Normal 41 4 2" xfId="30988" xr:uid="{00000000-0005-0000-0000-00000C790000}"/>
    <cellStyle name="Normal 41 4 2 2" xfId="30989" xr:uid="{00000000-0005-0000-0000-00000D790000}"/>
    <cellStyle name="Normal 41 4 3" xfId="30990" xr:uid="{00000000-0005-0000-0000-00000E790000}"/>
    <cellStyle name="Normal 41 5" xfId="30991" xr:uid="{00000000-0005-0000-0000-00000F790000}"/>
    <cellStyle name="Normal 41 5 2" xfId="30992" xr:uid="{00000000-0005-0000-0000-000010790000}"/>
    <cellStyle name="Normal 41 5 2 2" xfId="30993" xr:uid="{00000000-0005-0000-0000-000011790000}"/>
    <cellStyle name="Normal 41 5 3" xfId="30994" xr:uid="{00000000-0005-0000-0000-000012790000}"/>
    <cellStyle name="Normal 41 6" xfId="30995" xr:uid="{00000000-0005-0000-0000-000013790000}"/>
    <cellStyle name="Normal 41 6 2" xfId="30996" xr:uid="{00000000-0005-0000-0000-000014790000}"/>
    <cellStyle name="Normal 41 6 2 2" xfId="30997" xr:uid="{00000000-0005-0000-0000-000015790000}"/>
    <cellStyle name="Normal 41 6 3" xfId="30998" xr:uid="{00000000-0005-0000-0000-000016790000}"/>
    <cellStyle name="Normal 41 7" xfId="30999" xr:uid="{00000000-0005-0000-0000-000017790000}"/>
    <cellStyle name="Normal 410" xfId="31000" xr:uid="{00000000-0005-0000-0000-000018790000}"/>
    <cellStyle name="Normal 410 2" xfId="31001" xr:uid="{00000000-0005-0000-0000-000019790000}"/>
    <cellStyle name="Normal 410 2 2" xfId="31002" xr:uid="{00000000-0005-0000-0000-00001A790000}"/>
    <cellStyle name="Normal 410 2 2 2" xfId="31003" xr:uid="{00000000-0005-0000-0000-00001B790000}"/>
    <cellStyle name="Normal 410 2 3" xfId="31004" xr:uid="{00000000-0005-0000-0000-00001C790000}"/>
    <cellStyle name="Normal 410 2 3 2" xfId="31005" xr:uid="{00000000-0005-0000-0000-00001D790000}"/>
    <cellStyle name="Normal 410 2 3 2 2" xfId="31006" xr:uid="{00000000-0005-0000-0000-00001E790000}"/>
    <cellStyle name="Normal 410 2 3 3" xfId="31007" xr:uid="{00000000-0005-0000-0000-00001F790000}"/>
    <cellStyle name="Normal 410 2 4" xfId="31008" xr:uid="{00000000-0005-0000-0000-000020790000}"/>
    <cellStyle name="Normal 410 2 4 2" xfId="31009" xr:uid="{00000000-0005-0000-0000-000021790000}"/>
    <cellStyle name="Normal 410 2 4 2 2" xfId="31010" xr:uid="{00000000-0005-0000-0000-000022790000}"/>
    <cellStyle name="Normal 410 2 4 3" xfId="31011" xr:uid="{00000000-0005-0000-0000-000023790000}"/>
    <cellStyle name="Normal 410 2 5" xfId="31012" xr:uid="{00000000-0005-0000-0000-000024790000}"/>
    <cellStyle name="Normal 410 3" xfId="31013" xr:uid="{00000000-0005-0000-0000-000025790000}"/>
    <cellStyle name="Normal 410 3 2" xfId="31014" xr:uid="{00000000-0005-0000-0000-000026790000}"/>
    <cellStyle name="Normal 410 3 2 2" xfId="31015" xr:uid="{00000000-0005-0000-0000-000027790000}"/>
    <cellStyle name="Normal 410 3 2 2 2" xfId="31016" xr:uid="{00000000-0005-0000-0000-000028790000}"/>
    <cellStyle name="Normal 410 3 2 3" xfId="31017" xr:uid="{00000000-0005-0000-0000-000029790000}"/>
    <cellStyle name="Normal 410 3 2 3 2" xfId="31018" xr:uid="{00000000-0005-0000-0000-00002A790000}"/>
    <cellStyle name="Normal 410 3 2 3 2 2" xfId="31019" xr:uid="{00000000-0005-0000-0000-00002B790000}"/>
    <cellStyle name="Normal 410 3 2 3 3" xfId="31020" xr:uid="{00000000-0005-0000-0000-00002C790000}"/>
    <cellStyle name="Normal 410 3 2 4" xfId="31021" xr:uid="{00000000-0005-0000-0000-00002D790000}"/>
    <cellStyle name="Normal 410 3 3" xfId="31022" xr:uid="{00000000-0005-0000-0000-00002E790000}"/>
    <cellStyle name="Normal 410 3 3 2" xfId="31023" xr:uid="{00000000-0005-0000-0000-00002F790000}"/>
    <cellStyle name="Normal 410 3 3 2 2" xfId="31024" xr:uid="{00000000-0005-0000-0000-000030790000}"/>
    <cellStyle name="Normal 410 3 3 3" xfId="31025" xr:uid="{00000000-0005-0000-0000-000031790000}"/>
    <cellStyle name="Normal 410 3 4" xfId="31026" xr:uid="{00000000-0005-0000-0000-000032790000}"/>
    <cellStyle name="Normal 410 3 4 2" xfId="31027" xr:uid="{00000000-0005-0000-0000-000033790000}"/>
    <cellStyle name="Normal 410 3 4 2 2" xfId="31028" xr:uid="{00000000-0005-0000-0000-000034790000}"/>
    <cellStyle name="Normal 410 3 4 3" xfId="31029" xr:uid="{00000000-0005-0000-0000-000035790000}"/>
    <cellStyle name="Normal 410 3 5" xfId="31030" xr:uid="{00000000-0005-0000-0000-000036790000}"/>
    <cellStyle name="Normal 410 3 5 2" xfId="31031" xr:uid="{00000000-0005-0000-0000-000037790000}"/>
    <cellStyle name="Normal 410 3 5 2 2" xfId="31032" xr:uid="{00000000-0005-0000-0000-000038790000}"/>
    <cellStyle name="Normal 410 3 5 3" xfId="31033" xr:uid="{00000000-0005-0000-0000-000039790000}"/>
    <cellStyle name="Normal 410 3 6" xfId="31034" xr:uid="{00000000-0005-0000-0000-00003A790000}"/>
    <cellStyle name="Normal 410 4" xfId="31035" xr:uid="{00000000-0005-0000-0000-00003B790000}"/>
    <cellStyle name="Normal 410 4 2" xfId="31036" xr:uid="{00000000-0005-0000-0000-00003C790000}"/>
    <cellStyle name="Normal 410 4 2 2" xfId="31037" xr:uid="{00000000-0005-0000-0000-00003D790000}"/>
    <cellStyle name="Normal 410 4 3" xfId="31038" xr:uid="{00000000-0005-0000-0000-00003E790000}"/>
    <cellStyle name="Normal 410 5" xfId="31039" xr:uid="{00000000-0005-0000-0000-00003F790000}"/>
    <cellStyle name="Normal 410 5 2" xfId="31040" xr:uid="{00000000-0005-0000-0000-000040790000}"/>
    <cellStyle name="Normal 410 5 2 2" xfId="31041" xr:uid="{00000000-0005-0000-0000-000041790000}"/>
    <cellStyle name="Normal 410 5 3" xfId="31042" xr:uid="{00000000-0005-0000-0000-000042790000}"/>
    <cellStyle name="Normal 410 6" xfId="31043" xr:uid="{00000000-0005-0000-0000-000043790000}"/>
    <cellStyle name="Normal 410 6 2" xfId="31044" xr:uid="{00000000-0005-0000-0000-000044790000}"/>
    <cellStyle name="Normal 410 6 2 2" xfId="31045" xr:uid="{00000000-0005-0000-0000-000045790000}"/>
    <cellStyle name="Normal 410 6 3" xfId="31046" xr:uid="{00000000-0005-0000-0000-000046790000}"/>
    <cellStyle name="Normal 410 7" xfId="31047" xr:uid="{00000000-0005-0000-0000-000047790000}"/>
    <cellStyle name="Normal 411" xfId="31048" xr:uid="{00000000-0005-0000-0000-000048790000}"/>
    <cellStyle name="Normal 411 2" xfId="31049" xr:uid="{00000000-0005-0000-0000-000049790000}"/>
    <cellStyle name="Normal 411 2 2" xfId="31050" xr:uid="{00000000-0005-0000-0000-00004A790000}"/>
    <cellStyle name="Normal 411 2 2 2" xfId="31051" xr:uid="{00000000-0005-0000-0000-00004B790000}"/>
    <cellStyle name="Normal 411 2 3" xfId="31052" xr:uid="{00000000-0005-0000-0000-00004C790000}"/>
    <cellStyle name="Normal 411 2 3 2" xfId="31053" xr:uid="{00000000-0005-0000-0000-00004D790000}"/>
    <cellStyle name="Normal 411 2 3 2 2" xfId="31054" xr:uid="{00000000-0005-0000-0000-00004E790000}"/>
    <cellStyle name="Normal 411 2 3 3" xfId="31055" xr:uid="{00000000-0005-0000-0000-00004F790000}"/>
    <cellStyle name="Normal 411 2 4" xfId="31056" xr:uid="{00000000-0005-0000-0000-000050790000}"/>
    <cellStyle name="Normal 411 2 4 2" xfId="31057" xr:uid="{00000000-0005-0000-0000-000051790000}"/>
    <cellStyle name="Normal 411 2 4 2 2" xfId="31058" xr:uid="{00000000-0005-0000-0000-000052790000}"/>
    <cellStyle name="Normal 411 2 4 3" xfId="31059" xr:uid="{00000000-0005-0000-0000-000053790000}"/>
    <cellStyle name="Normal 411 2 5" xfId="31060" xr:uid="{00000000-0005-0000-0000-000054790000}"/>
    <cellStyle name="Normal 411 3" xfId="31061" xr:uid="{00000000-0005-0000-0000-000055790000}"/>
    <cellStyle name="Normal 411 3 2" xfId="31062" xr:uid="{00000000-0005-0000-0000-000056790000}"/>
    <cellStyle name="Normal 411 3 2 2" xfId="31063" xr:uid="{00000000-0005-0000-0000-000057790000}"/>
    <cellStyle name="Normal 411 3 2 2 2" xfId="31064" xr:uid="{00000000-0005-0000-0000-000058790000}"/>
    <cellStyle name="Normal 411 3 2 3" xfId="31065" xr:uid="{00000000-0005-0000-0000-000059790000}"/>
    <cellStyle name="Normal 411 3 2 3 2" xfId="31066" xr:uid="{00000000-0005-0000-0000-00005A790000}"/>
    <cellStyle name="Normal 411 3 2 3 2 2" xfId="31067" xr:uid="{00000000-0005-0000-0000-00005B790000}"/>
    <cellStyle name="Normal 411 3 2 3 3" xfId="31068" xr:uid="{00000000-0005-0000-0000-00005C790000}"/>
    <cellStyle name="Normal 411 3 2 4" xfId="31069" xr:uid="{00000000-0005-0000-0000-00005D790000}"/>
    <cellStyle name="Normal 411 3 3" xfId="31070" xr:uid="{00000000-0005-0000-0000-00005E790000}"/>
    <cellStyle name="Normal 411 3 3 2" xfId="31071" xr:uid="{00000000-0005-0000-0000-00005F790000}"/>
    <cellStyle name="Normal 411 3 3 2 2" xfId="31072" xr:uid="{00000000-0005-0000-0000-000060790000}"/>
    <cellStyle name="Normal 411 3 3 3" xfId="31073" xr:uid="{00000000-0005-0000-0000-000061790000}"/>
    <cellStyle name="Normal 411 3 4" xfId="31074" xr:uid="{00000000-0005-0000-0000-000062790000}"/>
    <cellStyle name="Normal 411 3 4 2" xfId="31075" xr:uid="{00000000-0005-0000-0000-000063790000}"/>
    <cellStyle name="Normal 411 3 4 2 2" xfId="31076" xr:uid="{00000000-0005-0000-0000-000064790000}"/>
    <cellStyle name="Normal 411 3 4 3" xfId="31077" xr:uid="{00000000-0005-0000-0000-000065790000}"/>
    <cellStyle name="Normal 411 3 5" xfId="31078" xr:uid="{00000000-0005-0000-0000-000066790000}"/>
    <cellStyle name="Normal 411 3 5 2" xfId="31079" xr:uid="{00000000-0005-0000-0000-000067790000}"/>
    <cellStyle name="Normal 411 3 5 2 2" xfId="31080" xr:uid="{00000000-0005-0000-0000-000068790000}"/>
    <cellStyle name="Normal 411 3 5 3" xfId="31081" xr:uid="{00000000-0005-0000-0000-000069790000}"/>
    <cellStyle name="Normal 411 3 6" xfId="31082" xr:uid="{00000000-0005-0000-0000-00006A790000}"/>
    <cellStyle name="Normal 411 4" xfId="31083" xr:uid="{00000000-0005-0000-0000-00006B790000}"/>
    <cellStyle name="Normal 411 4 2" xfId="31084" xr:uid="{00000000-0005-0000-0000-00006C790000}"/>
    <cellStyle name="Normal 411 4 2 2" xfId="31085" xr:uid="{00000000-0005-0000-0000-00006D790000}"/>
    <cellStyle name="Normal 411 4 3" xfId="31086" xr:uid="{00000000-0005-0000-0000-00006E790000}"/>
    <cellStyle name="Normal 411 5" xfId="31087" xr:uid="{00000000-0005-0000-0000-00006F790000}"/>
    <cellStyle name="Normal 411 5 2" xfId="31088" xr:uid="{00000000-0005-0000-0000-000070790000}"/>
    <cellStyle name="Normal 411 5 2 2" xfId="31089" xr:uid="{00000000-0005-0000-0000-000071790000}"/>
    <cellStyle name="Normal 411 5 3" xfId="31090" xr:uid="{00000000-0005-0000-0000-000072790000}"/>
    <cellStyle name="Normal 411 6" xfId="31091" xr:uid="{00000000-0005-0000-0000-000073790000}"/>
    <cellStyle name="Normal 411 6 2" xfId="31092" xr:uid="{00000000-0005-0000-0000-000074790000}"/>
    <cellStyle name="Normal 411 6 2 2" xfId="31093" xr:uid="{00000000-0005-0000-0000-000075790000}"/>
    <cellStyle name="Normal 411 6 3" xfId="31094" xr:uid="{00000000-0005-0000-0000-000076790000}"/>
    <cellStyle name="Normal 411 7" xfId="31095" xr:uid="{00000000-0005-0000-0000-000077790000}"/>
    <cellStyle name="Normal 412" xfId="31096" xr:uid="{00000000-0005-0000-0000-000078790000}"/>
    <cellStyle name="Normal 412 2" xfId="31097" xr:uid="{00000000-0005-0000-0000-000079790000}"/>
    <cellStyle name="Normal 412 2 2" xfId="31098" xr:uid="{00000000-0005-0000-0000-00007A790000}"/>
    <cellStyle name="Normal 412 2 2 2" xfId="31099" xr:uid="{00000000-0005-0000-0000-00007B790000}"/>
    <cellStyle name="Normal 412 2 3" xfId="31100" xr:uid="{00000000-0005-0000-0000-00007C790000}"/>
    <cellStyle name="Normal 412 2 3 2" xfId="31101" xr:uid="{00000000-0005-0000-0000-00007D790000}"/>
    <cellStyle name="Normal 412 2 3 2 2" xfId="31102" xr:uid="{00000000-0005-0000-0000-00007E790000}"/>
    <cellStyle name="Normal 412 2 3 3" xfId="31103" xr:uid="{00000000-0005-0000-0000-00007F790000}"/>
    <cellStyle name="Normal 412 2 4" xfId="31104" xr:uid="{00000000-0005-0000-0000-000080790000}"/>
    <cellStyle name="Normal 412 2 4 2" xfId="31105" xr:uid="{00000000-0005-0000-0000-000081790000}"/>
    <cellStyle name="Normal 412 2 4 2 2" xfId="31106" xr:uid="{00000000-0005-0000-0000-000082790000}"/>
    <cellStyle name="Normal 412 2 4 3" xfId="31107" xr:uid="{00000000-0005-0000-0000-000083790000}"/>
    <cellStyle name="Normal 412 2 5" xfId="31108" xr:uid="{00000000-0005-0000-0000-000084790000}"/>
    <cellStyle name="Normal 412 3" xfId="31109" xr:uid="{00000000-0005-0000-0000-000085790000}"/>
    <cellStyle name="Normal 412 3 2" xfId="31110" xr:uid="{00000000-0005-0000-0000-000086790000}"/>
    <cellStyle name="Normal 412 3 2 2" xfId="31111" xr:uid="{00000000-0005-0000-0000-000087790000}"/>
    <cellStyle name="Normal 412 3 2 2 2" xfId="31112" xr:uid="{00000000-0005-0000-0000-000088790000}"/>
    <cellStyle name="Normal 412 3 2 3" xfId="31113" xr:uid="{00000000-0005-0000-0000-000089790000}"/>
    <cellStyle name="Normal 412 3 2 3 2" xfId="31114" xr:uid="{00000000-0005-0000-0000-00008A790000}"/>
    <cellStyle name="Normal 412 3 2 3 2 2" xfId="31115" xr:uid="{00000000-0005-0000-0000-00008B790000}"/>
    <cellStyle name="Normal 412 3 2 3 3" xfId="31116" xr:uid="{00000000-0005-0000-0000-00008C790000}"/>
    <cellStyle name="Normal 412 3 2 4" xfId="31117" xr:uid="{00000000-0005-0000-0000-00008D790000}"/>
    <cellStyle name="Normal 412 3 3" xfId="31118" xr:uid="{00000000-0005-0000-0000-00008E790000}"/>
    <cellStyle name="Normal 412 3 3 2" xfId="31119" xr:uid="{00000000-0005-0000-0000-00008F790000}"/>
    <cellStyle name="Normal 412 3 3 2 2" xfId="31120" xr:uid="{00000000-0005-0000-0000-000090790000}"/>
    <cellStyle name="Normal 412 3 3 3" xfId="31121" xr:uid="{00000000-0005-0000-0000-000091790000}"/>
    <cellStyle name="Normal 412 3 4" xfId="31122" xr:uid="{00000000-0005-0000-0000-000092790000}"/>
    <cellStyle name="Normal 412 3 4 2" xfId="31123" xr:uid="{00000000-0005-0000-0000-000093790000}"/>
    <cellStyle name="Normal 412 3 4 2 2" xfId="31124" xr:uid="{00000000-0005-0000-0000-000094790000}"/>
    <cellStyle name="Normal 412 3 4 3" xfId="31125" xr:uid="{00000000-0005-0000-0000-000095790000}"/>
    <cellStyle name="Normal 412 3 5" xfId="31126" xr:uid="{00000000-0005-0000-0000-000096790000}"/>
    <cellStyle name="Normal 412 3 5 2" xfId="31127" xr:uid="{00000000-0005-0000-0000-000097790000}"/>
    <cellStyle name="Normal 412 3 5 2 2" xfId="31128" xr:uid="{00000000-0005-0000-0000-000098790000}"/>
    <cellStyle name="Normal 412 3 5 3" xfId="31129" xr:uid="{00000000-0005-0000-0000-000099790000}"/>
    <cellStyle name="Normal 412 3 6" xfId="31130" xr:uid="{00000000-0005-0000-0000-00009A790000}"/>
    <cellStyle name="Normal 412 4" xfId="31131" xr:uid="{00000000-0005-0000-0000-00009B790000}"/>
    <cellStyle name="Normal 412 4 2" xfId="31132" xr:uid="{00000000-0005-0000-0000-00009C790000}"/>
    <cellStyle name="Normal 412 4 2 2" xfId="31133" xr:uid="{00000000-0005-0000-0000-00009D790000}"/>
    <cellStyle name="Normal 412 4 3" xfId="31134" xr:uid="{00000000-0005-0000-0000-00009E790000}"/>
    <cellStyle name="Normal 412 5" xfId="31135" xr:uid="{00000000-0005-0000-0000-00009F790000}"/>
    <cellStyle name="Normal 412 5 2" xfId="31136" xr:uid="{00000000-0005-0000-0000-0000A0790000}"/>
    <cellStyle name="Normal 412 5 2 2" xfId="31137" xr:uid="{00000000-0005-0000-0000-0000A1790000}"/>
    <cellStyle name="Normal 412 5 3" xfId="31138" xr:uid="{00000000-0005-0000-0000-0000A2790000}"/>
    <cellStyle name="Normal 412 6" xfId="31139" xr:uid="{00000000-0005-0000-0000-0000A3790000}"/>
    <cellStyle name="Normal 412 6 2" xfId="31140" xr:uid="{00000000-0005-0000-0000-0000A4790000}"/>
    <cellStyle name="Normal 412 6 2 2" xfId="31141" xr:uid="{00000000-0005-0000-0000-0000A5790000}"/>
    <cellStyle name="Normal 412 6 3" xfId="31142" xr:uid="{00000000-0005-0000-0000-0000A6790000}"/>
    <cellStyle name="Normal 412 7" xfId="31143" xr:uid="{00000000-0005-0000-0000-0000A7790000}"/>
    <cellStyle name="Normal 413" xfId="31144" xr:uid="{00000000-0005-0000-0000-0000A8790000}"/>
    <cellStyle name="Normal 413 2" xfId="31145" xr:uid="{00000000-0005-0000-0000-0000A9790000}"/>
    <cellStyle name="Normal 413 2 2" xfId="31146" xr:uid="{00000000-0005-0000-0000-0000AA790000}"/>
    <cellStyle name="Normal 413 2 2 2" xfId="31147" xr:uid="{00000000-0005-0000-0000-0000AB790000}"/>
    <cellStyle name="Normal 413 2 3" xfId="31148" xr:uid="{00000000-0005-0000-0000-0000AC790000}"/>
    <cellStyle name="Normal 413 2 3 2" xfId="31149" xr:uid="{00000000-0005-0000-0000-0000AD790000}"/>
    <cellStyle name="Normal 413 2 3 2 2" xfId="31150" xr:uid="{00000000-0005-0000-0000-0000AE790000}"/>
    <cellStyle name="Normal 413 2 3 3" xfId="31151" xr:uid="{00000000-0005-0000-0000-0000AF790000}"/>
    <cellStyle name="Normal 413 2 4" xfId="31152" xr:uid="{00000000-0005-0000-0000-0000B0790000}"/>
    <cellStyle name="Normal 413 2 4 2" xfId="31153" xr:uid="{00000000-0005-0000-0000-0000B1790000}"/>
    <cellStyle name="Normal 413 2 4 2 2" xfId="31154" xr:uid="{00000000-0005-0000-0000-0000B2790000}"/>
    <cellStyle name="Normal 413 2 4 3" xfId="31155" xr:uid="{00000000-0005-0000-0000-0000B3790000}"/>
    <cellStyle name="Normal 413 2 5" xfId="31156" xr:uid="{00000000-0005-0000-0000-0000B4790000}"/>
    <cellStyle name="Normal 413 3" xfId="31157" xr:uid="{00000000-0005-0000-0000-0000B5790000}"/>
    <cellStyle name="Normal 413 3 2" xfId="31158" xr:uid="{00000000-0005-0000-0000-0000B6790000}"/>
    <cellStyle name="Normal 413 3 2 2" xfId="31159" xr:uid="{00000000-0005-0000-0000-0000B7790000}"/>
    <cellStyle name="Normal 413 3 2 2 2" xfId="31160" xr:uid="{00000000-0005-0000-0000-0000B8790000}"/>
    <cellStyle name="Normal 413 3 2 3" xfId="31161" xr:uid="{00000000-0005-0000-0000-0000B9790000}"/>
    <cellStyle name="Normal 413 3 2 3 2" xfId="31162" xr:uid="{00000000-0005-0000-0000-0000BA790000}"/>
    <cellStyle name="Normal 413 3 2 3 2 2" xfId="31163" xr:uid="{00000000-0005-0000-0000-0000BB790000}"/>
    <cellStyle name="Normal 413 3 2 3 3" xfId="31164" xr:uid="{00000000-0005-0000-0000-0000BC790000}"/>
    <cellStyle name="Normal 413 3 2 4" xfId="31165" xr:uid="{00000000-0005-0000-0000-0000BD790000}"/>
    <cellStyle name="Normal 413 3 3" xfId="31166" xr:uid="{00000000-0005-0000-0000-0000BE790000}"/>
    <cellStyle name="Normal 413 3 3 2" xfId="31167" xr:uid="{00000000-0005-0000-0000-0000BF790000}"/>
    <cellStyle name="Normal 413 3 3 2 2" xfId="31168" xr:uid="{00000000-0005-0000-0000-0000C0790000}"/>
    <cellStyle name="Normal 413 3 3 3" xfId="31169" xr:uid="{00000000-0005-0000-0000-0000C1790000}"/>
    <cellStyle name="Normal 413 3 4" xfId="31170" xr:uid="{00000000-0005-0000-0000-0000C2790000}"/>
    <cellStyle name="Normal 413 3 4 2" xfId="31171" xr:uid="{00000000-0005-0000-0000-0000C3790000}"/>
    <cellStyle name="Normal 413 3 4 2 2" xfId="31172" xr:uid="{00000000-0005-0000-0000-0000C4790000}"/>
    <cellStyle name="Normal 413 3 4 3" xfId="31173" xr:uid="{00000000-0005-0000-0000-0000C5790000}"/>
    <cellStyle name="Normal 413 3 5" xfId="31174" xr:uid="{00000000-0005-0000-0000-0000C6790000}"/>
    <cellStyle name="Normal 413 3 5 2" xfId="31175" xr:uid="{00000000-0005-0000-0000-0000C7790000}"/>
    <cellStyle name="Normal 413 3 5 2 2" xfId="31176" xr:uid="{00000000-0005-0000-0000-0000C8790000}"/>
    <cellStyle name="Normal 413 3 5 3" xfId="31177" xr:uid="{00000000-0005-0000-0000-0000C9790000}"/>
    <cellStyle name="Normal 413 3 6" xfId="31178" xr:uid="{00000000-0005-0000-0000-0000CA790000}"/>
    <cellStyle name="Normal 413 4" xfId="31179" xr:uid="{00000000-0005-0000-0000-0000CB790000}"/>
    <cellStyle name="Normal 413 4 2" xfId="31180" xr:uid="{00000000-0005-0000-0000-0000CC790000}"/>
    <cellStyle name="Normal 413 4 2 2" xfId="31181" xr:uid="{00000000-0005-0000-0000-0000CD790000}"/>
    <cellStyle name="Normal 413 4 3" xfId="31182" xr:uid="{00000000-0005-0000-0000-0000CE790000}"/>
    <cellStyle name="Normal 413 5" xfId="31183" xr:uid="{00000000-0005-0000-0000-0000CF790000}"/>
    <cellStyle name="Normal 413 5 2" xfId="31184" xr:uid="{00000000-0005-0000-0000-0000D0790000}"/>
    <cellStyle name="Normal 413 5 2 2" xfId="31185" xr:uid="{00000000-0005-0000-0000-0000D1790000}"/>
    <cellStyle name="Normal 413 5 3" xfId="31186" xr:uid="{00000000-0005-0000-0000-0000D2790000}"/>
    <cellStyle name="Normal 413 6" xfId="31187" xr:uid="{00000000-0005-0000-0000-0000D3790000}"/>
    <cellStyle name="Normal 413 6 2" xfId="31188" xr:uid="{00000000-0005-0000-0000-0000D4790000}"/>
    <cellStyle name="Normal 413 6 2 2" xfId="31189" xr:uid="{00000000-0005-0000-0000-0000D5790000}"/>
    <cellStyle name="Normal 413 6 3" xfId="31190" xr:uid="{00000000-0005-0000-0000-0000D6790000}"/>
    <cellStyle name="Normal 413 7" xfId="31191" xr:uid="{00000000-0005-0000-0000-0000D7790000}"/>
    <cellStyle name="Normal 414" xfId="31192" xr:uid="{00000000-0005-0000-0000-0000D8790000}"/>
    <cellStyle name="Normal 414 2" xfId="31193" xr:uid="{00000000-0005-0000-0000-0000D9790000}"/>
    <cellStyle name="Normal 414 2 2" xfId="31194" xr:uid="{00000000-0005-0000-0000-0000DA790000}"/>
    <cellStyle name="Normal 414 2 2 2" xfId="31195" xr:uid="{00000000-0005-0000-0000-0000DB790000}"/>
    <cellStyle name="Normal 414 2 3" xfId="31196" xr:uid="{00000000-0005-0000-0000-0000DC790000}"/>
    <cellStyle name="Normal 414 2 3 2" xfId="31197" xr:uid="{00000000-0005-0000-0000-0000DD790000}"/>
    <cellStyle name="Normal 414 2 3 2 2" xfId="31198" xr:uid="{00000000-0005-0000-0000-0000DE790000}"/>
    <cellStyle name="Normal 414 2 3 3" xfId="31199" xr:uid="{00000000-0005-0000-0000-0000DF790000}"/>
    <cellStyle name="Normal 414 2 4" xfId="31200" xr:uid="{00000000-0005-0000-0000-0000E0790000}"/>
    <cellStyle name="Normal 414 2 4 2" xfId="31201" xr:uid="{00000000-0005-0000-0000-0000E1790000}"/>
    <cellStyle name="Normal 414 2 4 2 2" xfId="31202" xr:uid="{00000000-0005-0000-0000-0000E2790000}"/>
    <cellStyle name="Normal 414 2 4 3" xfId="31203" xr:uid="{00000000-0005-0000-0000-0000E3790000}"/>
    <cellStyle name="Normal 414 2 5" xfId="31204" xr:uid="{00000000-0005-0000-0000-0000E4790000}"/>
    <cellStyle name="Normal 414 3" xfId="31205" xr:uid="{00000000-0005-0000-0000-0000E5790000}"/>
    <cellStyle name="Normal 414 3 2" xfId="31206" xr:uid="{00000000-0005-0000-0000-0000E6790000}"/>
    <cellStyle name="Normal 414 3 2 2" xfId="31207" xr:uid="{00000000-0005-0000-0000-0000E7790000}"/>
    <cellStyle name="Normal 414 3 2 2 2" xfId="31208" xr:uid="{00000000-0005-0000-0000-0000E8790000}"/>
    <cellStyle name="Normal 414 3 2 3" xfId="31209" xr:uid="{00000000-0005-0000-0000-0000E9790000}"/>
    <cellStyle name="Normal 414 3 2 3 2" xfId="31210" xr:uid="{00000000-0005-0000-0000-0000EA790000}"/>
    <cellStyle name="Normal 414 3 2 3 2 2" xfId="31211" xr:uid="{00000000-0005-0000-0000-0000EB790000}"/>
    <cellStyle name="Normal 414 3 2 3 3" xfId="31212" xr:uid="{00000000-0005-0000-0000-0000EC790000}"/>
    <cellStyle name="Normal 414 3 2 4" xfId="31213" xr:uid="{00000000-0005-0000-0000-0000ED790000}"/>
    <cellStyle name="Normal 414 3 3" xfId="31214" xr:uid="{00000000-0005-0000-0000-0000EE790000}"/>
    <cellStyle name="Normal 414 3 3 2" xfId="31215" xr:uid="{00000000-0005-0000-0000-0000EF790000}"/>
    <cellStyle name="Normal 414 3 3 2 2" xfId="31216" xr:uid="{00000000-0005-0000-0000-0000F0790000}"/>
    <cellStyle name="Normal 414 3 3 3" xfId="31217" xr:uid="{00000000-0005-0000-0000-0000F1790000}"/>
    <cellStyle name="Normal 414 3 4" xfId="31218" xr:uid="{00000000-0005-0000-0000-0000F2790000}"/>
    <cellStyle name="Normal 414 3 4 2" xfId="31219" xr:uid="{00000000-0005-0000-0000-0000F3790000}"/>
    <cellStyle name="Normal 414 3 4 2 2" xfId="31220" xr:uid="{00000000-0005-0000-0000-0000F4790000}"/>
    <cellStyle name="Normal 414 3 4 3" xfId="31221" xr:uid="{00000000-0005-0000-0000-0000F5790000}"/>
    <cellStyle name="Normal 414 3 5" xfId="31222" xr:uid="{00000000-0005-0000-0000-0000F6790000}"/>
    <cellStyle name="Normal 414 3 5 2" xfId="31223" xr:uid="{00000000-0005-0000-0000-0000F7790000}"/>
    <cellStyle name="Normal 414 3 5 2 2" xfId="31224" xr:uid="{00000000-0005-0000-0000-0000F8790000}"/>
    <cellStyle name="Normal 414 3 5 3" xfId="31225" xr:uid="{00000000-0005-0000-0000-0000F9790000}"/>
    <cellStyle name="Normal 414 3 6" xfId="31226" xr:uid="{00000000-0005-0000-0000-0000FA790000}"/>
    <cellStyle name="Normal 414 4" xfId="31227" xr:uid="{00000000-0005-0000-0000-0000FB790000}"/>
    <cellStyle name="Normal 414 4 2" xfId="31228" xr:uid="{00000000-0005-0000-0000-0000FC790000}"/>
    <cellStyle name="Normal 414 4 2 2" xfId="31229" xr:uid="{00000000-0005-0000-0000-0000FD790000}"/>
    <cellStyle name="Normal 414 4 3" xfId="31230" xr:uid="{00000000-0005-0000-0000-0000FE790000}"/>
    <cellStyle name="Normal 414 5" xfId="31231" xr:uid="{00000000-0005-0000-0000-0000FF790000}"/>
    <cellStyle name="Normal 414 5 2" xfId="31232" xr:uid="{00000000-0005-0000-0000-0000007A0000}"/>
    <cellStyle name="Normal 414 5 2 2" xfId="31233" xr:uid="{00000000-0005-0000-0000-0000017A0000}"/>
    <cellStyle name="Normal 414 5 3" xfId="31234" xr:uid="{00000000-0005-0000-0000-0000027A0000}"/>
    <cellStyle name="Normal 414 6" xfId="31235" xr:uid="{00000000-0005-0000-0000-0000037A0000}"/>
    <cellStyle name="Normal 414 6 2" xfId="31236" xr:uid="{00000000-0005-0000-0000-0000047A0000}"/>
    <cellStyle name="Normal 414 6 2 2" xfId="31237" xr:uid="{00000000-0005-0000-0000-0000057A0000}"/>
    <cellStyle name="Normal 414 6 3" xfId="31238" xr:uid="{00000000-0005-0000-0000-0000067A0000}"/>
    <cellStyle name="Normal 414 7" xfId="31239" xr:uid="{00000000-0005-0000-0000-0000077A0000}"/>
    <cellStyle name="Normal 415" xfId="31240" xr:uid="{00000000-0005-0000-0000-0000087A0000}"/>
    <cellStyle name="Normal 415 2" xfId="31241" xr:uid="{00000000-0005-0000-0000-0000097A0000}"/>
    <cellStyle name="Normal 415 2 2" xfId="31242" xr:uid="{00000000-0005-0000-0000-00000A7A0000}"/>
    <cellStyle name="Normal 415 2 2 2" xfId="31243" xr:uid="{00000000-0005-0000-0000-00000B7A0000}"/>
    <cellStyle name="Normal 415 2 3" xfId="31244" xr:uid="{00000000-0005-0000-0000-00000C7A0000}"/>
    <cellStyle name="Normal 415 2 3 2" xfId="31245" xr:uid="{00000000-0005-0000-0000-00000D7A0000}"/>
    <cellStyle name="Normal 415 2 3 2 2" xfId="31246" xr:uid="{00000000-0005-0000-0000-00000E7A0000}"/>
    <cellStyle name="Normal 415 2 3 3" xfId="31247" xr:uid="{00000000-0005-0000-0000-00000F7A0000}"/>
    <cellStyle name="Normal 415 2 4" xfId="31248" xr:uid="{00000000-0005-0000-0000-0000107A0000}"/>
    <cellStyle name="Normal 415 2 4 2" xfId="31249" xr:uid="{00000000-0005-0000-0000-0000117A0000}"/>
    <cellStyle name="Normal 415 2 4 2 2" xfId="31250" xr:uid="{00000000-0005-0000-0000-0000127A0000}"/>
    <cellStyle name="Normal 415 2 4 3" xfId="31251" xr:uid="{00000000-0005-0000-0000-0000137A0000}"/>
    <cellStyle name="Normal 415 2 5" xfId="31252" xr:uid="{00000000-0005-0000-0000-0000147A0000}"/>
    <cellStyle name="Normal 415 3" xfId="31253" xr:uid="{00000000-0005-0000-0000-0000157A0000}"/>
    <cellStyle name="Normal 415 3 2" xfId="31254" xr:uid="{00000000-0005-0000-0000-0000167A0000}"/>
    <cellStyle name="Normal 415 3 2 2" xfId="31255" xr:uid="{00000000-0005-0000-0000-0000177A0000}"/>
    <cellStyle name="Normal 415 3 2 2 2" xfId="31256" xr:uid="{00000000-0005-0000-0000-0000187A0000}"/>
    <cellStyle name="Normal 415 3 2 3" xfId="31257" xr:uid="{00000000-0005-0000-0000-0000197A0000}"/>
    <cellStyle name="Normal 415 3 2 3 2" xfId="31258" xr:uid="{00000000-0005-0000-0000-00001A7A0000}"/>
    <cellStyle name="Normal 415 3 2 3 2 2" xfId="31259" xr:uid="{00000000-0005-0000-0000-00001B7A0000}"/>
    <cellStyle name="Normal 415 3 2 3 3" xfId="31260" xr:uid="{00000000-0005-0000-0000-00001C7A0000}"/>
    <cellStyle name="Normal 415 3 2 4" xfId="31261" xr:uid="{00000000-0005-0000-0000-00001D7A0000}"/>
    <cellStyle name="Normal 415 3 3" xfId="31262" xr:uid="{00000000-0005-0000-0000-00001E7A0000}"/>
    <cellStyle name="Normal 415 3 3 2" xfId="31263" xr:uid="{00000000-0005-0000-0000-00001F7A0000}"/>
    <cellStyle name="Normal 415 3 3 2 2" xfId="31264" xr:uid="{00000000-0005-0000-0000-0000207A0000}"/>
    <cellStyle name="Normal 415 3 3 3" xfId="31265" xr:uid="{00000000-0005-0000-0000-0000217A0000}"/>
    <cellStyle name="Normal 415 3 4" xfId="31266" xr:uid="{00000000-0005-0000-0000-0000227A0000}"/>
    <cellStyle name="Normal 415 3 4 2" xfId="31267" xr:uid="{00000000-0005-0000-0000-0000237A0000}"/>
    <cellStyle name="Normal 415 3 4 2 2" xfId="31268" xr:uid="{00000000-0005-0000-0000-0000247A0000}"/>
    <cellStyle name="Normal 415 3 4 3" xfId="31269" xr:uid="{00000000-0005-0000-0000-0000257A0000}"/>
    <cellStyle name="Normal 415 3 5" xfId="31270" xr:uid="{00000000-0005-0000-0000-0000267A0000}"/>
    <cellStyle name="Normal 415 3 5 2" xfId="31271" xr:uid="{00000000-0005-0000-0000-0000277A0000}"/>
    <cellStyle name="Normal 415 3 5 2 2" xfId="31272" xr:uid="{00000000-0005-0000-0000-0000287A0000}"/>
    <cellStyle name="Normal 415 3 5 3" xfId="31273" xr:uid="{00000000-0005-0000-0000-0000297A0000}"/>
    <cellStyle name="Normal 415 3 6" xfId="31274" xr:uid="{00000000-0005-0000-0000-00002A7A0000}"/>
    <cellStyle name="Normal 415 4" xfId="31275" xr:uid="{00000000-0005-0000-0000-00002B7A0000}"/>
    <cellStyle name="Normal 415 4 2" xfId="31276" xr:uid="{00000000-0005-0000-0000-00002C7A0000}"/>
    <cellStyle name="Normal 415 4 2 2" xfId="31277" xr:uid="{00000000-0005-0000-0000-00002D7A0000}"/>
    <cellStyle name="Normal 415 4 3" xfId="31278" xr:uid="{00000000-0005-0000-0000-00002E7A0000}"/>
    <cellStyle name="Normal 415 5" xfId="31279" xr:uid="{00000000-0005-0000-0000-00002F7A0000}"/>
    <cellStyle name="Normal 415 5 2" xfId="31280" xr:uid="{00000000-0005-0000-0000-0000307A0000}"/>
    <cellStyle name="Normal 415 5 2 2" xfId="31281" xr:uid="{00000000-0005-0000-0000-0000317A0000}"/>
    <cellStyle name="Normal 415 5 3" xfId="31282" xr:uid="{00000000-0005-0000-0000-0000327A0000}"/>
    <cellStyle name="Normal 415 6" xfId="31283" xr:uid="{00000000-0005-0000-0000-0000337A0000}"/>
    <cellStyle name="Normal 415 6 2" xfId="31284" xr:uid="{00000000-0005-0000-0000-0000347A0000}"/>
    <cellStyle name="Normal 415 6 2 2" xfId="31285" xr:uid="{00000000-0005-0000-0000-0000357A0000}"/>
    <cellStyle name="Normal 415 6 3" xfId="31286" xr:uid="{00000000-0005-0000-0000-0000367A0000}"/>
    <cellStyle name="Normal 415 7" xfId="31287" xr:uid="{00000000-0005-0000-0000-0000377A0000}"/>
    <cellStyle name="Normal 416" xfId="31288" xr:uid="{00000000-0005-0000-0000-0000387A0000}"/>
    <cellStyle name="Normal 416 2" xfId="31289" xr:uid="{00000000-0005-0000-0000-0000397A0000}"/>
    <cellStyle name="Normal 416 2 2" xfId="31290" xr:uid="{00000000-0005-0000-0000-00003A7A0000}"/>
    <cellStyle name="Normal 416 2 2 2" xfId="31291" xr:uid="{00000000-0005-0000-0000-00003B7A0000}"/>
    <cellStyle name="Normal 416 2 3" xfId="31292" xr:uid="{00000000-0005-0000-0000-00003C7A0000}"/>
    <cellStyle name="Normal 416 2 3 2" xfId="31293" xr:uid="{00000000-0005-0000-0000-00003D7A0000}"/>
    <cellStyle name="Normal 416 2 3 2 2" xfId="31294" xr:uid="{00000000-0005-0000-0000-00003E7A0000}"/>
    <cellStyle name="Normal 416 2 3 3" xfId="31295" xr:uid="{00000000-0005-0000-0000-00003F7A0000}"/>
    <cellStyle name="Normal 416 2 4" xfId="31296" xr:uid="{00000000-0005-0000-0000-0000407A0000}"/>
    <cellStyle name="Normal 416 2 4 2" xfId="31297" xr:uid="{00000000-0005-0000-0000-0000417A0000}"/>
    <cellStyle name="Normal 416 2 4 2 2" xfId="31298" xr:uid="{00000000-0005-0000-0000-0000427A0000}"/>
    <cellStyle name="Normal 416 2 4 3" xfId="31299" xr:uid="{00000000-0005-0000-0000-0000437A0000}"/>
    <cellStyle name="Normal 416 2 5" xfId="31300" xr:uid="{00000000-0005-0000-0000-0000447A0000}"/>
    <cellStyle name="Normal 416 3" xfId="31301" xr:uid="{00000000-0005-0000-0000-0000457A0000}"/>
    <cellStyle name="Normal 416 3 2" xfId="31302" xr:uid="{00000000-0005-0000-0000-0000467A0000}"/>
    <cellStyle name="Normal 416 3 2 2" xfId="31303" xr:uid="{00000000-0005-0000-0000-0000477A0000}"/>
    <cellStyle name="Normal 416 3 2 2 2" xfId="31304" xr:uid="{00000000-0005-0000-0000-0000487A0000}"/>
    <cellStyle name="Normal 416 3 2 3" xfId="31305" xr:uid="{00000000-0005-0000-0000-0000497A0000}"/>
    <cellStyle name="Normal 416 3 2 3 2" xfId="31306" xr:uid="{00000000-0005-0000-0000-00004A7A0000}"/>
    <cellStyle name="Normal 416 3 2 3 2 2" xfId="31307" xr:uid="{00000000-0005-0000-0000-00004B7A0000}"/>
    <cellStyle name="Normal 416 3 2 3 3" xfId="31308" xr:uid="{00000000-0005-0000-0000-00004C7A0000}"/>
    <cellStyle name="Normal 416 3 2 4" xfId="31309" xr:uid="{00000000-0005-0000-0000-00004D7A0000}"/>
    <cellStyle name="Normal 416 3 3" xfId="31310" xr:uid="{00000000-0005-0000-0000-00004E7A0000}"/>
    <cellStyle name="Normal 416 3 3 2" xfId="31311" xr:uid="{00000000-0005-0000-0000-00004F7A0000}"/>
    <cellStyle name="Normal 416 3 3 2 2" xfId="31312" xr:uid="{00000000-0005-0000-0000-0000507A0000}"/>
    <cellStyle name="Normal 416 3 3 3" xfId="31313" xr:uid="{00000000-0005-0000-0000-0000517A0000}"/>
    <cellStyle name="Normal 416 3 4" xfId="31314" xr:uid="{00000000-0005-0000-0000-0000527A0000}"/>
    <cellStyle name="Normal 416 3 4 2" xfId="31315" xr:uid="{00000000-0005-0000-0000-0000537A0000}"/>
    <cellStyle name="Normal 416 3 4 2 2" xfId="31316" xr:uid="{00000000-0005-0000-0000-0000547A0000}"/>
    <cellStyle name="Normal 416 3 4 3" xfId="31317" xr:uid="{00000000-0005-0000-0000-0000557A0000}"/>
    <cellStyle name="Normal 416 3 5" xfId="31318" xr:uid="{00000000-0005-0000-0000-0000567A0000}"/>
    <cellStyle name="Normal 416 3 5 2" xfId="31319" xr:uid="{00000000-0005-0000-0000-0000577A0000}"/>
    <cellStyle name="Normal 416 3 5 2 2" xfId="31320" xr:uid="{00000000-0005-0000-0000-0000587A0000}"/>
    <cellStyle name="Normal 416 3 5 3" xfId="31321" xr:uid="{00000000-0005-0000-0000-0000597A0000}"/>
    <cellStyle name="Normal 416 3 6" xfId="31322" xr:uid="{00000000-0005-0000-0000-00005A7A0000}"/>
    <cellStyle name="Normal 416 4" xfId="31323" xr:uid="{00000000-0005-0000-0000-00005B7A0000}"/>
    <cellStyle name="Normal 416 4 2" xfId="31324" xr:uid="{00000000-0005-0000-0000-00005C7A0000}"/>
    <cellStyle name="Normal 416 4 2 2" xfId="31325" xr:uid="{00000000-0005-0000-0000-00005D7A0000}"/>
    <cellStyle name="Normal 416 4 3" xfId="31326" xr:uid="{00000000-0005-0000-0000-00005E7A0000}"/>
    <cellStyle name="Normal 416 5" xfId="31327" xr:uid="{00000000-0005-0000-0000-00005F7A0000}"/>
    <cellStyle name="Normal 416 5 2" xfId="31328" xr:uid="{00000000-0005-0000-0000-0000607A0000}"/>
    <cellStyle name="Normal 416 5 2 2" xfId="31329" xr:uid="{00000000-0005-0000-0000-0000617A0000}"/>
    <cellStyle name="Normal 416 5 3" xfId="31330" xr:uid="{00000000-0005-0000-0000-0000627A0000}"/>
    <cellStyle name="Normal 416 6" xfId="31331" xr:uid="{00000000-0005-0000-0000-0000637A0000}"/>
    <cellStyle name="Normal 416 6 2" xfId="31332" xr:uid="{00000000-0005-0000-0000-0000647A0000}"/>
    <cellStyle name="Normal 416 6 2 2" xfId="31333" xr:uid="{00000000-0005-0000-0000-0000657A0000}"/>
    <cellStyle name="Normal 416 6 3" xfId="31334" xr:uid="{00000000-0005-0000-0000-0000667A0000}"/>
    <cellStyle name="Normal 416 7" xfId="31335" xr:uid="{00000000-0005-0000-0000-0000677A0000}"/>
    <cellStyle name="Normal 417" xfId="31336" xr:uid="{00000000-0005-0000-0000-0000687A0000}"/>
    <cellStyle name="Normal 417 2" xfId="31337" xr:uid="{00000000-0005-0000-0000-0000697A0000}"/>
    <cellStyle name="Normal 417 2 2" xfId="31338" xr:uid="{00000000-0005-0000-0000-00006A7A0000}"/>
    <cellStyle name="Normal 417 2 2 2" xfId="31339" xr:uid="{00000000-0005-0000-0000-00006B7A0000}"/>
    <cellStyle name="Normal 417 2 3" xfId="31340" xr:uid="{00000000-0005-0000-0000-00006C7A0000}"/>
    <cellStyle name="Normal 417 2 3 2" xfId="31341" xr:uid="{00000000-0005-0000-0000-00006D7A0000}"/>
    <cellStyle name="Normal 417 2 3 2 2" xfId="31342" xr:uid="{00000000-0005-0000-0000-00006E7A0000}"/>
    <cellStyle name="Normal 417 2 3 3" xfId="31343" xr:uid="{00000000-0005-0000-0000-00006F7A0000}"/>
    <cellStyle name="Normal 417 2 4" xfId="31344" xr:uid="{00000000-0005-0000-0000-0000707A0000}"/>
    <cellStyle name="Normal 417 2 4 2" xfId="31345" xr:uid="{00000000-0005-0000-0000-0000717A0000}"/>
    <cellStyle name="Normal 417 2 4 2 2" xfId="31346" xr:uid="{00000000-0005-0000-0000-0000727A0000}"/>
    <cellStyle name="Normal 417 2 4 3" xfId="31347" xr:uid="{00000000-0005-0000-0000-0000737A0000}"/>
    <cellStyle name="Normal 417 2 5" xfId="31348" xr:uid="{00000000-0005-0000-0000-0000747A0000}"/>
    <cellStyle name="Normal 417 3" xfId="31349" xr:uid="{00000000-0005-0000-0000-0000757A0000}"/>
    <cellStyle name="Normal 417 3 2" xfId="31350" xr:uid="{00000000-0005-0000-0000-0000767A0000}"/>
    <cellStyle name="Normal 417 3 2 2" xfId="31351" xr:uid="{00000000-0005-0000-0000-0000777A0000}"/>
    <cellStyle name="Normal 417 3 2 2 2" xfId="31352" xr:uid="{00000000-0005-0000-0000-0000787A0000}"/>
    <cellStyle name="Normal 417 3 2 3" xfId="31353" xr:uid="{00000000-0005-0000-0000-0000797A0000}"/>
    <cellStyle name="Normal 417 3 2 3 2" xfId="31354" xr:uid="{00000000-0005-0000-0000-00007A7A0000}"/>
    <cellStyle name="Normal 417 3 2 3 2 2" xfId="31355" xr:uid="{00000000-0005-0000-0000-00007B7A0000}"/>
    <cellStyle name="Normal 417 3 2 3 3" xfId="31356" xr:uid="{00000000-0005-0000-0000-00007C7A0000}"/>
    <cellStyle name="Normal 417 3 2 4" xfId="31357" xr:uid="{00000000-0005-0000-0000-00007D7A0000}"/>
    <cellStyle name="Normal 417 3 3" xfId="31358" xr:uid="{00000000-0005-0000-0000-00007E7A0000}"/>
    <cellStyle name="Normal 417 3 3 2" xfId="31359" xr:uid="{00000000-0005-0000-0000-00007F7A0000}"/>
    <cellStyle name="Normal 417 3 3 2 2" xfId="31360" xr:uid="{00000000-0005-0000-0000-0000807A0000}"/>
    <cellStyle name="Normal 417 3 3 3" xfId="31361" xr:uid="{00000000-0005-0000-0000-0000817A0000}"/>
    <cellStyle name="Normal 417 3 4" xfId="31362" xr:uid="{00000000-0005-0000-0000-0000827A0000}"/>
    <cellStyle name="Normal 417 3 4 2" xfId="31363" xr:uid="{00000000-0005-0000-0000-0000837A0000}"/>
    <cellStyle name="Normal 417 3 4 2 2" xfId="31364" xr:uid="{00000000-0005-0000-0000-0000847A0000}"/>
    <cellStyle name="Normal 417 3 4 3" xfId="31365" xr:uid="{00000000-0005-0000-0000-0000857A0000}"/>
    <cellStyle name="Normal 417 3 5" xfId="31366" xr:uid="{00000000-0005-0000-0000-0000867A0000}"/>
    <cellStyle name="Normal 417 3 5 2" xfId="31367" xr:uid="{00000000-0005-0000-0000-0000877A0000}"/>
    <cellStyle name="Normal 417 3 5 2 2" xfId="31368" xr:uid="{00000000-0005-0000-0000-0000887A0000}"/>
    <cellStyle name="Normal 417 3 5 3" xfId="31369" xr:uid="{00000000-0005-0000-0000-0000897A0000}"/>
    <cellStyle name="Normal 417 3 6" xfId="31370" xr:uid="{00000000-0005-0000-0000-00008A7A0000}"/>
    <cellStyle name="Normal 417 4" xfId="31371" xr:uid="{00000000-0005-0000-0000-00008B7A0000}"/>
    <cellStyle name="Normal 417 4 2" xfId="31372" xr:uid="{00000000-0005-0000-0000-00008C7A0000}"/>
    <cellStyle name="Normal 417 4 2 2" xfId="31373" xr:uid="{00000000-0005-0000-0000-00008D7A0000}"/>
    <cellStyle name="Normal 417 4 3" xfId="31374" xr:uid="{00000000-0005-0000-0000-00008E7A0000}"/>
    <cellStyle name="Normal 417 5" xfId="31375" xr:uid="{00000000-0005-0000-0000-00008F7A0000}"/>
    <cellStyle name="Normal 417 5 2" xfId="31376" xr:uid="{00000000-0005-0000-0000-0000907A0000}"/>
    <cellStyle name="Normal 417 5 2 2" xfId="31377" xr:uid="{00000000-0005-0000-0000-0000917A0000}"/>
    <cellStyle name="Normal 417 5 3" xfId="31378" xr:uid="{00000000-0005-0000-0000-0000927A0000}"/>
    <cellStyle name="Normal 417 6" xfId="31379" xr:uid="{00000000-0005-0000-0000-0000937A0000}"/>
    <cellStyle name="Normal 417 6 2" xfId="31380" xr:uid="{00000000-0005-0000-0000-0000947A0000}"/>
    <cellStyle name="Normal 417 6 2 2" xfId="31381" xr:uid="{00000000-0005-0000-0000-0000957A0000}"/>
    <cellStyle name="Normal 417 6 3" xfId="31382" xr:uid="{00000000-0005-0000-0000-0000967A0000}"/>
    <cellStyle name="Normal 417 7" xfId="31383" xr:uid="{00000000-0005-0000-0000-0000977A0000}"/>
    <cellStyle name="Normal 418" xfId="31384" xr:uid="{00000000-0005-0000-0000-0000987A0000}"/>
    <cellStyle name="Normal 418 2" xfId="31385" xr:uid="{00000000-0005-0000-0000-0000997A0000}"/>
    <cellStyle name="Normal 418 2 2" xfId="31386" xr:uid="{00000000-0005-0000-0000-00009A7A0000}"/>
    <cellStyle name="Normal 418 2 2 2" xfId="31387" xr:uid="{00000000-0005-0000-0000-00009B7A0000}"/>
    <cellStyle name="Normal 418 2 3" xfId="31388" xr:uid="{00000000-0005-0000-0000-00009C7A0000}"/>
    <cellStyle name="Normal 418 2 3 2" xfId="31389" xr:uid="{00000000-0005-0000-0000-00009D7A0000}"/>
    <cellStyle name="Normal 418 2 3 2 2" xfId="31390" xr:uid="{00000000-0005-0000-0000-00009E7A0000}"/>
    <cellStyle name="Normal 418 2 3 3" xfId="31391" xr:uid="{00000000-0005-0000-0000-00009F7A0000}"/>
    <cellStyle name="Normal 418 2 4" xfId="31392" xr:uid="{00000000-0005-0000-0000-0000A07A0000}"/>
    <cellStyle name="Normal 418 2 4 2" xfId="31393" xr:uid="{00000000-0005-0000-0000-0000A17A0000}"/>
    <cellStyle name="Normal 418 2 4 2 2" xfId="31394" xr:uid="{00000000-0005-0000-0000-0000A27A0000}"/>
    <cellStyle name="Normal 418 2 4 3" xfId="31395" xr:uid="{00000000-0005-0000-0000-0000A37A0000}"/>
    <cellStyle name="Normal 418 2 5" xfId="31396" xr:uid="{00000000-0005-0000-0000-0000A47A0000}"/>
    <cellStyle name="Normal 418 3" xfId="31397" xr:uid="{00000000-0005-0000-0000-0000A57A0000}"/>
    <cellStyle name="Normal 418 3 2" xfId="31398" xr:uid="{00000000-0005-0000-0000-0000A67A0000}"/>
    <cellStyle name="Normal 418 3 2 2" xfId="31399" xr:uid="{00000000-0005-0000-0000-0000A77A0000}"/>
    <cellStyle name="Normal 418 3 2 2 2" xfId="31400" xr:uid="{00000000-0005-0000-0000-0000A87A0000}"/>
    <cellStyle name="Normal 418 3 2 3" xfId="31401" xr:uid="{00000000-0005-0000-0000-0000A97A0000}"/>
    <cellStyle name="Normal 418 3 2 3 2" xfId="31402" xr:uid="{00000000-0005-0000-0000-0000AA7A0000}"/>
    <cellStyle name="Normal 418 3 2 3 2 2" xfId="31403" xr:uid="{00000000-0005-0000-0000-0000AB7A0000}"/>
    <cellStyle name="Normal 418 3 2 3 3" xfId="31404" xr:uid="{00000000-0005-0000-0000-0000AC7A0000}"/>
    <cellStyle name="Normal 418 3 2 4" xfId="31405" xr:uid="{00000000-0005-0000-0000-0000AD7A0000}"/>
    <cellStyle name="Normal 418 3 3" xfId="31406" xr:uid="{00000000-0005-0000-0000-0000AE7A0000}"/>
    <cellStyle name="Normal 418 3 3 2" xfId="31407" xr:uid="{00000000-0005-0000-0000-0000AF7A0000}"/>
    <cellStyle name="Normal 418 3 3 2 2" xfId="31408" xr:uid="{00000000-0005-0000-0000-0000B07A0000}"/>
    <cellStyle name="Normal 418 3 3 3" xfId="31409" xr:uid="{00000000-0005-0000-0000-0000B17A0000}"/>
    <cellStyle name="Normal 418 3 4" xfId="31410" xr:uid="{00000000-0005-0000-0000-0000B27A0000}"/>
    <cellStyle name="Normal 418 3 4 2" xfId="31411" xr:uid="{00000000-0005-0000-0000-0000B37A0000}"/>
    <cellStyle name="Normal 418 3 4 2 2" xfId="31412" xr:uid="{00000000-0005-0000-0000-0000B47A0000}"/>
    <cellStyle name="Normal 418 3 4 3" xfId="31413" xr:uid="{00000000-0005-0000-0000-0000B57A0000}"/>
    <cellStyle name="Normal 418 3 5" xfId="31414" xr:uid="{00000000-0005-0000-0000-0000B67A0000}"/>
    <cellStyle name="Normal 418 3 5 2" xfId="31415" xr:uid="{00000000-0005-0000-0000-0000B77A0000}"/>
    <cellStyle name="Normal 418 3 5 2 2" xfId="31416" xr:uid="{00000000-0005-0000-0000-0000B87A0000}"/>
    <cellStyle name="Normal 418 3 5 3" xfId="31417" xr:uid="{00000000-0005-0000-0000-0000B97A0000}"/>
    <cellStyle name="Normal 418 3 6" xfId="31418" xr:uid="{00000000-0005-0000-0000-0000BA7A0000}"/>
    <cellStyle name="Normal 418 4" xfId="31419" xr:uid="{00000000-0005-0000-0000-0000BB7A0000}"/>
    <cellStyle name="Normal 418 4 2" xfId="31420" xr:uid="{00000000-0005-0000-0000-0000BC7A0000}"/>
    <cellStyle name="Normal 418 4 2 2" xfId="31421" xr:uid="{00000000-0005-0000-0000-0000BD7A0000}"/>
    <cellStyle name="Normal 418 4 3" xfId="31422" xr:uid="{00000000-0005-0000-0000-0000BE7A0000}"/>
    <cellStyle name="Normal 418 5" xfId="31423" xr:uid="{00000000-0005-0000-0000-0000BF7A0000}"/>
    <cellStyle name="Normal 418 5 2" xfId="31424" xr:uid="{00000000-0005-0000-0000-0000C07A0000}"/>
    <cellStyle name="Normal 418 5 2 2" xfId="31425" xr:uid="{00000000-0005-0000-0000-0000C17A0000}"/>
    <cellStyle name="Normal 418 5 3" xfId="31426" xr:uid="{00000000-0005-0000-0000-0000C27A0000}"/>
    <cellStyle name="Normal 418 6" xfId="31427" xr:uid="{00000000-0005-0000-0000-0000C37A0000}"/>
    <cellStyle name="Normal 418 6 2" xfId="31428" xr:uid="{00000000-0005-0000-0000-0000C47A0000}"/>
    <cellStyle name="Normal 418 6 2 2" xfId="31429" xr:uid="{00000000-0005-0000-0000-0000C57A0000}"/>
    <cellStyle name="Normal 418 6 3" xfId="31430" xr:uid="{00000000-0005-0000-0000-0000C67A0000}"/>
    <cellStyle name="Normal 418 7" xfId="31431" xr:uid="{00000000-0005-0000-0000-0000C77A0000}"/>
    <cellStyle name="Normal 419" xfId="31432" xr:uid="{00000000-0005-0000-0000-0000C87A0000}"/>
    <cellStyle name="Normal 419 2" xfId="31433" xr:uid="{00000000-0005-0000-0000-0000C97A0000}"/>
    <cellStyle name="Normal 419 2 2" xfId="31434" xr:uid="{00000000-0005-0000-0000-0000CA7A0000}"/>
    <cellStyle name="Normal 419 2 2 2" xfId="31435" xr:uid="{00000000-0005-0000-0000-0000CB7A0000}"/>
    <cellStyle name="Normal 419 2 3" xfId="31436" xr:uid="{00000000-0005-0000-0000-0000CC7A0000}"/>
    <cellStyle name="Normal 419 2 3 2" xfId="31437" xr:uid="{00000000-0005-0000-0000-0000CD7A0000}"/>
    <cellStyle name="Normal 419 2 3 2 2" xfId="31438" xr:uid="{00000000-0005-0000-0000-0000CE7A0000}"/>
    <cellStyle name="Normal 419 2 3 3" xfId="31439" xr:uid="{00000000-0005-0000-0000-0000CF7A0000}"/>
    <cellStyle name="Normal 419 2 4" xfId="31440" xr:uid="{00000000-0005-0000-0000-0000D07A0000}"/>
    <cellStyle name="Normal 419 2 4 2" xfId="31441" xr:uid="{00000000-0005-0000-0000-0000D17A0000}"/>
    <cellStyle name="Normal 419 2 4 2 2" xfId="31442" xr:uid="{00000000-0005-0000-0000-0000D27A0000}"/>
    <cellStyle name="Normal 419 2 4 3" xfId="31443" xr:uid="{00000000-0005-0000-0000-0000D37A0000}"/>
    <cellStyle name="Normal 419 2 5" xfId="31444" xr:uid="{00000000-0005-0000-0000-0000D47A0000}"/>
    <cellStyle name="Normal 419 3" xfId="31445" xr:uid="{00000000-0005-0000-0000-0000D57A0000}"/>
    <cellStyle name="Normal 419 3 2" xfId="31446" xr:uid="{00000000-0005-0000-0000-0000D67A0000}"/>
    <cellStyle name="Normal 419 3 2 2" xfId="31447" xr:uid="{00000000-0005-0000-0000-0000D77A0000}"/>
    <cellStyle name="Normal 419 3 2 2 2" xfId="31448" xr:uid="{00000000-0005-0000-0000-0000D87A0000}"/>
    <cellStyle name="Normal 419 3 2 3" xfId="31449" xr:uid="{00000000-0005-0000-0000-0000D97A0000}"/>
    <cellStyle name="Normal 419 3 2 3 2" xfId="31450" xr:uid="{00000000-0005-0000-0000-0000DA7A0000}"/>
    <cellStyle name="Normal 419 3 2 3 2 2" xfId="31451" xr:uid="{00000000-0005-0000-0000-0000DB7A0000}"/>
    <cellStyle name="Normal 419 3 2 3 3" xfId="31452" xr:uid="{00000000-0005-0000-0000-0000DC7A0000}"/>
    <cellStyle name="Normal 419 3 2 4" xfId="31453" xr:uid="{00000000-0005-0000-0000-0000DD7A0000}"/>
    <cellStyle name="Normal 419 3 3" xfId="31454" xr:uid="{00000000-0005-0000-0000-0000DE7A0000}"/>
    <cellStyle name="Normal 419 3 3 2" xfId="31455" xr:uid="{00000000-0005-0000-0000-0000DF7A0000}"/>
    <cellStyle name="Normal 419 3 3 2 2" xfId="31456" xr:uid="{00000000-0005-0000-0000-0000E07A0000}"/>
    <cellStyle name="Normal 419 3 3 3" xfId="31457" xr:uid="{00000000-0005-0000-0000-0000E17A0000}"/>
    <cellStyle name="Normal 419 3 4" xfId="31458" xr:uid="{00000000-0005-0000-0000-0000E27A0000}"/>
    <cellStyle name="Normal 419 3 4 2" xfId="31459" xr:uid="{00000000-0005-0000-0000-0000E37A0000}"/>
    <cellStyle name="Normal 419 3 4 2 2" xfId="31460" xr:uid="{00000000-0005-0000-0000-0000E47A0000}"/>
    <cellStyle name="Normal 419 3 4 3" xfId="31461" xr:uid="{00000000-0005-0000-0000-0000E57A0000}"/>
    <cellStyle name="Normal 419 3 5" xfId="31462" xr:uid="{00000000-0005-0000-0000-0000E67A0000}"/>
    <cellStyle name="Normal 419 3 5 2" xfId="31463" xr:uid="{00000000-0005-0000-0000-0000E77A0000}"/>
    <cellStyle name="Normal 419 3 5 2 2" xfId="31464" xr:uid="{00000000-0005-0000-0000-0000E87A0000}"/>
    <cellStyle name="Normal 419 3 5 3" xfId="31465" xr:uid="{00000000-0005-0000-0000-0000E97A0000}"/>
    <cellStyle name="Normal 419 3 6" xfId="31466" xr:uid="{00000000-0005-0000-0000-0000EA7A0000}"/>
    <cellStyle name="Normal 419 4" xfId="31467" xr:uid="{00000000-0005-0000-0000-0000EB7A0000}"/>
    <cellStyle name="Normal 419 4 2" xfId="31468" xr:uid="{00000000-0005-0000-0000-0000EC7A0000}"/>
    <cellStyle name="Normal 419 4 2 2" xfId="31469" xr:uid="{00000000-0005-0000-0000-0000ED7A0000}"/>
    <cellStyle name="Normal 419 4 3" xfId="31470" xr:uid="{00000000-0005-0000-0000-0000EE7A0000}"/>
    <cellStyle name="Normal 419 5" xfId="31471" xr:uid="{00000000-0005-0000-0000-0000EF7A0000}"/>
    <cellStyle name="Normal 419 5 2" xfId="31472" xr:uid="{00000000-0005-0000-0000-0000F07A0000}"/>
    <cellStyle name="Normal 419 5 2 2" xfId="31473" xr:uid="{00000000-0005-0000-0000-0000F17A0000}"/>
    <cellStyle name="Normal 419 5 3" xfId="31474" xr:uid="{00000000-0005-0000-0000-0000F27A0000}"/>
    <cellStyle name="Normal 419 6" xfId="31475" xr:uid="{00000000-0005-0000-0000-0000F37A0000}"/>
    <cellStyle name="Normal 419 6 2" xfId="31476" xr:uid="{00000000-0005-0000-0000-0000F47A0000}"/>
    <cellStyle name="Normal 419 6 2 2" xfId="31477" xr:uid="{00000000-0005-0000-0000-0000F57A0000}"/>
    <cellStyle name="Normal 419 6 3" xfId="31478" xr:uid="{00000000-0005-0000-0000-0000F67A0000}"/>
    <cellStyle name="Normal 419 7" xfId="31479" xr:uid="{00000000-0005-0000-0000-0000F77A0000}"/>
    <cellStyle name="Normal 42" xfId="31480" xr:uid="{00000000-0005-0000-0000-0000F87A0000}"/>
    <cellStyle name="Normal 42 2" xfId="31481" xr:uid="{00000000-0005-0000-0000-0000F97A0000}"/>
    <cellStyle name="Normal 42 2 2" xfId="31482" xr:uid="{00000000-0005-0000-0000-0000FA7A0000}"/>
    <cellStyle name="Normal 42 2 2 2" xfId="31483" xr:uid="{00000000-0005-0000-0000-0000FB7A0000}"/>
    <cellStyle name="Normal 42 2 2 2 2" xfId="31484" xr:uid="{00000000-0005-0000-0000-0000FC7A0000}"/>
    <cellStyle name="Normal 42 2 2 3" xfId="31485" xr:uid="{00000000-0005-0000-0000-0000FD7A0000}"/>
    <cellStyle name="Normal 42 2 2 3 2" xfId="31486" xr:uid="{00000000-0005-0000-0000-0000FE7A0000}"/>
    <cellStyle name="Normal 42 2 2 3 2 2" xfId="31487" xr:uid="{00000000-0005-0000-0000-0000FF7A0000}"/>
    <cellStyle name="Normal 42 2 2 3 3" xfId="31488" xr:uid="{00000000-0005-0000-0000-0000007B0000}"/>
    <cellStyle name="Normal 42 2 2 4" xfId="31489" xr:uid="{00000000-0005-0000-0000-0000017B0000}"/>
    <cellStyle name="Normal 42 2 2 4 2" xfId="31490" xr:uid="{00000000-0005-0000-0000-0000027B0000}"/>
    <cellStyle name="Normal 42 2 2 4 2 2" xfId="31491" xr:uid="{00000000-0005-0000-0000-0000037B0000}"/>
    <cellStyle name="Normal 42 2 2 4 3" xfId="31492" xr:uid="{00000000-0005-0000-0000-0000047B0000}"/>
    <cellStyle name="Normal 42 2 2 5" xfId="31493" xr:uid="{00000000-0005-0000-0000-0000057B0000}"/>
    <cellStyle name="Normal 42 2 3" xfId="31494" xr:uid="{00000000-0005-0000-0000-0000067B0000}"/>
    <cellStyle name="Normal 42 2 3 2" xfId="31495" xr:uid="{00000000-0005-0000-0000-0000077B0000}"/>
    <cellStyle name="Normal 42 2 3 2 2" xfId="31496" xr:uid="{00000000-0005-0000-0000-0000087B0000}"/>
    <cellStyle name="Normal 42 2 3 3" xfId="31497" xr:uid="{00000000-0005-0000-0000-0000097B0000}"/>
    <cellStyle name="Normal 42 2 4" xfId="31498" xr:uid="{00000000-0005-0000-0000-00000A7B0000}"/>
    <cellStyle name="Normal 42 2 4 2" xfId="31499" xr:uid="{00000000-0005-0000-0000-00000B7B0000}"/>
    <cellStyle name="Normal 42 2 4 2 2" xfId="31500" xr:uid="{00000000-0005-0000-0000-00000C7B0000}"/>
    <cellStyle name="Normal 42 2 4 3" xfId="31501" xr:uid="{00000000-0005-0000-0000-00000D7B0000}"/>
    <cellStyle name="Normal 42 2 5" xfId="31502" xr:uid="{00000000-0005-0000-0000-00000E7B0000}"/>
    <cellStyle name="Normal 42 2 5 2" xfId="31503" xr:uid="{00000000-0005-0000-0000-00000F7B0000}"/>
    <cellStyle name="Normal 42 2 5 2 2" xfId="31504" xr:uid="{00000000-0005-0000-0000-0000107B0000}"/>
    <cellStyle name="Normal 42 2 5 3" xfId="31505" xr:uid="{00000000-0005-0000-0000-0000117B0000}"/>
    <cellStyle name="Normal 42 2 6" xfId="31506" xr:uid="{00000000-0005-0000-0000-0000127B0000}"/>
    <cellStyle name="Normal 42 3" xfId="31507" xr:uid="{00000000-0005-0000-0000-0000137B0000}"/>
    <cellStyle name="Normal 42 3 2" xfId="31508" xr:uid="{00000000-0005-0000-0000-0000147B0000}"/>
    <cellStyle name="Normal 42 3 2 2" xfId="31509" xr:uid="{00000000-0005-0000-0000-0000157B0000}"/>
    <cellStyle name="Normal 42 3 3" xfId="31510" xr:uid="{00000000-0005-0000-0000-0000167B0000}"/>
    <cellStyle name="Normal 42 3 3 2" xfId="31511" xr:uid="{00000000-0005-0000-0000-0000177B0000}"/>
    <cellStyle name="Normal 42 3 3 2 2" xfId="31512" xr:uid="{00000000-0005-0000-0000-0000187B0000}"/>
    <cellStyle name="Normal 42 3 3 3" xfId="31513" xr:uid="{00000000-0005-0000-0000-0000197B0000}"/>
    <cellStyle name="Normal 42 3 4" xfId="31514" xr:uid="{00000000-0005-0000-0000-00001A7B0000}"/>
    <cellStyle name="Normal 42 3 4 2" xfId="31515" xr:uid="{00000000-0005-0000-0000-00001B7B0000}"/>
    <cellStyle name="Normal 42 3 4 2 2" xfId="31516" xr:uid="{00000000-0005-0000-0000-00001C7B0000}"/>
    <cellStyle name="Normal 42 3 4 3" xfId="31517" xr:uid="{00000000-0005-0000-0000-00001D7B0000}"/>
    <cellStyle name="Normal 42 3 5" xfId="31518" xr:uid="{00000000-0005-0000-0000-00001E7B0000}"/>
    <cellStyle name="Normal 42 4" xfId="31519" xr:uid="{00000000-0005-0000-0000-00001F7B0000}"/>
    <cellStyle name="Normal 42 4 2" xfId="31520" xr:uid="{00000000-0005-0000-0000-0000207B0000}"/>
    <cellStyle name="Normal 42 4 2 2" xfId="31521" xr:uid="{00000000-0005-0000-0000-0000217B0000}"/>
    <cellStyle name="Normal 42 4 3" xfId="31522" xr:uid="{00000000-0005-0000-0000-0000227B0000}"/>
    <cellStyle name="Normal 42 5" xfId="31523" xr:uid="{00000000-0005-0000-0000-0000237B0000}"/>
    <cellStyle name="Normal 42 5 2" xfId="31524" xr:uid="{00000000-0005-0000-0000-0000247B0000}"/>
    <cellStyle name="Normal 42 5 2 2" xfId="31525" xr:uid="{00000000-0005-0000-0000-0000257B0000}"/>
    <cellStyle name="Normal 42 5 3" xfId="31526" xr:uid="{00000000-0005-0000-0000-0000267B0000}"/>
    <cellStyle name="Normal 42 6" xfId="31527" xr:uid="{00000000-0005-0000-0000-0000277B0000}"/>
    <cellStyle name="Normal 42 6 2" xfId="31528" xr:uid="{00000000-0005-0000-0000-0000287B0000}"/>
    <cellStyle name="Normal 42 6 2 2" xfId="31529" xr:uid="{00000000-0005-0000-0000-0000297B0000}"/>
    <cellStyle name="Normal 42 6 3" xfId="31530" xr:uid="{00000000-0005-0000-0000-00002A7B0000}"/>
    <cellStyle name="Normal 42 7" xfId="31531" xr:uid="{00000000-0005-0000-0000-00002B7B0000}"/>
    <cellStyle name="Normal 420" xfId="31532" xr:uid="{00000000-0005-0000-0000-00002C7B0000}"/>
    <cellStyle name="Normal 420 2" xfId="31533" xr:uid="{00000000-0005-0000-0000-00002D7B0000}"/>
    <cellStyle name="Normal 420 2 2" xfId="31534" xr:uid="{00000000-0005-0000-0000-00002E7B0000}"/>
    <cellStyle name="Normal 420 2 2 2" xfId="31535" xr:uid="{00000000-0005-0000-0000-00002F7B0000}"/>
    <cellStyle name="Normal 420 2 3" xfId="31536" xr:uid="{00000000-0005-0000-0000-0000307B0000}"/>
    <cellStyle name="Normal 420 2 3 2" xfId="31537" xr:uid="{00000000-0005-0000-0000-0000317B0000}"/>
    <cellStyle name="Normal 420 2 3 2 2" xfId="31538" xr:uid="{00000000-0005-0000-0000-0000327B0000}"/>
    <cellStyle name="Normal 420 2 3 3" xfId="31539" xr:uid="{00000000-0005-0000-0000-0000337B0000}"/>
    <cellStyle name="Normal 420 2 4" xfId="31540" xr:uid="{00000000-0005-0000-0000-0000347B0000}"/>
    <cellStyle name="Normal 420 2 4 2" xfId="31541" xr:uid="{00000000-0005-0000-0000-0000357B0000}"/>
    <cellStyle name="Normal 420 2 4 2 2" xfId="31542" xr:uid="{00000000-0005-0000-0000-0000367B0000}"/>
    <cellStyle name="Normal 420 2 4 3" xfId="31543" xr:uid="{00000000-0005-0000-0000-0000377B0000}"/>
    <cellStyle name="Normal 420 2 5" xfId="31544" xr:uid="{00000000-0005-0000-0000-0000387B0000}"/>
    <cellStyle name="Normal 420 3" xfId="31545" xr:uid="{00000000-0005-0000-0000-0000397B0000}"/>
    <cellStyle name="Normal 420 3 2" xfId="31546" xr:uid="{00000000-0005-0000-0000-00003A7B0000}"/>
    <cellStyle name="Normal 420 3 2 2" xfId="31547" xr:uid="{00000000-0005-0000-0000-00003B7B0000}"/>
    <cellStyle name="Normal 420 3 2 2 2" xfId="31548" xr:uid="{00000000-0005-0000-0000-00003C7B0000}"/>
    <cellStyle name="Normal 420 3 2 3" xfId="31549" xr:uid="{00000000-0005-0000-0000-00003D7B0000}"/>
    <cellStyle name="Normal 420 3 2 3 2" xfId="31550" xr:uid="{00000000-0005-0000-0000-00003E7B0000}"/>
    <cellStyle name="Normal 420 3 2 3 2 2" xfId="31551" xr:uid="{00000000-0005-0000-0000-00003F7B0000}"/>
    <cellStyle name="Normal 420 3 2 3 3" xfId="31552" xr:uid="{00000000-0005-0000-0000-0000407B0000}"/>
    <cellStyle name="Normal 420 3 2 4" xfId="31553" xr:uid="{00000000-0005-0000-0000-0000417B0000}"/>
    <cellStyle name="Normal 420 3 3" xfId="31554" xr:uid="{00000000-0005-0000-0000-0000427B0000}"/>
    <cellStyle name="Normal 420 3 3 2" xfId="31555" xr:uid="{00000000-0005-0000-0000-0000437B0000}"/>
    <cellStyle name="Normal 420 3 3 2 2" xfId="31556" xr:uid="{00000000-0005-0000-0000-0000447B0000}"/>
    <cellStyle name="Normal 420 3 3 3" xfId="31557" xr:uid="{00000000-0005-0000-0000-0000457B0000}"/>
    <cellStyle name="Normal 420 3 4" xfId="31558" xr:uid="{00000000-0005-0000-0000-0000467B0000}"/>
    <cellStyle name="Normal 420 3 4 2" xfId="31559" xr:uid="{00000000-0005-0000-0000-0000477B0000}"/>
    <cellStyle name="Normal 420 3 4 2 2" xfId="31560" xr:uid="{00000000-0005-0000-0000-0000487B0000}"/>
    <cellStyle name="Normal 420 3 4 3" xfId="31561" xr:uid="{00000000-0005-0000-0000-0000497B0000}"/>
    <cellStyle name="Normal 420 3 5" xfId="31562" xr:uid="{00000000-0005-0000-0000-00004A7B0000}"/>
    <cellStyle name="Normal 420 3 5 2" xfId="31563" xr:uid="{00000000-0005-0000-0000-00004B7B0000}"/>
    <cellStyle name="Normal 420 3 5 2 2" xfId="31564" xr:uid="{00000000-0005-0000-0000-00004C7B0000}"/>
    <cellStyle name="Normal 420 3 5 3" xfId="31565" xr:uid="{00000000-0005-0000-0000-00004D7B0000}"/>
    <cellStyle name="Normal 420 3 6" xfId="31566" xr:uid="{00000000-0005-0000-0000-00004E7B0000}"/>
    <cellStyle name="Normal 420 4" xfId="31567" xr:uid="{00000000-0005-0000-0000-00004F7B0000}"/>
    <cellStyle name="Normal 420 4 2" xfId="31568" xr:uid="{00000000-0005-0000-0000-0000507B0000}"/>
    <cellStyle name="Normal 420 4 2 2" xfId="31569" xr:uid="{00000000-0005-0000-0000-0000517B0000}"/>
    <cellStyle name="Normal 420 4 3" xfId="31570" xr:uid="{00000000-0005-0000-0000-0000527B0000}"/>
    <cellStyle name="Normal 420 5" xfId="31571" xr:uid="{00000000-0005-0000-0000-0000537B0000}"/>
    <cellStyle name="Normal 420 5 2" xfId="31572" xr:uid="{00000000-0005-0000-0000-0000547B0000}"/>
    <cellStyle name="Normal 420 5 2 2" xfId="31573" xr:uid="{00000000-0005-0000-0000-0000557B0000}"/>
    <cellStyle name="Normal 420 5 3" xfId="31574" xr:uid="{00000000-0005-0000-0000-0000567B0000}"/>
    <cellStyle name="Normal 420 6" xfId="31575" xr:uid="{00000000-0005-0000-0000-0000577B0000}"/>
    <cellStyle name="Normal 420 6 2" xfId="31576" xr:uid="{00000000-0005-0000-0000-0000587B0000}"/>
    <cellStyle name="Normal 420 6 2 2" xfId="31577" xr:uid="{00000000-0005-0000-0000-0000597B0000}"/>
    <cellStyle name="Normal 420 6 3" xfId="31578" xr:uid="{00000000-0005-0000-0000-00005A7B0000}"/>
    <cellStyle name="Normal 420 7" xfId="31579" xr:uid="{00000000-0005-0000-0000-00005B7B0000}"/>
    <cellStyle name="Normal 421" xfId="31580" xr:uid="{00000000-0005-0000-0000-00005C7B0000}"/>
    <cellStyle name="Normal 421 2" xfId="31581" xr:uid="{00000000-0005-0000-0000-00005D7B0000}"/>
    <cellStyle name="Normal 421 2 2" xfId="31582" xr:uid="{00000000-0005-0000-0000-00005E7B0000}"/>
    <cellStyle name="Normal 421 2 2 2" xfId="31583" xr:uid="{00000000-0005-0000-0000-00005F7B0000}"/>
    <cellStyle name="Normal 421 2 2 2 2" xfId="31584" xr:uid="{00000000-0005-0000-0000-0000607B0000}"/>
    <cellStyle name="Normal 421 2 2 3" xfId="31585" xr:uid="{00000000-0005-0000-0000-0000617B0000}"/>
    <cellStyle name="Normal 421 2 2 3 2" xfId="31586" xr:uid="{00000000-0005-0000-0000-0000627B0000}"/>
    <cellStyle name="Normal 421 2 2 3 2 2" xfId="31587" xr:uid="{00000000-0005-0000-0000-0000637B0000}"/>
    <cellStyle name="Normal 421 2 2 3 3" xfId="31588" xr:uid="{00000000-0005-0000-0000-0000647B0000}"/>
    <cellStyle name="Normal 421 2 2 4" xfId="31589" xr:uid="{00000000-0005-0000-0000-0000657B0000}"/>
    <cellStyle name="Normal 421 2 2 4 2" xfId="31590" xr:uid="{00000000-0005-0000-0000-0000667B0000}"/>
    <cellStyle name="Normal 421 2 2 4 2 2" xfId="31591" xr:uid="{00000000-0005-0000-0000-0000677B0000}"/>
    <cellStyle name="Normal 421 2 2 4 3" xfId="31592" xr:uid="{00000000-0005-0000-0000-0000687B0000}"/>
    <cellStyle name="Normal 421 2 2 5" xfId="31593" xr:uid="{00000000-0005-0000-0000-0000697B0000}"/>
    <cellStyle name="Normal 421 2 3" xfId="31594" xr:uid="{00000000-0005-0000-0000-00006A7B0000}"/>
    <cellStyle name="Normal 421 2 3 2" xfId="31595" xr:uid="{00000000-0005-0000-0000-00006B7B0000}"/>
    <cellStyle name="Normal 421 2 3 2 2" xfId="31596" xr:uid="{00000000-0005-0000-0000-00006C7B0000}"/>
    <cellStyle name="Normal 421 2 3 2 2 2" xfId="31597" xr:uid="{00000000-0005-0000-0000-00006D7B0000}"/>
    <cellStyle name="Normal 421 2 3 2 3" xfId="31598" xr:uid="{00000000-0005-0000-0000-00006E7B0000}"/>
    <cellStyle name="Normal 421 2 3 2 3 2" xfId="31599" xr:uid="{00000000-0005-0000-0000-00006F7B0000}"/>
    <cellStyle name="Normal 421 2 3 2 3 2 2" xfId="31600" xr:uid="{00000000-0005-0000-0000-0000707B0000}"/>
    <cellStyle name="Normal 421 2 3 2 3 3" xfId="31601" xr:uid="{00000000-0005-0000-0000-0000717B0000}"/>
    <cellStyle name="Normal 421 2 3 2 4" xfId="31602" xr:uid="{00000000-0005-0000-0000-0000727B0000}"/>
    <cellStyle name="Normal 421 2 3 3" xfId="31603" xr:uid="{00000000-0005-0000-0000-0000737B0000}"/>
    <cellStyle name="Normal 421 2 3 3 2" xfId="31604" xr:uid="{00000000-0005-0000-0000-0000747B0000}"/>
    <cellStyle name="Normal 421 2 3 3 2 2" xfId="31605" xr:uid="{00000000-0005-0000-0000-0000757B0000}"/>
    <cellStyle name="Normal 421 2 3 3 3" xfId="31606" xr:uid="{00000000-0005-0000-0000-0000767B0000}"/>
    <cellStyle name="Normal 421 2 3 4" xfId="31607" xr:uid="{00000000-0005-0000-0000-0000777B0000}"/>
    <cellStyle name="Normal 421 2 3 4 2" xfId="31608" xr:uid="{00000000-0005-0000-0000-0000787B0000}"/>
    <cellStyle name="Normal 421 2 3 4 2 2" xfId="31609" xr:uid="{00000000-0005-0000-0000-0000797B0000}"/>
    <cellStyle name="Normal 421 2 3 4 3" xfId="31610" xr:uid="{00000000-0005-0000-0000-00007A7B0000}"/>
    <cellStyle name="Normal 421 2 3 5" xfId="31611" xr:uid="{00000000-0005-0000-0000-00007B7B0000}"/>
    <cellStyle name="Normal 421 2 3 5 2" xfId="31612" xr:uid="{00000000-0005-0000-0000-00007C7B0000}"/>
    <cellStyle name="Normal 421 2 3 5 2 2" xfId="31613" xr:uid="{00000000-0005-0000-0000-00007D7B0000}"/>
    <cellStyle name="Normal 421 2 3 5 3" xfId="31614" xr:uid="{00000000-0005-0000-0000-00007E7B0000}"/>
    <cellStyle name="Normal 421 2 3 6" xfId="31615" xr:uid="{00000000-0005-0000-0000-00007F7B0000}"/>
    <cellStyle name="Normal 421 2 4" xfId="31616" xr:uid="{00000000-0005-0000-0000-0000807B0000}"/>
    <cellStyle name="Normal 421 2 4 2" xfId="31617" xr:uid="{00000000-0005-0000-0000-0000817B0000}"/>
    <cellStyle name="Normal 421 2 4 2 2" xfId="31618" xr:uid="{00000000-0005-0000-0000-0000827B0000}"/>
    <cellStyle name="Normal 421 2 4 3" xfId="31619" xr:uid="{00000000-0005-0000-0000-0000837B0000}"/>
    <cellStyle name="Normal 421 2 5" xfId="31620" xr:uid="{00000000-0005-0000-0000-0000847B0000}"/>
    <cellStyle name="Normal 421 2 5 2" xfId="31621" xr:uid="{00000000-0005-0000-0000-0000857B0000}"/>
    <cellStyle name="Normal 421 2 5 2 2" xfId="31622" xr:uid="{00000000-0005-0000-0000-0000867B0000}"/>
    <cellStyle name="Normal 421 2 5 3" xfId="31623" xr:uid="{00000000-0005-0000-0000-0000877B0000}"/>
    <cellStyle name="Normal 421 2 6" xfId="31624" xr:uid="{00000000-0005-0000-0000-0000887B0000}"/>
    <cellStyle name="Normal 421 2 6 2" xfId="31625" xr:uid="{00000000-0005-0000-0000-0000897B0000}"/>
    <cellStyle name="Normal 421 2 6 2 2" xfId="31626" xr:uid="{00000000-0005-0000-0000-00008A7B0000}"/>
    <cellStyle name="Normal 421 2 6 3" xfId="31627" xr:uid="{00000000-0005-0000-0000-00008B7B0000}"/>
    <cellStyle name="Normal 421 2 7" xfId="31628" xr:uid="{00000000-0005-0000-0000-00008C7B0000}"/>
    <cellStyle name="Normal 421 3" xfId="31629" xr:uid="{00000000-0005-0000-0000-00008D7B0000}"/>
    <cellStyle name="Normal 421 3 2" xfId="31630" xr:uid="{00000000-0005-0000-0000-00008E7B0000}"/>
    <cellStyle name="Normal 421 3 2 2" xfId="31631" xr:uid="{00000000-0005-0000-0000-00008F7B0000}"/>
    <cellStyle name="Normal 421 3 3" xfId="31632" xr:uid="{00000000-0005-0000-0000-0000907B0000}"/>
    <cellStyle name="Normal 421 3 3 2" xfId="31633" xr:uid="{00000000-0005-0000-0000-0000917B0000}"/>
    <cellStyle name="Normal 421 3 3 2 2" xfId="31634" xr:uid="{00000000-0005-0000-0000-0000927B0000}"/>
    <cellStyle name="Normal 421 3 3 3" xfId="31635" xr:uid="{00000000-0005-0000-0000-0000937B0000}"/>
    <cellStyle name="Normal 421 3 4" xfId="31636" xr:uid="{00000000-0005-0000-0000-0000947B0000}"/>
    <cellStyle name="Normal 421 3 4 2" xfId="31637" xr:uid="{00000000-0005-0000-0000-0000957B0000}"/>
    <cellStyle name="Normal 421 3 4 2 2" xfId="31638" xr:uid="{00000000-0005-0000-0000-0000967B0000}"/>
    <cellStyle name="Normal 421 3 4 3" xfId="31639" xr:uid="{00000000-0005-0000-0000-0000977B0000}"/>
    <cellStyle name="Normal 421 3 5" xfId="31640" xr:uid="{00000000-0005-0000-0000-0000987B0000}"/>
    <cellStyle name="Normal 421 4" xfId="31641" xr:uid="{00000000-0005-0000-0000-0000997B0000}"/>
    <cellStyle name="Normal 421 4 2" xfId="31642" xr:uid="{00000000-0005-0000-0000-00009A7B0000}"/>
    <cellStyle name="Normal 421 4 2 2" xfId="31643" xr:uid="{00000000-0005-0000-0000-00009B7B0000}"/>
    <cellStyle name="Normal 421 4 2 2 2" xfId="31644" xr:uid="{00000000-0005-0000-0000-00009C7B0000}"/>
    <cellStyle name="Normal 421 4 2 3" xfId="31645" xr:uid="{00000000-0005-0000-0000-00009D7B0000}"/>
    <cellStyle name="Normal 421 4 2 3 2" xfId="31646" xr:uid="{00000000-0005-0000-0000-00009E7B0000}"/>
    <cellStyle name="Normal 421 4 2 3 2 2" xfId="31647" xr:uid="{00000000-0005-0000-0000-00009F7B0000}"/>
    <cellStyle name="Normal 421 4 2 3 3" xfId="31648" xr:uid="{00000000-0005-0000-0000-0000A07B0000}"/>
    <cellStyle name="Normal 421 4 2 4" xfId="31649" xr:uid="{00000000-0005-0000-0000-0000A17B0000}"/>
    <cellStyle name="Normal 421 4 3" xfId="31650" xr:uid="{00000000-0005-0000-0000-0000A27B0000}"/>
    <cellStyle name="Normal 421 4 3 2" xfId="31651" xr:uid="{00000000-0005-0000-0000-0000A37B0000}"/>
    <cellStyle name="Normal 421 4 3 2 2" xfId="31652" xr:uid="{00000000-0005-0000-0000-0000A47B0000}"/>
    <cellStyle name="Normal 421 4 3 3" xfId="31653" xr:uid="{00000000-0005-0000-0000-0000A57B0000}"/>
    <cellStyle name="Normal 421 4 4" xfId="31654" xr:uid="{00000000-0005-0000-0000-0000A67B0000}"/>
    <cellStyle name="Normal 421 4 4 2" xfId="31655" xr:uid="{00000000-0005-0000-0000-0000A77B0000}"/>
    <cellStyle name="Normal 421 4 4 2 2" xfId="31656" xr:uid="{00000000-0005-0000-0000-0000A87B0000}"/>
    <cellStyle name="Normal 421 4 4 3" xfId="31657" xr:uid="{00000000-0005-0000-0000-0000A97B0000}"/>
    <cellStyle name="Normal 421 4 5" xfId="31658" xr:uid="{00000000-0005-0000-0000-0000AA7B0000}"/>
    <cellStyle name="Normal 421 4 5 2" xfId="31659" xr:uid="{00000000-0005-0000-0000-0000AB7B0000}"/>
    <cellStyle name="Normal 421 4 5 2 2" xfId="31660" xr:uid="{00000000-0005-0000-0000-0000AC7B0000}"/>
    <cellStyle name="Normal 421 4 5 3" xfId="31661" xr:uid="{00000000-0005-0000-0000-0000AD7B0000}"/>
    <cellStyle name="Normal 421 4 6" xfId="31662" xr:uid="{00000000-0005-0000-0000-0000AE7B0000}"/>
    <cellStyle name="Normal 421 5" xfId="31663" xr:uid="{00000000-0005-0000-0000-0000AF7B0000}"/>
    <cellStyle name="Normal 421 5 2" xfId="31664" xr:uid="{00000000-0005-0000-0000-0000B07B0000}"/>
    <cellStyle name="Normal 421 5 2 2" xfId="31665" xr:uid="{00000000-0005-0000-0000-0000B17B0000}"/>
    <cellStyle name="Normal 421 5 3" xfId="31666" xr:uid="{00000000-0005-0000-0000-0000B27B0000}"/>
    <cellStyle name="Normal 421 6" xfId="31667" xr:uid="{00000000-0005-0000-0000-0000B37B0000}"/>
    <cellStyle name="Normal 421 6 2" xfId="31668" xr:uid="{00000000-0005-0000-0000-0000B47B0000}"/>
    <cellStyle name="Normal 421 6 2 2" xfId="31669" xr:uid="{00000000-0005-0000-0000-0000B57B0000}"/>
    <cellStyle name="Normal 421 6 3" xfId="31670" xr:uid="{00000000-0005-0000-0000-0000B67B0000}"/>
    <cellStyle name="Normal 421 7" xfId="31671" xr:uid="{00000000-0005-0000-0000-0000B77B0000}"/>
    <cellStyle name="Normal 421 7 2" xfId="31672" xr:uid="{00000000-0005-0000-0000-0000B87B0000}"/>
    <cellStyle name="Normal 421 7 2 2" xfId="31673" xr:uid="{00000000-0005-0000-0000-0000B97B0000}"/>
    <cellStyle name="Normal 421 7 3" xfId="31674" xr:uid="{00000000-0005-0000-0000-0000BA7B0000}"/>
    <cellStyle name="Normal 421 8" xfId="31675" xr:uid="{00000000-0005-0000-0000-0000BB7B0000}"/>
    <cellStyle name="Normal 421 8 2" xfId="31676" xr:uid="{00000000-0005-0000-0000-0000BC7B0000}"/>
    <cellStyle name="Normal 5" xfId="31685" xr:uid="{DF02BA6A-8C53-40FE-BD2C-25BA9EBC094C}"/>
    <cellStyle name="Normal 6" xfId="49" xr:uid="{00000000-0005-0000-0000-000031000000}"/>
    <cellStyle name="Normal 7" xfId="7" xr:uid="{00000000-0005-0000-0000-000007000000}"/>
    <cellStyle name="Normal 747 3" xfId="48" xr:uid="{00000000-0005-0000-0000-000030000000}"/>
    <cellStyle name="Normal 749" xfId="31677" xr:uid="{00000000-0005-0000-0000-0000BD7B0000}"/>
    <cellStyle name="Normal 750 2" xfId="31682" xr:uid="{00000000-0005-0000-0000-0000C57B0000}"/>
    <cellStyle name="Normal 8" xfId="74" xr:uid="{00000000-0005-0000-0000-00004A000000}"/>
    <cellStyle name="Normal 9" xfId="75" xr:uid="{00000000-0005-0000-0000-00004B000000}"/>
    <cellStyle name="Normal_ITC Model I Updated to May 1 2009 FLE's" xfId="31683" xr:uid="{47A39C80-E578-4B1A-93C1-DE1200529D5A}"/>
    <cellStyle name="Percent" xfId="1" xr:uid="{00000000-0005-0000-0000-000001000000}"/>
    <cellStyle name="Percent 10" xfId="31678" xr:uid="{00000000-0005-0000-0000-0000BE7B0000}"/>
    <cellStyle name="Percent 156" xfId="31679" xr:uid="{00000000-0005-0000-0000-0000BF7B0000}"/>
    <cellStyle name="Percent 2" xfId="78" xr:uid="{00000000-0005-0000-0000-00004E000000}"/>
    <cellStyle name="Percent 3" xfId="31684" xr:uid="{0CE7E799-8FEF-499D-8D1F-4DE80546C019}"/>
    <cellStyle name="Percent 4" xfId="31686" xr:uid="{D2DAEA61-DB73-47A7-BAC7-7D828DAA6408}"/>
    <cellStyle name="Percent 41" xfId="76" xr:uid="{00000000-0005-0000-0000-00004C000000}"/>
    <cellStyle name="Percent 45" xfId="77" xr:uid="{00000000-0005-0000-0000-00004D000000}"/>
    <cellStyle name="SAPBorder" xfId="13" xr:uid="{00000000-0005-0000-0000-00000D000000}"/>
    <cellStyle name="SAPDataCell" xfId="14" xr:uid="{00000000-0005-0000-0000-00000E000000}"/>
    <cellStyle name="SAPDataTotalCell" xfId="15" xr:uid="{00000000-0005-0000-0000-00000F000000}"/>
    <cellStyle name="SAPDimensionCell" xfId="16" xr:uid="{00000000-0005-0000-0000-000010000000}"/>
    <cellStyle name="SAPEditableDataCell" xfId="17" xr:uid="{00000000-0005-0000-0000-000011000000}"/>
    <cellStyle name="SAPEditableDataTotalCell" xfId="18" xr:uid="{00000000-0005-0000-0000-000012000000}"/>
    <cellStyle name="SAPEmphasized" xfId="19" xr:uid="{00000000-0005-0000-0000-000013000000}"/>
    <cellStyle name="SAPEmphasizedEditableDataCell" xfId="20" xr:uid="{00000000-0005-0000-0000-000014000000}"/>
    <cellStyle name="SAPEmphasizedEditableDataTotalCell" xfId="21" xr:uid="{00000000-0005-0000-0000-000015000000}"/>
    <cellStyle name="SAPEmphasizedLockedDataCell" xfId="22" xr:uid="{00000000-0005-0000-0000-000016000000}"/>
    <cellStyle name="SAPEmphasizedLockedDataTotalCell" xfId="23" xr:uid="{00000000-0005-0000-0000-000017000000}"/>
    <cellStyle name="SAPEmphasizedReadonlyDataCell" xfId="24" xr:uid="{00000000-0005-0000-0000-000018000000}"/>
    <cellStyle name="SAPEmphasizedReadonlyDataTotalCell" xfId="25" xr:uid="{00000000-0005-0000-0000-000019000000}"/>
    <cellStyle name="SAPEmphasizedTotal" xfId="26" xr:uid="{00000000-0005-0000-0000-00001A000000}"/>
    <cellStyle name="SAPExceptionLevel1" xfId="27" xr:uid="{00000000-0005-0000-0000-00001B000000}"/>
    <cellStyle name="SAPExceptionLevel2" xfId="28" xr:uid="{00000000-0005-0000-0000-00001C000000}"/>
    <cellStyle name="SAPExceptionLevel3" xfId="29" xr:uid="{00000000-0005-0000-0000-00001D000000}"/>
    <cellStyle name="SAPExceptionLevel4" xfId="30" xr:uid="{00000000-0005-0000-0000-00001E000000}"/>
    <cellStyle name="SAPExceptionLevel5" xfId="31" xr:uid="{00000000-0005-0000-0000-00001F000000}"/>
    <cellStyle name="SAPExceptionLevel6" xfId="32" xr:uid="{00000000-0005-0000-0000-000020000000}"/>
    <cellStyle name="SAPExceptionLevel7" xfId="33" xr:uid="{00000000-0005-0000-0000-000021000000}"/>
    <cellStyle name="SAPExceptionLevel8" xfId="34" xr:uid="{00000000-0005-0000-0000-000022000000}"/>
    <cellStyle name="SAPExceptionLevel9" xfId="35" xr:uid="{00000000-0005-0000-0000-000023000000}"/>
    <cellStyle name="SAPHierarchyCell0" xfId="36" xr:uid="{00000000-0005-0000-0000-000024000000}"/>
    <cellStyle name="SAPHierarchyCell1" xfId="37" xr:uid="{00000000-0005-0000-0000-000025000000}"/>
    <cellStyle name="SAPHierarchyCell2" xfId="38" xr:uid="{00000000-0005-0000-0000-000026000000}"/>
    <cellStyle name="SAPHierarchyCell3" xfId="39" xr:uid="{00000000-0005-0000-0000-000027000000}"/>
    <cellStyle name="SAPHierarchyCell4" xfId="40" xr:uid="{00000000-0005-0000-0000-000028000000}"/>
    <cellStyle name="SAPLockedDataCell" xfId="41" xr:uid="{00000000-0005-0000-0000-000029000000}"/>
    <cellStyle name="SAPLockedDataTotalCell" xfId="42" xr:uid="{00000000-0005-0000-0000-00002A000000}"/>
    <cellStyle name="SAPMemberCell" xfId="43" xr:uid="{00000000-0005-0000-0000-00002B000000}"/>
    <cellStyle name="SAPMemberTotalCell" xfId="44" xr:uid="{00000000-0005-0000-0000-00002C000000}"/>
    <cellStyle name="SAPReadonlyDataCell" xfId="45" xr:uid="{00000000-0005-0000-0000-00002D000000}"/>
    <cellStyle name="SAPReadonlyDataTotalCell" xfId="46" xr:uid="{00000000-0005-0000-0000-00002E000000}"/>
  </cellStyles>
  <dxfs count="7">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lor auto="1"/>
      </font>
    </dxf>
    <dxf>
      <font>
        <color rgb="FF9C0006"/>
      </font>
      <fill>
        <patternFill>
          <bgColor rgb="FFFFC7CE"/>
        </patternFill>
      </fill>
    </dxf>
  </dxfs>
  <tableStyles count="0" defaultTableStyle="TableStyleMedium2" defaultPivotStyle="PivotStyleLight16"/>
  <colors>
    <mruColors>
      <color rgb="FFFFE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13" Type="http://schemas.openxmlformats.org/officeDocument/2006/relationships/externalLink" Target="externalLinks/externalLink82.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16" Type="http://schemas.openxmlformats.org/officeDocument/2006/relationships/theme" Target="theme/theme1.xml"/><Relationship Id="rId124"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11"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14" Type="http://schemas.openxmlformats.org/officeDocument/2006/relationships/externalLink" Target="externalLinks/externalLink83.xml"/><Relationship Id="rId119"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uslpna01\corpdata\RATE%20STUDY_1\Worthington%20-%202013%20Electric\Wgton%20File\Brewster\Brewster%202013%2006_includes%202012%20wapa%20mres%20split%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uslpna01\corpdata\Users\Laptop\AppData\Local\Microsoft\Windows\Temporary%20Internet%20Files\Content.Outlook\PDWZMCHK\PacifiCorp\Post%20settlement%20Formula%20runs\Copy%20of%202013%20Annual%20Update%2020130506%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ACCTSVCS\Board%20Report\2001\Tep\Financial%20Statements\Income%20Statement\052001%20TEP%20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uslpna01\corpdata\Users\John%20Wolfram\Documents\CATALYST%20Consulting\Clients\Black%20Hills\Sample%20TFRs\Westar_TFR_Projectio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uslpna01\corpdata\Users\John%20Wolfram\Documents\CATALYST%20Consulting\Clients\Black%20Hills\Sample%20TFRs\PSCo_TFR_Projec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slpna01\corpdata\Users\John%20Wolfram\Documents\CATALYST%20Consulting\Clients\Black%20Hills\Sample%20TFRs\Kanstar%20TFR.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uslpna01\corpdata\Users\John%20Wolfram\Documents\CATALYST%20Consulting\Clients\Black%20Hills\Sample%20TFRs\KCPL%20TFR%20Project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m-ga-projects01\34801\041\Settlement%20Documents\Attachment%206%20Part%202%20-%20Proration%20Calculation%20-%20NJ%20Int%20Settlement%20Offer%20Draft%206-23-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uslpna01\corpdata\Financing%20Plan\2009\Capital%20Financing%20Model%20Slower%20Pace03-03-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uslpna01\corpdata\Tax\Accruals\2010\2010&#173;_Tax%20Accr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Working\Annual%20Update%20-%202013\2013%20Annual%20Update%20201304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uslpna01\corpdata\Financing%20Plan\2009\Documents%20and%20Settings\pkettles\My%20Documents\By%20State\Minnesota\Documents%20and%20Settings\mnguyen\My%20Documents\ca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uslpna01\corpdata\PLANTACC\UPR\1999\UPR-698-Ol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uslpna01\corpdata\RATES\Rate%20Case%202004\Schedules\2004%20Schedule%20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uslpna01\corpdata\RATES\Rate%20Case%202003%20(mock)\RB_COS_RR\2003%20Forecast%20%20Includ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uslpna01\corpdata\Documents%20and%20Settings\ua00955\Local%20Settings\Temporary%20Internet%20Files\OLK142\SGS3_Model\SGS_10_14_03_Revised-by-DW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uslpna01\corpdata\Gdh7164\Formula%20Rate%20-like%20AEP\FY%202008%20Rate%20Case\Formula%20Versions\KCPL%20Formula%20Rate%207-28-08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bwmqinc-my.sharepoint.com/Taxes/Accruals/2007/Tax%20Accruals_20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DATA06.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Working\Annual%20Update%20-%202013\Data\Capital%20projection%2020130417.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uslpna01\corpdata\RATES\TEP%20OATT\OATT\TEP%202015\Support\Acct%20String%20by%20FERC%20-%20Revenue_FERC%2045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sps.utility.pge.com/2014GRC/2PreNOI_Run_MayRun/Input/lkpCommonUCC.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2014GRC\2PreNOI_Run_MayRun\Input\lkpCommonUCC.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uslpna01\corpdata\tariffs\2000\formula%20rates\NSP%20xcelcoss%20mis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TRANSMISSION"/>
      <sheetName val="Brewster Purchases"/>
      <sheetName val="Statement"/>
      <sheetName val="Reads"/>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ATT 6 - Est &amp; Reconcile WS"/>
      <sheetName val="Gateway PIS monthly"/>
      <sheetName val="Att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Cons IS"/>
      <sheetName val="Consol Adj."/>
      <sheetName val="CODE"/>
      <sheetName val="RE Recon."/>
      <sheetName val="MTD"/>
      <sheetName val="YTD"/>
      <sheetName val="TME"/>
      <sheetName val="3 MOE"/>
      <sheetName val="Module1"/>
      <sheetName val="Cons_IS"/>
      <sheetName val="Consol_Adj_"/>
      <sheetName val="RE_Recon_"/>
      <sheetName val="3_MOE"/>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ctual Net Rev Req"/>
      <sheetName val="Actual Gross Rev"/>
      <sheetName val="ARO Adj"/>
      <sheetName val="A-1 (Rev. Credit)"/>
      <sheetName val="A-2 (Divisor)"/>
      <sheetName val="A-3 (Retail Adder)"/>
      <sheetName val="A-4 (WEN O&amp;M Exclusions)"/>
      <sheetName val="A-5 (WEN ADIT)"/>
      <sheetName val="A-6 (WES O&amp;M Exclusions)"/>
      <sheetName val="A-7 (WES ADIT)"/>
      <sheetName val="A-8 (Depr Calc-Opt.)"/>
      <sheetName val="A-9 (Act. BPF Projects)"/>
      <sheetName val="A-10 (Wages &amp; Salaries)"/>
      <sheetName val="A-11 (Incentive Plant)"/>
      <sheetName val="A-12 (Act. Econ Projects)"/>
      <sheetName val="TU (True-up)"/>
      <sheetName val="BPF (BPF Summary)"/>
      <sheetName val="EPP (Econ Proj Sum)"/>
      <sheetName val="Projected Net Rev Req"/>
      <sheetName val="Projected Gross Rev Req"/>
      <sheetName val="P-1 (Trans Plant)"/>
      <sheetName val="P-2 (Exp. &amp; Rev. Credits)"/>
      <sheetName val="P-3 (Trans. Network Load)"/>
      <sheetName val="P-4 (BPF Projects)"/>
      <sheetName val="P-5 (Econ. Proj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Est. Rates"/>
      <sheetName val="Actual Rates"/>
      <sheetName val="ATRR Est."/>
      <sheetName val="ATRR Act"/>
      <sheetName val="WP_A-2 (1)"/>
      <sheetName val="WP_A-2 (2)"/>
      <sheetName val="WP_A-2 (3)"/>
      <sheetName val="WP_A-2 (4)"/>
      <sheetName val="WP_A-2 (5)"/>
      <sheetName val="WP_A-2 (6)"/>
      <sheetName val="WP_A-2 (7)"/>
      <sheetName val="WP_B-1"/>
      <sheetName val="WP_B-2"/>
      <sheetName val="WP_B-3"/>
      <sheetName val="WP_B-4"/>
      <sheetName val="WP_B-5"/>
      <sheetName val="WP_B-6"/>
      <sheetName val="WP_B-7"/>
      <sheetName val="WP_B-8"/>
      <sheetName val="WP_B-Inputs Est."/>
      <sheetName val="WP_B-Inputs Act."/>
      <sheetName val="WP_C-1"/>
      <sheetName val="WP_C-2"/>
      <sheetName val="WP_C-3"/>
      <sheetName val="WP_C-4"/>
      <sheetName val="WP_D-1"/>
      <sheetName val="WP_E-1"/>
      <sheetName val="WP_F-1"/>
      <sheetName val="WP_G-1"/>
      <sheetName val="WP_H-1 "/>
      <sheetName val="WP_I-1"/>
      <sheetName val="Schedule 1"/>
      <sheetName val="Schedule 2"/>
      <sheetName val="Schedule 3 and 3A"/>
      <sheetName val="Schedule 5"/>
      <sheetName val="Schedule 6"/>
      <sheetName val="WP_FCR"/>
      <sheetName val="WP_Cost per Unit"/>
      <sheetName val="WP_Load Factor"/>
      <sheetName val="Schedule 16"/>
      <sheetName val="WP_Installed Cost"/>
      <sheetName val="WP_O&amp;M Cost"/>
      <sheetName val="WP_Reactive Cost"/>
      <sheetName val="WP_ADIT Pro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H"/>
      <sheetName val="1-RevReqWorksht"/>
      <sheetName val="2-IncentiveROE"/>
      <sheetName val="3-True-Up"/>
      <sheetName val="4-RateBase"/>
      <sheetName val="5-AttachHWorksheet"/>
      <sheetName val="6-TrueUp Interest"/>
      <sheetName val="7-PBOPs"/>
      <sheetName val="8-IRR"/>
      <sheetName val="9-Const Loan True-up"/>
      <sheetName val="10-Deprec Rat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Notes to Development"/>
      <sheetName val="Summary"/>
      <sheetName val="Actual Net Rev Req"/>
      <sheetName val="Actual Gross Rev Req"/>
      <sheetName val="Actual Sch 1 Rev Req"/>
      <sheetName val="A-1 (Act. Rev Credit) "/>
      <sheetName val="A-2 (Act. Divisor) "/>
      <sheetName val="A-3 ( Act. ADIT)"/>
      <sheetName val="A-4 (Act. Excluded Assets) "/>
      <sheetName val="A-5 (Act Depreciation Rate)"/>
      <sheetName val="A-6 (Act Taxes Other)"/>
      <sheetName val="A-7 (Act. RTO Directed Proj)"/>
      <sheetName val="A-8 (Act. Sponsor) "/>
      <sheetName val="A-9 (Act. Incentive Projects)"/>
      <sheetName val="A-10 (Act. A&amp;G)"/>
      <sheetName val="A-11 (Act 13 Mo &amp; BOY-EOY Aver)"/>
      <sheetName val="TU (True-Up)"/>
      <sheetName val="RTO Project Smry"/>
      <sheetName val="Spon Project Smry"/>
      <sheetName val="Projected Net Rev Req"/>
      <sheetName val="Projected Gross Rev Req"/>
      <sheetName val="Projected Schedule 1 Rev Req"/>
      <sheetName val="P-1 (Trans Plant)"/>
      <sheetName val="P-2 (Exp. &amp; Rev. Credits)"/>
      <sheetName val="P-3 (Trans. Network Load)"/>
      <sheetName val="P-4 (Proj. RTO Directed)"/>
      <sheetName val="P-5 (Sponsored Projec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sheetData sheetId="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 - ADIT Summary"/>
      <sheetName val="Attachment 5a - ADIT Detail"/>
      <sheetName val="Attachment 5b - ADIT Norm PTRR"/>
      <sheetName val="Attachment 5c - ADIT Norm ATRR"/>
      <sheetName val="Attachment 6 - PBOP"/>
      <sheetName val="Attachment 7 - TOTI"/>
      <sheetName val="Attachment 7 - Taxes Other "/>
      <sheetName val="Attachment 8 - Cap Structure"/>
      <sheetName val="Attach 9 - Stated-value Inputs"/>
      <sheetName val="Attachment 10 - Debt Cost"/>
      <sheetName val="Attachment 11 - TEC"/>
      <sheetName val="Attach 11a - TEC Cost Support"/>
      <sheetName val="Attachment 12 - TEC True-up"/>
      <sheetName val="Attachment 13 - Rev Req True-up"/>
      <sheetName val="Attachment 13 - TRR True-Up"/>
      <sheetName val="Attachment 13a - PJM Billings"/>
      <sheetName val="Attach 13a-TEC Rev Req True up"/>
      <sheetName val="Attachment 14 - Other RB"/>
      <sheetName val="Attachment 14a - Working Cap."/>
      <sheetName val="Attachment 14b - Unfunded Res"/>
      <sheetName val="Attachment 15 - Income Taxes"/>
      <sheetName val="Attachment 15 - Income Tax Adj"/>
      <sheetName val="Att. 15a.1 - TCJA DDIT and EDIT"/>
      <sheetName val="Attachment 15a - Excess Def "/>
      <sheetName val="Attachment 16 - 182 and 254"/>
      <sheetName val="Attachment 16 - Abandoned Plant"/>
      <sheetName val="Attachment 17 - CWIP in RB"/>
      <sheetName val="Attachment 17 - CWIP"/>
      <sheetName val="Attachment 18 - Tax Rates"/>
      <sheetName val="Attachment 19 - Reg Asset"/>
      <sheetName val="Attachment 20 - O&amp;M and A&amp;G"/>
      <sheetName val="Attachment 20 - OpEx"/>
      <sheetName val="Attachment 21 - Rev Cre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Electric Fund Historical"/>
      <sheetName val="Electric Fund"/>
      <sheetName val="Water Fund Historical"/>
      <sheetName val="Water Fund"/>
      <sheetName val="Combined Utility"/>
      <sheetName val="Investments-Electric"/>
      <sheetName val="Investments-Water"/>
      <sheetName val="New Electric CIP Debt"/>
      <sheetName val="New Water CIP Debt"/>
      <sheetName val="Reserve Fund Estimate"/>
      <sheetName val="Existing Debt Service Schedule"/>
      <sheetName val="CIP Link"/>
      <sheetName val="CIPInput"/>
      <sheetName val="Year 1"/>
      <sheetName val="Year 2"/>
      <sheetName val="Year 3"/>
      <sheetName val="Year 4"/>
      <sheetName val="Year 5"/>
      <sheetName val="Year 6"/>
      <sheetName val="Year 7"/>
      <sheetName val="Year 8"/>
      <sheetName val="Year 9"/>
      <sheetName val="Year 10"/>
      <sheetName val="Year 11"/>
      <sheetName val="Year 12"/>
      <sheetName val="Year 13"/>
      <sheetName val="Year 14"/>
      <sheetName val="Year 15"/>
      <sheetName val="Electric Depreciation"/>
      <sheetName val="Water Depreciation"/>
      <sheetName val="Elec Exp"/>
      <sheetName val="Elec Rev"/>
      <sheetName val="Water Exp"/>
      <sheetName val="Water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Shee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2"/>
      <sheetName val="GEN'L"/>
      <sheetName val="Navajo"/>
      <sheetName val="San Juan"/>
      <sheetName val="Spvl"/>
      <sheetName val="Irvington"/>
      <sheetName val="111"/>
      <sheetName val="111 Monthly"/>
      <sheetName val="Tran"/>
      <sheetName val="Dist"/>
      <sheetName val="REPORT"/>
      <sheetName val="DEP-1"/>
      <sheetName val="DEP108 - CR"/>
      <sheetName val="DEP303"/>
      <sheetName val="DEPDist"/>
      <sheetName val="Backup-105-97"/>
      <sheetName val="Surcharge Summary"/>
      <sheetName val="Summary"/>
      <sheetName val="Rate Design Details"/>
      <sheetName val="Accounting Data"/>
      <sheetName val="Worksheet"/>
      <sheetName val="Citizens Electric Tariffs"/>
      <sheetName val="PPFAC"/>
      <sheetName val="San_Juan"/>
      <sheetName val="111_Monthly"/>
      <sheetName val="DEP108_-_CR"/>
      <sheetName val="Surcharge_Summary"/>
      <sheetName val="Rate_Design_Details"/>
      <sheetName val="Accounting_Data"/>
      <sheetName val="Citizens_Electric_Tarif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2"/>
      <sheetName val="F3"/>
      <sheetName val="F4"/>
      <sheetName val="Links"/>
    </sheetNames>
    <sheetDataSet>
      <sheetData sheetId="0"/>
      <sheetData sheetId="1"/>
      <sheetData sheetId="2"/>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sheetData sheetId="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Cover"/>
      <sheetName val="Adjust Categories"/>
      <sheetName val="Adjust Sum"/>
      <sheetName val="Rate Base"/>
      <sheetName val="RB Adj Detail"/>
      <sheetName val="COS"/>
      <sheetName val="COS Adj Detail"/>
      <sheetName val="Energy Allocation"/>
      <sheetName val="Demand Allocation"/>
      <sheetName val="Working Capital"/>
      <sheetName val="Plant Detail"/>
      <sheetName val="Forecast "/>
      <sheetName val="Forecast (con't)"/>
      <sheetName val="Forecast Energy Sales"/>
      <sheetName val="Forecast Growth Rate"/>
      <sheetName val="Weather Normalized"/>
      <sheetName val="Report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sheetData sheetId="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n"/>
      <sheetName val="Financing Assump"/>
      <sheetName val="IDC"/>
      <sheetName val="Summary"/>
      <sheetName val="Eligible Summary"/>
      <sheetName val="Eligible"/>
      <sheetName val="Document Data"/>
      <sheetName val="Performance"/>
      <sheetName val="Costs"/>
      <sheetName val="PPA Exhibits"/>
      <sheetName val="Rev"/>
      <sheetName val="Inc"/>
      <sheetName val="Cash"/>
      <sheetName val="Bal"/>
      <sheetName val="Depn"/>
      <sheetName val="Debt amort"/>
      <sheetName val="Lease Covs"/>
      <sheetName val="TriState Returns"/>
      <sheetName val="CSFBDebtU3"/>
      <sheetName val="Debt"/>
      <sheetName val="lease run"/>
      <sheetName val="Without"/>
      <sheetName val="With"/>
      <sheetName val="UNS Return"/>
      <sheetName val="LeaseAdjust"/>
      <sheetName val="Terminal 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 Rates"/>
      <sheetName val="Sch 1 Rates"/>
      <sheetName val="Load WS"/>
      <sheetName val="KCPL Projected TCOS"/>
      <sheetName val="KCPL Historical TCOS-Blank"/>
      <sheetName val="KCPL WsA Rev Credits"/>
      <sheetName val="KCPL WsC RB Tax"/>
      <sheetName val="KCPL WsD Mis"/>
      <sheetName val="KCPL WsE Exp Adj"/>
      <sheetName val="KCPL WsF Inc Prjts"/>
      <sheetName val="KCPL WsG BPU"/>
      <sheetName val="KCPL WsH Bdgt RB"/>
      <sheetName val="KCPL WsI Bal Sheet"/>
      <sheetName val="KCPL WsJ Tax"/>
      <sheetName val="KCPL WsK CWIP"/>
      <sheetName val="KCPL WsL Transferred Assets"/>
      <sheetName val="KCPL WsM Supplies "/>
      <sheetName val="KCPL WsN Taxes Othe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Rate"/>
      <sheetName val="Balances"/>
      <sheetName val="Partner Info"/>
      <sheetName val="Recon"/>
      <sheetName val="Current"/>
      <sheetName val="Fed_Def"/>
      <sheetName val="State_Def"/>
      <sheetName val="LLC Grossup Entry"/>
      <sheetName val="Tax_grossup"/>
      <sheetName val="Revenue"/>
      <sheetName val="Permanent"/>
      <sheetName val="Timing"/>
      <sheetName val="Effect_rate"/>
      <sheetName val="Ble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sheetData sheetId="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inal Summary Sheet"/>
      <sheetName val="2012 data (2013 projection)"/>
    </sheetNames>
    <sheetDataSet>
      <sheetData sheetId="0" refreshError="1"/>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nd Analysis"/>
      <sheetName val="40270 GL Rec to FERC "/>
      <sheetName val="Pivot 40270 2015"/>
      <sheetName val="2015"/>
      <sheetName val="2016 YTD"/>
      <sheetName val="2014"/>
      <sheetName val="2013"/>
      <sheetName val="Macro1"/>
    </sheetNames>
    <sheetDataSet>
      <sheetData sheetId="0"/>
      <sheetData sheetId="1"/>
      <sheetData sheetId="2"/>
      <sheetData sheetId="3"/>
      <sheetData sheetId="4"/>
      <sheetData sheetId="5"/>
      <sheetData sheetId="6"/>
      <sheetData sheetId="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sheetData sheetId="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0.23698295087111601</v>
          </cell>
          <cell r="Z54">
            <v>0</v>
          </cell>
          <cell r="AA54">
            <v>0</v>
          </cell>
          <cell r="AB54" t="str">
            <v>UCC 801</v>
          </cell>
        </row>
        <row r="55">
          <cell r="Y55">
            <v>9.9599641230363901E-3</v>
          </cell>
          <cell r="Z55">
            <v>101</v>
          </cell>
          <cell r="AA55">
            <v>0</v>
          </cell>
          <cell r="AB55">
            <v>1.38251925124657E-2</v>
          </cell>
        </row>
        <row r="56">
          <cell r="Y56">
            <v>1.02674510796912E-4</v>
          </cell>
          <cell r="Z56">
            <v>102</v>
          </cell>
          <cell r="AA56">
            <v>0</v>
          </cell>
          <cell r="AB56">
            <v>1.4252007942552701E-4</v>
          </cell>
        </row>
        <row r="57">
          <cell r="Y57">
            <v>1.89629315040784E-5</v>
          </cell>
          <cell r="Z57">
            <v>108</v>
          </cell>
          <cell r="AA57">
            <v>0</v>
          </cell>
          <cell r="AB57">
            <v>2.6322000301007201E-5</v>
          </cell>
        </row>
        <row r="58">
          <cell r="Y58">
            <v>5.2980187022685303E-2</v>
          </cell>
          <cell r="Z58">
            <v>120</v>
          </cell>
          <cell r="AA58">
            <v>0</v>
          </cell>
          <cell r="AB58">
            <v>7.3540554552897694E-2</v>
          </cell>
        </row>
        <row r="59">
          <cell r="Y59">
            <v>1.6941294285856799E-3</v>
          </cell>
          <cell r="Z59">
            <v>121</v>
          </cell>
          <cell r="AA59">
            <v>0</v>
          </cell>
          <cell r="AB59">
            <v>2.3515813111272799E-3</v>
          </cell>
        </row>
        <row r="60">
          <cell r="Y60">
            <v>0.14748024465541501</v>
          </cell>
          <cell r="Z60">
            <v>130</v>
          </cell>
          <cell r="AA60">
            <v>0</v>
          </cell>
          <cell r="AB60">
            <v>0.204713867335203</v>
          </cell>
        </row>
        <row r="61">
          <cell r="Y61">
            <v>2.4741134505622799E-2</v>
          </cell>
          <cell r="Z61">
            <v>141</v>
          </cell>
          <cell r="AA61">
            <v>0</v>
          </cell>
          <cell r="AB61">
            <v>3.4342588315746402E-2</v>
          </cell>
        </row>
        <row r="62">
          <cell r="Y62">
            <v>5.6536934698964502E-6</v>
          </cell>
          <cell r="Z62">
            <v>142</v>
          </cell>
          <cell r="AA62">
            <v>0</v>
          </cell>
          <cell r="AB62">
            <v>7.8477592551768907E-6</v>
          </cell>
        </row>
        <row r="63">
          <cell r="Y63">
            <v>1.6283764154209699E-3</v>
          </cell>
          <cell r="Z63">
            <v>0</v>
          </cell>
          <cell r="AA63">
            <v>0</v>
          </cell>
          <cell r="AB63">
            <v>0</v>
          </cell>
        </row>
        <row r="64">
          <cell r="Y64">
            <v>1.6283764154209699E-3</v>
          </cell>
          <cell r="Z64">
            <v>134</v>
          </cell>
          <cell r="AA64">
            <v>0</v>
          </cell>
          <cell r="AB64">
            <v>2.2603110962904301E-3</v>
          </cell>
        </row>
        <row r="65">
          <cell r="Y65">
            <v>6.19191471346602E-2</v>
          </cell>
          <cell r="Z65">
            <v>0</v>
          </cell>
          <cell r="AA65" t="str">
            <v>UCC 200</v>
          </cell>
          <cell r="AB65">
            <v>0</v>
          </cell>
        </row>
        <row r="66">
          <cell r="Y66">
            <v>3.0276146362615799E-2</v>
          </cell>
          <cell r="Z66">
            <v>201</v>
          </cell>
          <cell r="AA66">
            <v>0.49351464441813597</v>
          </cell>
          <cell r="AB66">
            <v>4.2025608408632002E-2</v>
          </cell>
        </row>
        <row r="67">
          <cell r="Y67">
            <v>3.1071873812777401E-2</v>
          </cell>
          <cell r="Z67">
            <v>202</v>
          </cell>
          <cell r="AA67">
            <v>0.50648535558186403</v>
          </cell>
          <cell r="AB67">
            <v>4.31301390123612E-2</v>
          </cell>
        </row>
        <row r="68">
          <cell r="Y68">
            <v>4.49200941618554E-5</v>
          </cell>
          <cell r="Z68">
            <v>203</v>
          </cell>
          <cell r="AA68">
            <v>0</v>
          </cell>
          <cell r="AB68">
            <v>6.2352528763568604E-5</v>
          </cell>
        </row>
        <row r="69">
          <cell r="Y69">
            <v>5.2620686510519005E-4</v>
          </cell>
          <cell r="Z69">
            <v>204</v>
          </cell>
          <cell r="AA69">
            <v>0</v>
          </cell>
          <cell r="AB69">
            <v>7.3041540326778699E-4</v>
          </cell>
        </row>
        <row r="70">
          <cell r="Y70">
            <v>0.41989089505020999</v>
          </cell>
          <cell r="Z70">
            <v>0</v>
          </cell>
          <cell r="AA70" t="str">
            <v>UCC 300</v>
          </cell>
          <cell r="AB70">
            <v>0</v>
          </cell>
        </row>
        <row r="71">
          <cell r="Y71">
            <v>0.351169366553163</v>
          </cell>
          <cell r="Z71">
            <v>301</v>
          </cell>
          <cell r="AA71">
            <v>0.549550775957237</v>
          </cell>
          <cell r="AB71">
            <v>0.48744995836370802</v>
          </cell>
        </row>
        <row r="72">
          <cell r="Y72">
            <v>4.5561815219517099E-4</v>
          </cell>
          <cell r="Z72">
            <v>302</v>
          </cell>
          <cell r="AA72">
            <v>4.49224042762632E-4</v>
          </cell>
          <cell r="AB72">
            <v>6.3243286707259996E-4</v>
          </cell>
        </row>
        <row r="73">
          <cell r="Y73">
            <v>6.14270106355582E-2</v>
          </cell>
          <cell r="Z73">
            <v>303</v>
          </cell>
          <cell r="AA73">
            <v>0</v>
          </cell>
          <cell r="AB73">
            <v>8.5265392225426104E-2</v>
          </cell>
        </row>
        <row r="74">
          <cell r="Y74">
            <v>6.8388997092938301E-3</v>
          </cell>
          <cell r="Z74">
            <v>307</v>
          </cell>
          <cell r="AA74">
            <v>0</v>
          </cell>
          <cell r="AB74">
            <v>9.4929162280565308E-3</v>
          </cell>
        </row>
        <row r="75">
          <cell r="Y75">
            <v>0.720421369471407</v>
          </cell>
          <cell r="Z75">
            <v>0</v>
          </cell>
        </row>
        <row r="76">
          <cell r="Z76">
            <v>0</v>
          </cell>
        </row>
        <row r="77">
          <cell r="Z77">
            <v>0</v>
          </cell>
        </row>
        <row r="78">
          <cell r="Y78">
            <v>5.41106961502303E-2</v>
          </cell>
          <cell r="Z78">
            <v>0</v>
          </cell>
          <cell r="AA78" t="str">
            <v>UCC 500</v>
          </cell>
          <cell r="AB78" t="str">
            <v>UCC 510</v>
          </cell>
          <cell r="AC78" t="str">
            <v>UCC 802</v>
          </cell>
        </row>
        <row r="79">
          <cell r="Y79">
            <v>2.74213668635234E-3</v>
          </cell>
          <cell r="Z79">
            <v>501</v>
          </cell>
          <cell r="AA79">
            <v>5.0676425946160501E-2</v>
          </cell>
          <cell r="AB79">
            <v>0</v>
          </cell>
          <cell r="AC79">
            <v>9.8081054377004602E-3</v>
          </cell>
        </row>
        <row r="80">
          <cell r="Y80">
            <v>0</v>
          </cell>
          <cell r="Z80">
            <v>510</v>
          </cell>
          <cell r="AA80">
            <v>0</v>
          </cell>
          <cell r="AB80">
            <v>0</v>
          </cell>
          <cell r="AC80">
            <v>0</v>
          </cell>
        </row>
        <row r="81">
          <cell r="Y81">
            <v>4.9220238023240399E-3</v>
          </cell>
          <cell r="Z81">
            <v>511</v>
          </cell>
          <cell r="AA81">
            <v>9.0962123064518896E-2</v>
          </cell>
          <cell r="AB81">
            <v>0.62728885522715205</v>
          </cell>
          <cell r="AC81">
            <v>1.7605150268524002E-2</v>
          </cell>
        </row>
        <row r="82">
          <cell r="Y82">
            <v>2.9150460350218601E-3</v>
          </cell>
          <cell r="Z82">
            <v>512</v>
          </cell>
          <cell r="AA82">
            <v>5.38719004266488E-2</v>
          </cell>
          <cell r="AB82">
            <v>0.37150894909933302</v>
          </cell>
          <cell r="AC82">
            <v>1.04265695468586E-2</v>
          </cell>
        </row>
        <row r="83">
          <cell r="Y83">
            <v>9.4330318015112206E-6</v>
          </cell>
          <cell r="Z83">
            <v>513</v>
          </cell>
          <cell r="AA83">
            <v>1.7432841328305599E-4</v>
          </cell>
          <cell r="AB83">
            <v>1.20219567351489E-3</v>
          </cell>
          <cell r="AC83">
            <v>3.3740174575132601E-5</v>
          </cell>
        </row>
        <row r="84">
          <cell r="Y84">
            <v>2.19891710468345E-2</v>
          </cell>
          <cell r="Z84">
            <v>520</v>
          </cell>
          <cell r="AA84">
            <v>0.40637383384949999</v>
          </cell>
          <cell r="AB84">
            <v>0</v>
          </cell>
          <cell r="AC84">
            <v>7.8651115091522103E-2</v>
          </cell>
        </row>
        <row r="85">
          <cell r="Y85">
            <v>6.8122666972948395E-4</v>
          </cell>
          <cell r="Z85">
            <v>521</v>
          </cell>
          <cell r="AA85">
            <v>1.25895011189315E-2</v>
          </cell>
          <cell r="AB85">
            <v>0</v>
          </cell>
          <cell r="AC85">
            <v>2.4366192381781999E-3</v>
          </cell>
        </row>
        <row r="86">
          <cell r="Y86">
            <v>3.65175496455387E-3</v>
          </cell>
          <cell r="Z86">
            <v>522</v>
          </cell>
          <cell r="AA86">
            <v>6.7486748912180206E-2</v>
          </cell>
          <cell r="AB86">
            <v>0</v>
          </cell>
          <cell r="AC86">
            <v>1.3061638357873001E-2</v>
          </cell>
        </row>
        <row r="87">
          <cell r="Y87">
            <v>0</v>
          </cell>
          <cell r="Z87">
            <v>523</v>
          </cell>
          <cell r="AA87">
            <v>0</v>
          </cell>
          <cell r="AB87">
            <v>0</v>
          </cell>
          <cell r="AC87">
            <v>0</v>
          </cell>
        </row>
        <row r="88">
          <cell r="Y88">
            <v>1.19496714626757E-3</v>
          </cell>
          <cell r="Z88">
            <v>524</v>
          </cell>
          <cell r="AA88">
            <v>2.2083751111793601E-2</v>
          </cell>
          <cell r="AB88">
            <v>0</v>
          </cell>
          <cell r="AC88">
            <v>4.2741719708987696E-3</v>
          </cell>
        </row>
        <row r="89">
          <cell r="Y89">
            <v>1.2902366177907101E-2</v>
          </cell>
          <cell r="Z89">
            <v>525</v>
          </cell>
          <cell r="AA89">
            <v>0.238443913973785</v>
          </cell>
          <cell r="AB89">
            <v>0</v>
          </cell>
          <cell r="AC89">
            <v>4.6149328915135499E-2</v>
          </cell>
        </row>
        <row r="90">
          <cell r="Y90">
            <v>2.0893346085865999E-3</v>
          </cell>
          <cell r="Z90">
            <v>526</v>
          </cell>
          <cell r="AA90">
            <v>3.8612229323124497E-2</v>
          </cell>
          <cell r="AB90">
            <v>0</v>
          </cell>
          <cell r="AC90">
            <v>7.4731556007565604E-3</v>
          </cell>
        </row>
        <row r="91">
          <cell r="Y91">
            <v>0</v>
          </cell>
          <cell r="Z91">
            <v>527</v>
          </cell>
          <cell r="AA91">
            <v>0</v>
          </cell>
          <cell r="AB91">
            <v>0</v>
          </cell>
          <cell r="AC91">
            <v>0</v>
          </cell>
        </row>
        <row r="92">
          <cell r="Y92">
            <v>1.01323598085141E-3</v>
          </cell>
          <cell r="Z92">
            <v>540</v>
          </cell>
          <cell r="AA92">
            <v>1.8725243860073699E-2</v>
          </cell>
          <cell r="AB92">
            <v>0</v>
          </cell>
          <cell r="AC92">
            <v>3.6241538880697399E-3</v>
          </cell>
        </row>
        <row r="93">
          <cell r="Y93">
            <v>0.22546793437836199</v>
          </cell>
          <cell r="Z93">
            <v>0</v>
          </cell>
          <cell r="AA93" t="str">
            <v>UCC 300</v>
          </cell>
          <cell r="AB93">
            <v>0</v>
          </cell>
          <cell r="AC93">
            <v>0</v>
          </cell>
        </row>
        <row r="94">
          <cell r="Y94">
            <v>0.206656660879358</v>
          </cell>
          <cell r="Z94">
            <v>601</v>
          </cell>
          <cell r="AA94">
            <v>0.45</v>
          </cell>
          <cell r="AB94">
            <v>0</v>
          </cell>
          <cell r="AC94">
            <v>0.73917187622186098</v>
          </cell>
        </row>
        <row r="95">
          <cell r="Y95">
            <v>2.3298697156248901E-3</v>
          </cell>
          <cell r="Z95">
            <v>602</v>
          </cell>
          <cell r="AA95">
            <v>0</v>
          </cell>
          <cell r="AB95">
            <v>0</v>
          </cell>
          <cell r="AC95">
            <v>8.3335042854307591E-3</v>
          </cell>
        </row>
        <row r="96">
          <cell r="Y96">
            <v>1.39519477286703E-2</v>
          </cell>
          <cell r="Z96">
            <v>603</v>
          </cell>
          <cell r="AA96">
            <v>0</v>
          </cell>
          <cell r="AB96">
            <v>0</v>
          </cell>
          <cell r="AC96">
            <v>4.9903484047731698E-2</v>
          </cell>
        </row>
        <row r="97">
          <cell r="Y97">
            <v>2.5294560547088202E-3</v>
          </cell>
          <cell r="Z97">
            <v>604</v>
          </cell>
          <cell r="AA97">
            <v>0</v>
          </cell>
          <cell r="AB97">
            <v>0</v>
          </cell>
          <cell r="AC97">
            <v>9.0473869548843497E-3</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0.23698295087111601</v>
          </cell>
          <cell r="Z54">
            <v>0</v>
          </cell>
          <cell r="AA54">
            <v>0</v>
          </cell>
          <cell r="AB54" t="str">
            <v>UCC 801</v>
          </cell>
        </row>
        <row r="55">
          <cell r="Y55">
            <v>9.9599641230363901E-3</v>
          </cell>
          <cell r="Z55">
            <v>101</v>
          </cell>
          <cell r="AA55">
            <v>0</v>
          </cell>
          <cell r="AB55">
            <v>1.38251925124657E-2</v>
          </cell>
        </row>
        <row r="56">
          <cell r="Y56">
            <v>1.02674510796912E-4</v>
          </cell>
          <cell r="Z56">
            <v>102</v>
          </cell>
          <cell r="AA56">
            <v>0</v>
          </cell>
          <cell r="AB56">
            <v>1.4252007942552701E-4</v>
          </cell>
        </row>
        <row r="57">
          <cell r="Y57">
            <v>1.89629315040784E-5</v>
          </cell>
          <cell r="Z57">
            <v>108</v>
          </cell>
          <cell r="AA57">
            <v>0</v>
          </cell>
          <cell r="AB57">
            <v>2.6322000301007201E-5</v>
          </cell>
        </row>
        <row r="58">
          <cell r="Y58">
            <v>5.2980187022685303E-2</v>
          </cell>
          <cell r="Z58">
            <v>120</v>
          </cell>
          <cell r="AA58">
            <v>0</v>
          </cell>
          <cell r="AB58">
            <v>7.3540554552897694E-2</v>
          </cell>
        </row>
        <row r="59">
          <cell r="Y59">
            <v>1.6941294285856799E-3</v>
          </cell>
          <cell r="Z59">
            <v>121</v>
          </cell>
          <cell r="AA59">
            <v>0</v>
          </cell>
          <cell r="AB59">
            <v>2.3515813111272799E-3</v>
          </cell>
        </row>
        <row r="60">
          <cell r="Y60">
            <v>0.14748024465541501</v>
          </cell>
          <cell r="Z60">
            <v>130</v>
          </cell>
          <cell r="AA60">
            <v>0</v>
          </cell>
          <cell r="AB60">
            <v>0.204713867335203</v>
          </cell>
        </row>
        <row r="61">
          <cell r="Y61">
            <v>2.4741134505622799E-2</v>
          </cell>
          <cell r="Z61">
            <v>141</v>
          </cell>
          <cell r="AA61">
            <v>0</v>
          </cell>
          <cell r="AB61">
            <v>3.4342588315746402E-2</v>
          </cell>
        </row>
        <row r="62">
          <cell r="Y62">
            <v>5.6536934698964502E-6</v>
          </cell>
          <cell r="Z62">
            <v>142</v>
          </cell>
          <cell r="AA62">
            <v>0</v>
          </cell>
          <cell r="AB62">
            <v>7.8477592551768907E-6</v>
          </cell>
        </row>
        <row r="63">
          <cell r="Y63">
            <v>1.6283764154209699E-3</v>
          </cell>
          <cell r="Z63">
            <v>0</v>
          </cell>
          <cell r="AA63">
            <v>0</v>
          </cell>
          <cell r="AB63">
            <v>0</v>
          </cell>
        </row>
        <row r="64">
          <cell r="Y64">
            <v>1.6283764154209699E-3</v>
          </cell>
          <cell r="Z64">
            <v>134</v>
          </cell>
          <cell r="AA64">
            <v>0</v>
          </cell>
          <cell r="AB64">
            <v>2.2603110962904301E-3</v>
          </cell>
        </row>
        <row r="65">
          <cell r="Y65">
            <v>6.19191471346602E-2</v>
          </cell>
          <cell r="Z65">
            <v>0</v>
          </cell>
          <cell r="AA65" t="str">
            <v>UCC 200</v>
          </cell>
          <cell r="AB65">
            <v>0</v>
          </cell>
        </row>
        <row r="66">
          <cell r="Y66">
            <v>3.0276146362615799E-2</v>
          </cell>
          <cell r="Z66">
            <v>201</v>
          </cell>
          <cell r="AA66">
            <v>0.49351464441813597</v>
          </cell>
          <cell r="AB66">
            <v>4.2025608408632002E-2</v>
          </cell>
        </row>
        <row r="67">
          <cell r="Y67">
            <v>3.1071873812777401E-2</v>
          </cell>
          <cell r="Z67">
            <v>202</v>
          </cell>
          <cell r="AA67">
            <v>0.50648535558186403</v>
          </cell>
          <cell r="AB67">
            <v>4.31301390123612E-2</v>
          </cell>
        </row>
        <row r="68">
          <cell r="Y68">
            <v>4.49200941618554E-5</v>
          </cell>
          <cell r="Z68">
            <v>203</v>
          </cell>
          <cell r="AA68">
            <v>0</v>
          </cell>
          <cell r="AB68">
            <v>6.2352528763568604E-5</v>
          </cell>
        </row>
        <row r="69">
          <cell r="Y69">
            <v>5.2620686510519005E-4</v>
          </cell>
          <cell r="Z69">
            <v>204</v>
          </cell>
          <cell r="AA69">
            <v>0</v>
          </cell>
          <cell r="AB69">
            <v>7.3041540326778699E-4</v>
          </cell>
        </row>
        <row r="70">
          <cell r="Y70">
            <v>0.41989089505020999</v>
          </cell>
          <cell r="Z70">
            <v>0</v>
          </cell>
          <cell r="AA70" t="str">
            <v>UCC 300</v>
          </cell>
          <cell r="AB70">
            <v>0</v>
          </cell>
        </row>
        <row r="71">
          <cell r="Y71">
            <v>0.351169366553163</v>
          </cell>
          <cell r="Z71">
            <v>301</v>
          </cell>
          <cell r="AA71">
            <v>0.549550775957237</v>
          </cell>
          <cell r="AB71">
            <v>0.48744995836370802</v>
          </cell>
        </row>
        <row r="72">
          <cell r="Y72">
            <v>4.5561815219517099E-4</v>
          </cell>
          <cell r="Z72">
            <v>302</v>
          </cell>
          <cell r="AA72">
            <v>4.49224042762632E-4</v>
          </cell>
          <cell r="AB72">
            <v>6.3243286707259996E-4</v>
          </cell>
        </row>
        <row r="73">
          <cell r="Y73">
            <v>6.14270106355582E-2</v>
          </cell>
          <cell r="Z73">
            <v>303</v>
          </cell>
          <cell r="AA73">
            <v>0</v>
          </cell>
          <cell r="AB73">
            <v>8.5265392225426104E-2</v>
          </cell>
        </row>
        <row r="74">
          <cell r="Y74">
            <v>6.8388997092938301E-3</v>
          </cell>
          <cell r="Z74">
            <v>307</v>
          </cell>
          <cell r="AA74">
            <v>0</v>
          </cell>
          <cell r="AB74">
            <v>9.4929162280565308E-3</v>
          </cell>
        </row>
        <row r="75">
          <cell r="Y75">
            <v>0.720421369471407</v>
          </cell>
          <cell r="Z75">
            <v>0</v>
          </cell>
        </row>
        <row r="76">
          <cell r="Z76">
            <v>0</v>
          </cell>
        </row>
        <row r="77">
          <cell r="Z77">
            <v>0</v>
          </cell>
        </row>
        <row r="78">
          <cell r="Y78">
            <v>5.41106961502303E-2</v>
          </cell>
          <cell r="Z78">
            <v>0</v>
          </cell>
          <cell r="AA78" t="str">
            <v>UCC 500</v>
          </cell>
          <cell r="AB78" t="str">
            <v>UCC 510</v>
          </cell>
          <cell r="AC78" t="str">
            <v>UCC 802</v>
          </cell>
        </row>
        <row r="79">
          <cell r="Y79">
            <v>2.74213668635234E-3</v>
          </cell>
          <cell r="Z79">
            <v>501</v>
          </cell>
          <cell r="AA79">
            <v>5.0676425946160501E-2</v>
          </cell>
          <cell r="AB79">
            <v>0</v>
          </cell>
          <cell r="AC79">
            <v>9.8081054377004602E-3</v>
          </cell>
        </row>
        <row r="80">
          <cell r="Y80">
            <v>0</v>
          </cell>
          <cell r="Z80">
            <v>510</v>
          </cell>
          <cell r="AA80">
            <v>0</v>
          </cell>
          <cell r="AB80">
            <v>0</v>
          </cell>
          <cell r="AC80">
            <v>0</v>
          </cell>
        </row>
        <row r="81">
          <cell r="Y81">
            <v>4.9220238023240399E-3</v>
          </cell>
          <cell r="Z81">
            <v>511</v>
          </cell>
          <cell r="AA81">
            <v>9.0962123064518896E-2</v>
          </cell>
          <cell r="AB81">
            <v>0.62728885522715205</v>
          </cell>
          <cell r="AC81">
            <v>1.7605150268524002E-2</v>
          </cell>
        </row>
        <row r="82">
          <cell r="Y82">
            <v>2.9150460350218601E-3</v>
          </cell>
          <cell r="Z82">
            <v>512</v>
          </cell>
          <cell r="AA82">
            <v>5.38719004266488E-2</v>
          </cell>
          <cell r="AB82">
            <v>0.37150894909933302</v>
          </cell>
          <cell r="AC82">
            <v>1.04265695468586E-2</v>
          </cell>
        </row>
        <row r="83">
          <cell r="Y83">
            <v>9.4330318015112206E-6</v>
          </cell>
          <cell r="Z83">
            <v>513</v>
          </cell>
          <cell r="AA83">
            <v>1.7432841328305599E-4</v>
          </cell>
          <cell r="AB83">
            <v>1.20219567351489E-3</v>
          </cell>
          <cell r="AC83">
            <v>3.3740174575132601E-5</v>
          </cell>
        </row>
        <row r="84">
          <cell r="Y84">
            <v>2.19891710468345E-2</v>
          </cell>
          <cell r="Z84">
            <v>520</v>
          </cell>
          <cell r="AA84">
            <v>0.40637383384949999</v>
          </cell>
          <cell r="AB84">
            <v>0</v>
          </cell>
          <cell r="AC84">
            <v>7.8651115091522103E-2</v>
          </cell>
        </row>
        <row r="85">
          <cell r="Y85">
            <v>6.8122666972948395E-4</v>
          </cell>
          <cell r="Z85">
            <v>521</v>
          </cell>
          <cell r="AA85">
            <v>1.25895011189315E-2</v>
          </cell>
          <cell r="AB85">
            <v>0</v>
          </cell>
          <cell r="AC85">
            <v>2.4366192381781999E-3</v>
          </cell>
        </row>
        <row r="86">
          <cell r="Y86">
            <v>3.65175496455387E-3</v>
          </cell>
          <cell r="Z86">
            <v>522</v>
          </cell>
          <cell r="AA86">
            <v>6.7486748912180206E-2</v>
          </cell>
          <cell r="AB86">
            <v>0</v>
          </cell>
          <cell r="AC86">
            <v>1.3061638357873001E-2</v>
          </cell>
        </row>
        <row r="87">
          <cell r="Y87">
            <v>0</v>
          </cell>
          <cell r="Z87">
            <v>523</v>
          </cell>
          <cell r="AA87">
            <v>0</v>
          </cell>
          <cell r="AB87">
            <v>0</v>
          </cell>
          <cell r="AC87">
            <v>0</v>
          </cell>
        </row>
        <row r="88">
          <cell r="Y88">
            <v>1.19496714626757E-3</v>
          </cell>
          <cell r="Z88">
            <v>524</v>
          </cell>
          <cell r="AA88">
            <v>2.2083751111793601E-2</v>
          </cell>
          <cell r="AB88">
            <v>0</v>
          </cell>
          <cell r="AC88">
            <v>4.2741719708987696E-3</v>
          </cell>
        </row>
        <row r="89">
          <cell r="Y89">
            <v>1.2902366177907101E-2</v>
          </cell>
          <cell r="Z89">
            <v>525</v>
          </cell>
          <cell r="AA89">
            <v>0.238443913973785</v>
          </cell>
          <cell r="AB89">
            <v>0</v>
          </cell>
          <cell r="AC89">
            <v>4.6149328915135499E-2</v>
          </cell>
        </row>
        <row r="90">
          <cell r="Y90">
            <v>2.0893346085865999E-3</v>
          </cell>
          <cell r="Z90">
            <v>526</v>
          </cell>
          <cell r="AA90">
            <v>3.8612229323124497E-2</v>
          </cell>
          <cell r="AB90">
            <v>0</v>
          </cell>
          <cell r="AC90">
            <v>7.4731556007565604E-3</v>
          </cell>
        </row>
        <row r="91">
          <cell r="Y91">
            <v>0</v>
          </cell>
          <cell r="Z91">
            <v>527</v>
          </cell>
          <cell r="AA91">
            <v>0</v>
          </cell>
          <cell r="AB91">
            <v>0</v>
          </cell>
          <cell r="AC91">
            <v>0</v>
          </cell>
        </row>
        <row r="92">
          <cell r="Y92">
            <v>1.01323598085141E-3</v>
          </cell>
          <cell r="Z92">
            <v>540</v>
          </cell>
          <cell r="AA92">
            <v>1.8725243860073699E-2</v>
          </cell>
          <cell r="AB92">
            <v>0</v>
          </cell>
          <cell r="AC92">
            <v>3.6241538880697399E-3</v>
          </cell>
        </row>
        <row r="93">
          <cell r="Y93">
            <v>0.22546793437836199</v>
          </cell>
          <cell r="Z93">
            <v>0</v>
          </cell>
          <cell r="AA93" t="str">
            <v>UCC 300</v>
          </cell>
          <cell r="AB93">
            <v>0</v>
          </cell>
          <cell r="AC93">
            <v>0</v>
          </cell>
        </row>
        <row r="94">
          <cell r="Y94">
            <v>0.206656660879358</v>
          </cell>
          <cell r="Z94">
            <v>601</v>
          </cell>
          <cell r="AA94">
            <v>0.45</v>
          </cell>
          <cell r="AB94">
            <v>0</v>
          </cell>
          <cell r="AC94">
            <v>0.73917187622186098</v>
          </cell>
        </row>
        <row r="95">
          <cell r="Y95">
            <v>2.3298697156248901E-3</v>
          </cell>
          <cell r="Z95">
            <v>602</v>
          </cell>
          <cell r="AA95">
            <v>0</v>
          </cell>
          <cell r="AB95">
            <v>0</v>
          </cell>
          <cell r="AC95">
            <v>8.3335042854307591E-3</v>
          </cell>
        </row>
        <row r="96">
          <cell r="Y96">
            <v>1.39519477286703E-2</v>
          </cell>
          <cell r="Z96">
            <v>603</v>
          </cell>
          <cell r="AA96">
            <v>0</v>
          </cell>
          <cell r="AB96">
            <v>0</v>
          </cell>
          <cell r="AC96">
            <v>4.9903484047731698E-2</v>
          </cell>
        </row>
        <row r="97">
          <cell r="Y97">
            <v>2.5294560547088202E-3</v>
          </cell>
          <cell r="Z97">
            <v>604</v>
          </cell>
          <cell r="AA97">
            <v>0</v>
          </cell>
          <cell r="AB97">
            <v>0</v>
          </cell>
          <cell r="AC97">
            <v>9.0473869548843497E-3</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5:G17"/>
  <sheetViews>
    <sheetView view="pageBreakPreview" zoomScale="130" zoomScaleNormal="100" zoomScaleSheetLayoutView="130" workbookViewId="0">
      <selection activeCell="G13" sqref="G13"/>
    </sheetView>
  </sheetViews>
  <sheetFormatPr defaultRowHeight="15"/>
  <sheetData>
    <row r="5" spans="1:7" ht="20.25">
      <c r="A5" s="956"/>
      <c r="B5" s="956"/>
      <c r="C5" s="956"/>
      <c r="D5" s="956"/>
      <c r="E5" s="956"/>
      <c r="F5" s="956"/>
    </row>
    <row r="6" spans="1:7" ht="20.25">
      <c r="A6" s="956"/>
      <c r="B6" s="956"/>
      <c r="C6" s="956"/>
      <c r="D6" s="956"/>
      <c r="E6" s="956"/>
      <c r="F6" s="956"/>
    </row>
    <row r="7" spans="1:7" ht="20.25">
      <c r="A7" s="956"/>
      <c r="B7" s="956"/>
      <c r="C7" s="956"/>
      <c r="D7" s="956"/>
      <c r="E7" s="956"/>
      <c r="F7" s="956"/>
    </row>
    <row r="8" spans="1:7" ht="20.25">
      <c r="A8" s="71"/>
      <c r="B8" s="71"/>
      <c r="C8" s="71"/>
      <c r="D8" s="71"/>
      <c r="E8" s="71"/>
      <c r="F8" s="71"/>
    </row>
    <row r="9" spans="1:7">
      <c r="A9" s="70"/>
      <c r="B9" s="70"/>
      <c r="C9" s="70"/>
      <c r="D9" s="70"/>
      <c r="E9" s="70"/>
      <c r="F9" s="70"/>
    </row>
    <row r="10" spans="1:7" ht="18.75">
      <c r="A10" s="957" t="s">
        <v>108</v>
      </c>
      <c r="B10" s="957"/>
      <c r="C10" s="957"/>
      <c r="D10" s="957"/>
      <c r="E10" s="957"/>
      <c r="F10" s="957"/>
      <c r="G10" s="957"/>
    </row>
    <row r="11" spans="1:7" ht="18.75">
      <c r="A11" s="957" t="s">
        <v>944</v>
      </c>
      <c r="B11" s="957"/>
      <c r="C11" s="957"/>
      <c r="D11" s="957"/>
      <c r="E11" s="957"/>
      <c r="F11" s="957"/>
      <c r="G11" s="957"/>
    </row>
    <row r="12" spans="1:7" ht="18.75">
      <c r="A12" s="72"/>
      <c r="B12" s="72"/>
      <c r="C12" s="72"/>
      <c r="D12" s="72"/>
      <c r="E12" s="72"/>
      <c r="F12" s="72"/>
    </row>
    <row r="13" spans="1:7" ht="18.75">
      <c r="A13" s="957" t="s">
        <v>1285</v>
      </c>
      <c r="B13" s="957"/>
      <c r="C13" s="957"/>
      <c r="D13" s="957"/>
      <c r="E13" s="957"/>
      <c r="F13" s="957"/>
      <c r="G13" s="957"/>
    </row>
    <row r="14" spans="1:7" ht="18.75">
      <c r="A14" s="957" t="s">
        <v>138</v>
      </c>
      <c r="B14" s="957"/>
      <c r="C14" s="957"/>
      <c r="D14" s="957"/>
      <c r="E14" s="957"/>
      <c r="F14" s="957"/>
      <c r="G14" s="957"/>
    </row>
    <row r="15" spans="1:7" ht="20.25">
      <c r="A15" s="956"/>
      <c r="B15" s="956"/>
      <c r="C15" s="956"/>
      <c r="D15" s="956"/>
      <c r="E15" s="956"/>
      <c r="F15" s="956"/>
    </row>
    <row r="16" spans="1:7">
      <c r="A16" s="70"/>
      <c r="B16" s="70"/>
      <c r="C16" s="70"/>
      <c r="D16" s="70"/>
      <c r="E16" s="70"/>
      <c r="F16" s="70"/>
    </row>
    <row r="17" spans="1:6">
      <c r="A17" s="70"/>
      <c r="B17" s="70"/>
      <c r="C17" s="70"/>
      <c r="D17" s="70"/>
      <c r="E17" s="70"/>
      <c r="F17" s="70"/>
    </row>
  </sheetData>
  <mergeCells count="8">
    <mergeCell ref="A5:F5"/>
    <mergeCell ref="A6:F6"/>
    <mergeCell ref="A7:F7"/>
    <mergeCell ref="A15:F15"/>
    <mergeCell ref="A13:G13"/>
    <mergeCell ref="A14:G14"/>
    <mergeCell ref="A10:G10"/>
    <mergeCell ref="A11:G11"/>
  </mergeCells>
  <printOptions horizontalCentered="1"/>
  <pageMargins left="1" right="1" top="1" bottom="1" header="0.5" footer="0.5"/>
  <pageSetup fitToHeight="0" orientation="portrait" r:id="rId1"/>
  <headerFooter>
    <oddFooter>&amp;C&amp;1#&amp;"Calibri"&amp;12&amp;K000000Internal</oddFoot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53C9-E3D9-43FD-B59E-1F24872CBF24}">
  <sheetPr codeName="Sheet12">
    <pageSetUpPr fitToPage="1"/>
  </sheetPr>
  <dimension ref="A1:I95"/>
  <sheetViews>
    <sheetView view="pageBreakPreview" topLeftCell="C1" zoomScaleNormal="90" zoomScaleSheetLayoutView="100" zoomScalePageLayoutView="70" workbookViewId="0">
      <selection activeCell="G13" sqref="G13"/>
    </sheetView>
  </sheetViews>
  <sheetFormatPr defaultColWidth="9.140625" defaultRowHeight="15"/>
  <cols>
    <col min="1" max="1" width="5.42578125" customWidth="1"/>
    <col min="2" max="2" width="16.85546875" style="317" customWidth="1"/>
    <col min="3" max="3" width="50.7109375" style="317" bestFit="1" customWidth="1"/>
    <col min="4" max="4" width="21.42578125" style="317" customWidth="1"/>
    <col min="5" max="5" width="22.42578125" style="317" customWidth="1"/>
    <col min="6" max="7" width="23.85546875" style="317" customWidth="1"/>
    <col min="8" max="8" width="39.140625" style="317" bestFit="1" customWidth="1"/>
    <col min="9" max="9" width="5.42578125" customWidth="1"/>
  </cols>
  <sheetData>
    <row r="1" spans="1:9">
      <c r="B1" s="184" t="s">
        <v>981</v>
      </c>
      <c r="E1" s="135"/>
      <c r="G1" s="116"/>
      <c r="H1" s="8" t="str">
        <f>CONCATENATE("Prior Year: ",'1-DRR'!$K$2)</f>
        <v>Prior Year: 2021</v>
      </c>
    </row>
    <row r="2" spans="1:9">
      <c r="B2" s="106" t="s">
        <v>122</v>
      </c>
      <c r="C2" s="106"/>
      <c r="G2" s="116"/>
      <c r="H2" s="116"/>
    </row>
    <row r="4" spans="1:9">
      <c r="B4" s="136" t="s">
        <v>1040</v>
      </c>
      <c r="C4" s="138"/>
      <c r="D4" s="138"/>
      <c r="E4" s="137"/>
      <c r="F4" s="137"/>
      <c r="G4" s="137"/>
      <c r="H4" s="137"/>
    </row>
    <row r="5" spans="1:9">
      <c r="B5" t="s">
        <v>1069</v>
      </c>
      <c r="C5"/>
      <c r="D5"/>
      <c r="E5"/>
      <c r="F5"/>
      <c r="G5"/>
      <c r="H5"/>
    </row>
    <row r="6" spans="1:9">
      <c r="B6"/>
      <c r="C6"/>
      <c r="D6"/>
      <c r="E6"/>
      <c r="F6"/>
      <c r="G6"/>
      <c r="H6"/>
    </row>
    <row r="7" spans="1:9">
      <c r="D7" s="394" t="s">
        <v>62</v>
      </c>
      <c r="E7" s="394" t="s">
        <v>63</v>
      </c>
      <c r="F7" s="394" t="s">
        <v>64</v>
      </c>
      <c r="G7" s="394" t="s">
        <v>65</v>
      </c>
      <c r="H7" s="394" t="s">
        <v>66</v>
      </c>
    </row>
    <row r="8" spans="1:9">
      <c r="A8" s="139"/>
      <c r="B8" s="139"/>
      <c r="C8" s="139"/>
      <c r="D8" s="139"/>
      <c r="E8" s="139"/>
      <c r="F8" s="139" t="s">
        <v>87</v>
      </c>
      <c r="G8" s="139" t="s">
        <v>1098</v>
      </c>
      <c r="H8" s="139"/>
      <c r="I8" s="139"/>
    </row>
    <row r="9" spans="1:9">
      <c r="A9" s="139"/>
      <c r="B9" s="139"/>
      <c r="C9" s="139"/>
      <c r="D9" s="139"/>
      <c r="E9" s="139"/>
      <c r="F9" s="139" t="s">
        <v>88</v>
      </c>
      <c r="G9" s="139"/>
      <c r="H9" s="139"/>
      <c r="I9" s="139"/>
    </row>
    <row r="10" spans="1:9">
      <c r="B10" s="184"/>
      <c r="C10" s="184"/>
      <c r="D10" s="320" t="s">
        <v>184</v>
      </c>
      <c r="E10" s="320"/>
      <c r="F10" s="320"/>
      <c r="G10" s="115" t="s">
        <v>212</v>
      </c>
      <c r="H10" s="639"/>
    </row>
    <row r="11" spans="1:9">
      <c r="A11" s="324" t="s">
        <v>86</v>
      </c>
      <c r="B11" s="324" t="s">
        <v>186</v>
      </c>
      <c r="C11" s="324" t="s">
        <v>187</v>
      </c>
      <c r="D11" s="324" t="s">
        <v>928</v>
      </c>
      <c r="E11" s="324" t="s">
        <v>188</v>
      </c>
      <c r="F11" s="324" t="s">
        <v>189</v>
      </c>
      <c r="G11" s="324" t="s">
        <v>928</v>
      </c>
      <c r="H11" s="3" t="s">
        <v>1099</v>
      </c>
      <c r="I11" s="324" t="str">
        <f t="shared" ref="I11:I27" si="0">A11</f>
        <v>Line</v>
      </c>
    </row>
    <row r="12" spans="1:9">
      <c r="A12" s="320">
        <v>100</v>
      </c>
      <c r="B12" s="318">
        <v>360</v>
      </c>
      <c r="C12" s="589" t="s">
        <v>190</v>
      </c>
      <c r="D12" s="382">
        <v>182207754</v>
      </c>
      <c r="E12" s="548" t="s">
        <v>982</v>
      </c>
      <c r="F12" s="382">
        <v>-34031.040000000001</v>
      </c>
      <c r="G12" s="165">
        <f>D12+F12</f>
        <v>182173722.96000001</v>
      </c>
      <c r="H12" s="709" t="s">
        <v>1115</v>
      </c>
      <c r="I12" s="320">
        <f t="shared" si="0"/>
        <v>100</v>
      </c>
    </row>
    <row r="13" spans="1:9">
      <c r="A13" s="320">
        <f t="shared" ref="A13:A27" si="1">A12+1</f>
        <v>101</v>
      </c>
      <c r="B13" s="318">
        <v>361</v>
      </c>
      <c r="C13" s="589" t="s">
        <v>191</v>
      </c>
      <c r="D13" s="382">
        <v>337164005</v>
      </c>
      <c r="E13" s="548" t="s">
        <v>983</v>
      </c>
      <c r="F13" s="382"/>
      <c r="G13" s="165">
        <f t="shared" ref="G13:G26" si="2">D13+F13</f>
        <v>337164005</v>
      </c>
      <c r="H13" s="709" t="s">
        <v>1116</v>
      </c>
      <c r="I13" s="320">
        <f t="shared" si="0"/>
        <v>101</v>
      </c>
    </row>
    <row r="14" spans="1:9">
      <c r="A14" s="320">
        <f t="shared" si="1"/>
        <v>102</v>
      </c>
      <c r="B14" s="318">
        <v>362</v>
      </c>
      <c r="C14" s="589" t="s">
        <v>192</v>
      </c>
      <c r="D14" s="382">
        <v>4059160488</v>
      </c>
      <c r="E14" s="548" t="s">
        <v>984</v>
      </c>
      <c r="F14" s="382">
        <v>641930.57999229431</v>
      </c>
      <c r="G14" s="165">
        <f t="shared" si="2"/>
        <v>4059802418.5799923</v>
      </c>
      <c r="H14" s="709" t="s">
        <v>1117</v>
      </c>
      <c r="I14" s="320">
        <f t="shared" si="0"/>
        <v>102</v>
      </c>
    </row>
    <row r="15" spans="1:9">
      <c r="A15" s="320">
        <f t="shared" si="1"/>
        <v>103</v>
      </c>
      <c r="B15" s="318">
        <v>363</v>
      </c>
      <c r="C15" t="s">
        <v>985</v>
      </c>
      <c r="D15" s="382">
        <v>30390068</v>
      </c>
      <c r="E15" s="548" t="s">
        <v>986</v>
      </c>
      <c r="F15" s="382"/>
      <c r="G15" s="165">
        <f t="shared" si="2"/>
        <v>30390068</v>
      </c>
      <c r="H15" s="709" t="s">
        <v>1118</v>
      </c>
      <c r="I15" s="320">
        <f t="shared" si="0"/>
        <v>103</v>
      </c>
    </row>
    <row r="16" spans="1:9">
      <c r="A16" s="320">
        <f t="shared" si="1"/>
        <v>104</v>
      </c>
      <c r="B16" s="318">
        <v>364</v>
      </c>
      <c r="C16" t="s">
        <v>987</v>
      </c>
      <c r="D16" s="382">
        <v>7202854820</v>
      </c>
      <c r="E16" s="548" t="s">
        <v>988</v>
      </c>
      <c r="F16" s="382">
        <v>-267606695.25000191</v>
      </c>
      <c r="G16" s="165">
        <f t="shared" si="2"/>
        <v>6935248124.7499981</v>
      </c>
      <c r="H16" s="709" t="s">
        <v>1119</v>
      </c>
      <c r="I16" s="320">
        <f t="shared" si="0"/>
        <v>104</v>
      </c>
    </row>
    <row r="17" spans="1:9">
      <c r="A17" s="320">
        <f t="shared" si="1"/>
        <v>105</v>
      </c>
      <c r="B17" s="318">
        <v>365</v>
      </c>
      <c r="C17" t="s">
        <v>193</v>
      </c>
      <c r="D17" s="382">
        <v>5736575561</v>
      </c>
      <c r="E17" s="548" t="s">
        <v>989</v>
      </c>
      <c r="F17" s="382">
        <v>-278736103.45999908</v>
      </c>
      <c r="G17" s="165">
        <f t="shared" si="2"/>
        <v>5457839457.5400009</v>
      </c>
      <c r="H17" s="709" t="s">
        <v>1120</v>
      </c>
      <c r="I17" s="320">
        <f t="shared" si="0"/>
        <v>105</v>
      </c>
    </row>
    <row r="18" spans="1:9">
      <c r="A18" s="320">
        <f t="shared" si="1"/>
        <v>106</v>
      </c>
      <c r="B18" s="318">
        <v>366</v>
      </c>
      <c r="C18" t="s">
        <v>194</v>
      </c>
      <c r="D18" s="382">
        <v>3583942682</v>
      </c>
      <c r="E18" s="548" t="s">
        <v>990</v>
      </c>
      <c r="F18" s="382">
        <v>-40988004.129999161</v>
      </c>
      <c r="G18" s="165">
        <f t="shared" si="2"/>
        <v>3542954677.8700008</v>
      </c>
      <c r="H18" s="709" t="s">
        <v>1121</v>
      </c>
      <c r="I18" s="320">
        <f t="shared" si="0"/>
        <v>106</v>
      </c>
    </row>
    <row r="19" spans="1:9">
      <c r="A19" s="320">
        <f t="shared" si="1"/>
        <v>107</v>
      </c>
      <c r="B19" s="318">
        <v>367</v>
      </c>
      <c r="C19" t="s">
        <v>991</v>
      </c>
      <c r="D19" s="382">
        <v>5848855156</v>
      </c>
      <c r="E19" s="548" t="s">
        <v>992</v>
      </c>
      <c r="F19" s="382">
        <v>-70812637.020001411</v>
      </c>
      <c r="G19" s="165">
        <f t="shared" si="2"/>
        <v>5778042518.9799986</v>
      </c>
      <c r="H19" s="709" t="s">
        <v>1122</v>
      </c>
      <c r="I19" s="320">
        <f t="shared" si="0"/>
        <v>107</v>
      </c>
    </row>
    <row r="20" spans="1:9">
      <c r="A20" s="320">
        <f t="shared" si="1"/>
        <v>108</v>
      </c>
      <c r="B20" s="318">
        <v>368</v>
      </c>
      <c r="C20" t="s">
        <v>993</v>
      </c>
      <c r="D20" s="382">
        <v>5059838520</v>
      </c>
      <c r="E20" s="548" t="s">
        <v>994</v>
      </c>
      <c r="F20" s="382">
        <v>-51522548.340001106</v>
      </c>
      <c r="G20" s="165">
        <f t="shared" si="2"/>
        <v>5008315971.6599989</v>
      </c>
      <c r="H20" s="709" t="s">
        <v>1123</v>
      </c>
      <c r="I20" s="320">
        <f t="shared" si="0"/>
        <v>108</v>
      </c>
    </row>
    <row r="21" spans="1:9">
      <c r="A21" s="320">
        <f t="shared" si="1"/>
        <v>109</v>
      </c>
      <c r="B21" s="318">
        <v>369</v>
      </c>
      <c r="C21" t="s">
        <v>995</v>
      </c>
      <c r="D21" s="382">
        <v>3931558933</v>
      </c>
      <c r="E21" s="548" t="s">
        <v>996</v>
      </c>
      <c r="F21" s="382">
        <v>-16625112.189997673</v>
      </c>
      <c r="G21" s="165">
        <f t="shared" si="2"/>
        <v>3914933820.8100023</v>
      </c>
      <c r="H21" s="709" t="s">
        <v>1124</v>
      </c>
      <c r="I21" s="320">
        <f t="shared" si="0"/>
        <v>109</v>
      </c>
    </row>
    <row r="22" spans="1:9">
      <c r="A22" s="320">
        <f t="shared" si="1"/>
        <v>110</v>
      </c>
      <c r="B22" s="318">
        <v>370</v>
      </c>
      <c r="C22" t="s">
        <v>997</v>
      </c>
      <c r="D22" s="382">
        <v>1372456458</v>
      </c>
      <c r="E22" s="548" t="s">
        <v>998</v>
      </c>
      <c r="F22" s="382">
        <v>-3658208.370000124</v>
      </c>
      <c r="G22" s="165">
        <f t="shared" si="2"/>
        <v>1368798249.6299999</v>
      </c>
      <c r="H22" s="709" t="s">
        <v>1125</v>
      </c>
      <c r="I22" s="320">
        <f t="shared" si="0"/>
        <v>110</v>
      </c>
    </row>
    <row r="23" spans="1:9">
      <c r="A23" s="320">
        <f t="shared" si="1"/>
        <v>111</v>
      </c>
      <c r="B23" s="318">
        <v>371</v>
      </c>
      <c r="C23" t="s">
        <v>999</v>
      </c>
      <c r="D23" s="382">
        <v>31262235</v>
      </c>
      <c r="E23" s="548" t="s">
        <v>1000</v>
      </c>
      <c r="F23" s="382"/>
      <c r="G23" s="165">
        <f t="shared" si="2"/>
        <v>31262235</v>
      </c>
      <c r="H23" s="709" t="s">
        <v>1126</v>
      </c>
      <c r="I23" s="320">
        <f t="shared" si="0"/>
        <v>111</v>
      </c>
    </row>
    <row r="24" spans="1:9">
      <c r="A24" s="320">
        <f t="shared" si="1"/>
        <v>112</v>
      </c>
      <c r="B24" s="318">
        <v>372</v>
      </c>
      <c r="C24" t="s">
        <v>1001</v>
      </c>
      <c r="D24" s="382">
        <v>895448</v>
      </c>
      <c r="E24" s="548" t="s">
        <v>1002</v>
      </c>
      <c r="F24" s="382"/>
      <c r="G24" s="165">
        <f t="shared" si="2"/>
        <v>895448</v>
      </c>
      <c r="H24" s="709" t="s">
        <v>1127</v>
      </c>
      <c r="I24" s="320">
        <f t="shared" si="0"/>
        <v>112</v>
      </c>
    </row>
    <row r="25" spans="1:9">
      <c r="A25" s="320">
        <f t="shared" si="1"/>
        <v>113</v>
      </c>
      <c r="B25" s="318">
        <v>373</v>
      </c>
      <c r="C25" t="s">
        <v>1003</v>
      </c>
      <c r="D25" s="382">
        <v>316635464</v>
      </c>
      <c r="E25" s="548" t="s">
        <v>1004</v>
      </c>
      <c r="F25" s="382">
        <v>-323050.16000008583</v>
      </c>
      <c r="G25" s="165">
        <f t="shared" si="2"/>
        <v>316312413.83999991</v>
      </c>
      <c r="H25" s="709" t="s">
        <v>1128</v>
      </c>
      <c r="I25" s="320">
        <f t="shared" si="0"/>
        <v>113</v>
      </c>
    </row>
    <row r="26" spans="1:9">
      <c r="A26" s="320">
        <f t="shared" si="1"/>
        <v>114</v>
      </c>
      <c r="B26" s="318">
        <v>374</v>
      </c>
      <c r="C26" t="s">
        <v>1005</v>
      </c>
      <c r="D26" s="382">
        <v>20344815</v>
      </c>
      <c r="E26" s="548" t="s">
        <v>1006</v>
      </c>
      <c r="F26" s="165">
        <f>-D26</f>
        <v>-20344815</v>
      </c>
      <c r="G26" s="165">
        <f t="shared" si="2"/>
        <v>0</v>
      </c>
      <c r="H26" s="548"/>
      <c r="I26" s="320">
        <f t="shared" si="0"/>
        <v>114</v>
      </c>
    </row>
    <row r="27" spans="1:9">
      <c r="A27" s="320">
        <f t="shared" si="1"/>
        <v>115</v>
      </c>
      <c r="B27" s="334"/>
      <c r="C27" s="419" t="s">
        <v>1070</v>
      </c>
      <c r="D27" s="549">
        <f>SUM(D12:D26)</f>
        <v>37714142407</v>
      </c>
      <c r="E27" s="420"/>
      <c r="F27" s="549">
        <f>SUM(F12:F26)</f>
        <v>-750009274.38000822</v>
      </c>
      <c r="G27" s="549">
        <f>SUM(G12:G26)</f>
        <v>36964133132.619987</v>
      </c>
      <c r="H27" s="549"/>
      <c r="I27" s="320">
        <f t="shared" si="0"/>
        <v>115</v>
      </c>
    </row>
    <row r="28" spans="1:9">
      <c r="A28" s="326"/>
      <c r="B28" s="326"/>
      <c r="C28" s="326"/>
      <c r="D28" s="139"/>
      <c r="E28" s="326"/>
      <c r="F28" s="326"/>
      <c r="G28" s="139"/>
      <c r="H28" s="139"/>
      <c r="I28" s="326"/>
    </row>
    <row r="30" spans="1:9">
      <c r="B30" s="136" t="s">
        <v>1041</v>
      </c>
      <c r="C30" s="138"/>
      <c r="D30" s="138"/>
      <c r="E30" s="137"/>
      <c r="F30" s="137"/>
      <c r="G30" s="137"/>
      <c r="H30" s="137"/>
    </row>
    <row r="31" spans="1:9">
      <c r="B31"/>
      <c r="C31"/>
      <c r="D31"/>
      <c r="E31"/>
      <c r="F31"/>
      <c r="G31"/>
      <c r="H31"/>
    </row>
    <row r="32" spans="1:9">
      <c r="D32" s="394" t="s">
        <v>62</v>
      </c>
      <c r="E32" s="394" t="s">
        <v>63</v>
      </c>
      <c r="F32" s="394" t="s">
        <v>64</v>
      </c>
      <c r="G32" s="394" t="s">
        <v>65</v>
      </c>
      <c r="H32" s="394" t="s">
        <v>66</v>
      </c>
    </row>
    <row r="33" spans="1:9">
      <c r="B33"/>
      <c r="C33"/>
      <c r="D33" s="467" t="s">
        <v>1071</v>
      </c>
      <c r="E33" s="467" t="s">
        <v>112</v>
      </c>
      <c r="F33" s="467" t="s">
        <v>112</v>
      </c>
      <c r="G33" s="467" t="s">
        <v>112</v>
      </c>
      <c r="H33" s="467" t="s">
        <v>112</v>
      </c>
    </row>
    <row r="34" spans="1:9">
      <c r="B34"/>
      <c r="C34"/>
      <c r="D34"/>
      <c r="E34"/>
      <c r="F34"/>
      <c r="G34"/>
      <c r="H34"/>
    </row>
    <row r="35" spans="1:9">
      <c r="B35"/>
      <c r="C35"/>
      <c r="D35" s="115" t="s">
        <v>1042</v>
      </c>
      <c r="E35" s="115" t="s">
        <v>926</v>
      </c>
      <c r="F35" s="115" t="s">
        <v>927</v>
      </c>
      <c r="G35" s="115" t="s">
        <v>59</v>
      </c>
      <c r="H35" s="115" t="s">
        <v>59</v>
      </c>
      <c r="I35" s="317"/>
    </row>
    <row r="36" spans="1:9">
      <c r="A36" s="324" t="s">
        <v>86</v>
      </c>
      <c r="B36" s="324" t="s">
        <v>186</v>
      </c>
      <c r="C36" s="324" t="s">
        <v>187</v>
      </c>
      <c r="D36" s="324" t="s">
        <v>100</v>
      </c>
      <c r="E36" s="324" t="s">
        <v>59</v>
      </c>
      <c r="F36" s="324" t="s">
        <v>59</v>
      </c>
      <c r="G36" s="324" t="s">
        <v>997</v>
      </c>
      <c r="H36" s="324" t="s">
        <v>1043</v>
      </c>
      <c r="I36" s="324" t="str">
        <f t="shared" ref="I36:I51" si="3">A36</f>
        <v>Line</v>
      </c>
    </row>
    <row r="37" spans="1:9">
      <c r="A37" s="320">
        <v>200</v>
      </c>
      <c r="B37" s="318">
        <v>360</v>
      </c>
      <c r="C37" s="589" t="s">
        <v>1625</v>
      </c>
      <c r="D37" s="802">
        <f>G12</f>
        <v>182173722.96000001</v>
      </c>
      <c r="E37" s="803" cm="1">
        <f t="array" ref="E37">SUM(E62:E74/(SUM(E62:F74)))</f>
        <v>0.51216293344575547</v>
      </c>
      <c r="F37" s="803">
        <f>1-E37</f>
        <v>0.48783706655424453</v>
      </c>
      <c r="G37" s="803"/>
      <c r="H37" s="803"/>
      <c r="I37" s="320">
        <f t="shared" si="3"/>
        <v>200</v>
      </c>
    </row>
    <row r="38" spans="1:9">
      <c r="A38" s="320">
        <f t="shared" ref="A38:A51" si="4">A37+1</f>
        <v>201</v>
      </c>
      <c r="B38" s="318">
        <v>361</v>
      </c>
      <c r="C38" s="589" t="s">
        <v>191</v>
      </c>
      <c r="D38" s="165">
        <f t="shared" ref="D38:D50" si="5">G13</f>
        <v>337164005</v>
      </c>
      <c r="E38" s="591">
        <v>1</v>
      </c>
      <c r="F38" s="591"/>
      <c r="G38" s="591"/>
      <c r="H38" s="591"/>
      <c r="I38" s="320">
        <f t="shared" si="3"/>
        <v>201</v>
      </c>
    </row>
    <row r="39" spans="1:9">
      <c r="A39" s="320">
        <f t="shared" si="4"/>
        <v>202</v>
      </c>
      <c r="B39" s="318">
        <v>362</v>
      </c>
      <c r="C39" s="589" t="s">
        <v>192</v>
      </c>
      <c r="D39" s="165">
        <f t="shared" si="5"/>
        <v>4059802418.5799923</v>
      </c>
      <c r="E39" s="591">
        <v>1</v>
      </c>
      <c r="F39" s="591"/>
      <c r="G39" s="591"/>
      <c r="H39" s="591"/>
      <c r="I39" s="320">
        <f t="shared" si="3"/>
        <v>202</v>
      </c>
    </row>
    <row r="40" spans="1:9">
      <c r="A40" s="320">
        <f t="shared" si="4"/>
        <v>203</v>
      </c>
      <c r="B40" s="318">
        <v>363</v>
      </c>
      <c r="C40" s="317" t="s">
        <v>985</v>
      </c>
      <c r="D40" s="165">
        <f t="shared" si="5"/>
        <v>30390068</v>
      </c>
      <c r="E40" s="591">
        <v>1</v>
      </c>
      <c r="F40" s="591"/>
      <c r="G40" s="591"/>
      <c r="H40" s="591"/>
      <c r="I40" s="320">
        <f t="shared" si="3"/>
        <v>203</v>
      </c>
    </row>
    <row r="41" spans="1:9">
      <c r="A41" s="320">
        <f t="shared" si="4"/>
        <v>204</v>
      </c>
      <c r="B41" s="318">
        <v>364</v>
      </c>
      <c r="C41" s="317" t="s">
        <v>1626</v>
      </c>
      <c r="D41" s="165">
        <f t="shared" si="5"/>
        <v>6935248124.7499981</v>
      </c>
      <c r="E41" s="952">
        <v>0.79816814194419083</v>
      </c>
      <c r="F41" s="952">
        <v>0.20183185805580917</v>
      </c>
      <c r="G41" s="591"/>
      <c r="H41" s="591"/>
      <c r="I41" s="320">
        <f t="shared" si="3"/>
        <v>204</v>
      </c>
    </row>
    <row r="42" spans="1:9">
      <c r="A42" s="320">
        <f t="shared" si="4"/>
        <v>205</v>
      </c>
      <c r="B42" s="318">
        <v>365</v>
      </c>
      <c r="C42" s="317" t="s">
        <v>1627</v>
      </c>
      <c r="D42" s="165">
        <f t="shared" si="5"/>
        <v>5457839457.5400009</v>
      </c>
      <c r="E42" s="952">
        <v>0.79816814194419083</v>
      </c>
      <c r="F42" s="952">
        <v>0.20183185805580917</v>
      </c>
      <c r="G42" s="591"/>
      <c r="H42" s="591"/>
      <c r="I42" s="320">
        <f t="shared" si="3"/>
        <v>205</v>
      </c>
    </row>
    <row r="43" spans="1:9">
      <c r="A43" s="320">
        <f t="shared" si="4"/>
        <v>206</v>
      </c>
      <c r="B43" s="318">
        <v>366</v>
      </c>
      <c r="C43" s="317" t="s">
        <v>1628</v>
      </c>
      <c r="D43" s="165">
        <f t="shared" si="5"/>
        <v>3542954677.8700008</v>
      </c>
      <c r="E43" s="952">
        <v>0.39048513569283755</v>
      </c>
      <c r="F43" s="952">
        <v>0.60951486430716251</v>
      </c>
      <c r="G43" s="591"/>
      <c r="H43" s="591"/>
      <c r="I43" s="320">
        <f t="shared" si="3"/>
        <v>206</v>
      </c>
    </row>
    <row r="44" spans="1:9">
      <c r="A44" s="320">
        <f t="shared" si="4"/>
        <v>207</v>
      </c>
      <c r="B44" s="318">
        <v>367</v>
      </c>
      <c r="C44" s="317" t="s">
        <v>1629</v>
      </c>
      <c r="D44" s="165">
        <f t="shared" si="5"/>
        <v>5778042518.9799986</v>
      </c>
      <c r="E44" s="952">
        <v>0.39048513569283755</v>
      </c>
      <c r="F44" s="952">
        <v>0.60951486430716251</v>
      </c>
      <c r="G44" s="591"/>
      <c r="H44" s="591"/>
      <c r="I44" s="320">
        <f t="shared" si="3"/>
        <v>207</v>
      </c>
    </row>
    <row r="45" spans="1:9">
      <c r="A45" s="320">
        <f t="shared" si="4"/>
        <v>208</v>
      </c>
      <c r="B45" s="318">
        <v>368</v>
      </c>
      <c r="C45" t="s">
        <v>993</v>
      </c>
      <c r="D45" s="165">
        <f t="shared" si="5"/>
        <v>5008315971.6599989</v>
      </c>
      <c r="E45" s="591"/>
      <c r="F45" s="591">
        <v>1</v>
      </c>
      <c r="G45" s="591"/>
      <c r="H45" s="591"/>
      <c r="I45" s="320">
        <f t="shared" si="3"/>
        <v>208</v>
      </c>
    </row>
    <row r="46" spans="1:9">
      <c r="A46" s="320">
        <f t="shared" si="4"/>
        <v>209</v>
      </c>
      <c r="B46" s="318">
        <v>369</v>
      </c>
      <c r="C46" t="s">
        <v>995</v>
      </c>
      <c r="D46" s="165">
        <f t="shared" si="5"/>
        <v>3914933820.8100023</v>
      </c>
      <c r="E46" s="591"/>
      <c r="F46" s="591">
        <v>1</v>
      </c>
      <c r="G46" s="591"/>
      <c r="H46" s="591"/>
      <c r="I46" s="320">
        <f t="shared" si="3"/>
        <v>209</v>
      </c>
    </row>
    <row r="47" spans="1:9">
      <c r="A47" s="320">
        <f t="shared" si="4"/>
        <v>210</v>
      </c>
      <c r="B47" s="318">
        <v>370</v>
      </c>
      <c r="C47" t="s">
        <v>997</v>
      </c>
      <c r="D47" s="165">
        <f t="shared" si="5"/>
        <v>1368798249.6299999</v>
      </c>
      <c r="E47" s="591"/>
      <c r="F47" s="591"/>
      <c r="G47" s="591">
        <v>1</v>
      </c>
      <c r="H47" s="591"/>
      <c r="I47" s="320">
        <f t="shared" si="3"/>
        <v>210</v>
      </c>
    </row>
    <row r="48" spans="1:9">
      <c r="A48" s="320">
        <f t="shared" si="4"/>
        <v>211</v>
      </c>
      <c r="B48" s="318">
        <v>371</v>
      </c>
      <c r="C48" t="s">
        <v>999</v>
      </c>
      <c r="D48" s="165">
        <f t="shared" si="5"/>
        <v>31262235</v>
      </c>
      <c r="E48" s="591"/>
      <c r="F48" s="591"/>
      <c r="G48" s="591">
        <v>1</v>
      </c>
      <c r="H48" s="591"/>
      <c r="I48" s="320">
        <f t="shared" si="3"/>
        <v>211</v>
      </c>
    </row>
    <row r="49" spans="1:9">
      <c r="A49" s="320">
        <f t="shared" si="4"/>
        <v>212</v>
      </c>
      <c r="B49" s="318">
        <v>372</v>
      </c>
      <c r="C49" t="s">
        <v>1001</v>
      </c>
      <c r="D49" s="165">
        <f t="shared" si="5"/>
        <v>895448</v>
      </c>
      <c r="E49" s="591"/>
      <c r="F49" s="591"/>
      <c r="G49" s="591">
        <v>1</v>
      </c>
      <c r="H49" s="591"/>
      <c r="I49" s="320">
        <f t="shared" si="3"/>
        <v>212</v>
      </c>
    </row>
    <row r="50" spans="1:9">
      <c r="A50" s="320">
        <f t="shared" si="4"/>
        <v>213</v>
      </c>
      <c r="B50" s="318">
        <v>373</v>
      </c>
      <c r="C50" t="s">
        <v>1003</v>
      </c>
      <c r="D50" s="165">
        <f t="shared" si="5"/>
        <v>316312413.83999991</v>
      </c>
      <c r="E50" s="591"/>
      <c r="F50" s="591"/>
      <c r="G50" s="591"/>
      <c r="H50" s="591">
        <v>1</v>
      </c>
      <c r="I50" s="320">
        <f t="shared" si="3"/>
        <v>213</v>
      </c>
    </row>
    <row r="51" spans="1:9">
      <c r="A51" s="320">
        <f t="shared" si="4"/>
        <v>214</v>
      </c>
      <c r="B51" s="334"/>
      <c r="C51" s="419" t="s">
        <v>1070</v>
      </c>
      <c r="D51" s="549">
        <f>SUM(D37:D50)</f>
        <v>36964133132.619987</v>
      </c>
      <c r="E51" s="592"/>
      <c r="F51" s="592"/>
      <c r="G51" s="592"/>
      <c r="H51" s="592"/>
      <c r="I51" s="320">
        <f t="shared" si="3"/>
        <v>214</v>
      </c>
    </row>
    <row r="52" spans="1:9">
      <c r="B52"/>
      <c r="C52"/>
      <c r="D52" s="593"/>
      <c r="E52" s="594"/>
      <c r="F52" s="595"/>
      <c r="G52" s="595"/>
      <c r="H52" s="595"/>
      <c r="I52" s="317"/>
    </row>
    <row r="53" spans="1:9">
      <c r="B53"/>
      <c r="C53"/>
      <c r="D53" s="593"/>
      <c r="E53" s="594"/>
      <c r="F53" s="595"/>
      <c r="G53" s="595"/>
      <c r="H53" s="595"/>
      <c r="I53" s="317"/>
    </row>
    <row r="54" spans="1:9">
      <c r="B54" s="136" t="s">
        <v>1044</v>
      </c>
      <c r="C54" s="138"/>
      <c r="D54" s="138"/>
      <c r="E54" s="137"/>
      <c r="F54" s="137"/>
      <c r="G54" s="137"/>
      <c r="H54" s="137"/>
    </row>
    <row r="55" spans="1:9">
      <c r="B55"/>
      <c r="C55"/>
      <c r="D55"/>
      <c r="E55"/>
      <c r="F55"/>
      <c r="G55"/>
      <c r="H55"/>
    </row>
    <row r="56" spans="1:9">
      <c r="D56" s="394" t="s">
        <v>62</v>
      </c>
      <c r="E56" s="394" t="s">
        <v>63</v>
      </c>
      <c r="F56" s="394" t="s">
        <v>64</v>
      </c>
      <c r="G56" s="394" t="s">
        <v>65</v>
      </c>
      <c r="H56" s="394" t="s">
        <v>66</v>
      </c>
    </row>
    <row r="57" spans="1:9">
      <c r="B57"/>
      <c r="C57"/>
      <c r="D57" s="467" t="s">
        <v>1071</v>
      </c>
      <c r="E57" s="467" t="s">
        <v>1072</v>
      </c>
      <c r="F57" s="467" t="s">
        <v>1073</v>
      </c>
      <c r="G57" s="467" t="s">
        <v>1074</v>
      </c>
      <c r="H57" s="467" t="s">
        <v>1075</v>
      </c>
    </row>
    <row r="58" spans="1:9">
      <c r="B58"/>
      <c r="C58"/>
      <c r="D58"/>
      <c r="E58"/>
      <c r="F58"/>
      <c r="G58"/>
      <c r="H58"/>
    </row>
    <row r="59" spans="1:9">
      <c r="B59"/>
      <c r="C59"/>
      <c r="D59" s="115" t="s">
        <v>1042</v>
      </c>
      <c r="E59" s="115" t="s">
        <v>926</v>
      </c>
      <c r="F59" s="115" t="s">
        <v>927</v>
      </c>
      <c r="G59" s="115" t="s">
        <v>59</v>
      </c>
      <c r="H59" s="115" t="s">
        <v>59</v>
      </c>
      <c r="I59" s="317"/>
    </row>
    <row r="60" spans="1:9">
      <c r="A60" s="324" t="s">
        <v>86</v>
      </c>
      <c r="B60" s="324" t="s">
        <v>186</v>
      </c>
      <c r="C60" s="324" t="s">
        <v>187</v>
      </c>
      <c r="D60" s="324" t="s">
        <v>100</v>
      </c>
      <c r="E60" s="324" t="s">
        <v>59</v>
      </c>
      <c r="F60" s="324" t="s">
        <v>59</v>
      </c>
      <c r="G60" s="324" t="s">
        <v>997</v>
      </c>
      <c r="H60" s="324" t="s">
        <v>1043</v>
      </c>
      <c r="I60" s="324" t="str">
        <f t="shared" ref="I60:I75" si="6">A60</f>
        <v>Line</v>
      </c>
    </row>
    <row r="61" spans="1:9" s="317" customFormat="1">
      <c r="A61" s="320">
        <v>300</v>
      </c>
      <c r="B61" s="318">
        <v>360</v>
      </c>
      <c r="C61" s="589" t="s">
        <v>190</v>
      </c>
      <c r="D61" s="165">
        <f>G12</f>
        <v>182173722.96000001</v>
      </c>
      <c r="E61" s="165">
        <f>$D61*E37</f>
        <v>93302628.347927988</v>
      </c>
      <c r="F61" s="165">
        <f t="shared" ref="F61:H61" si="7">$D61*F37</f>
        <v>88871094.612072021</v>
      </c>
      <c r="G61" s="165">
        <f t="shared" si="7"/>
        <v>0</v>
      </c>
      <c r="H61" s="165">
        <f t="shared" si="7"/>
        <v>0</v>
      </c>
      <c r="I61" s="320">
        <f t="shared" si="6"/>
        <v>300</v>
      </c>
    </row>
    <row r="62" spans="1:9">
      <c r="A62" s="320">
        <f t="shared" ref="A62:A75" si="8">A61+1</f>
        <v>301</v>
      </c>
      <c r="B62" s="318">
        <v>361</v>
      </c>
      <c r="C62" s="589" t="s">
        <v>191</v>
      </c>
      <c r="D62" s="165">
        <f t="shared" ref="D62:D74" si="9">G13</f>
        <v>337164005</v>
      </c>
      <c r="E62" s="165">
        <f t="shared" ref="E62:H74" si="10">$D62*E38</f>
        <v>337164005</v>
      </c>
      <c r="F62" s="165">
        <f t="shared" si="10"/>
        <v>0</v>
      </c>
      <c r="G62" s="165">
        <f t="shared" si="10"/>
        <v>0</v>
      </c>
      <c r="H62" s="165">
        <f t="shared" si="10"/>
        <v>0</v>
      </c>
      <c r="I62" s="320">
        <f t="shared" si="6"/>
        <v>301</v>
      </c>
    </row>
    <row r="63" spans="1:9">
      <c r="A63" s="320">
        <f t="shared" si="8"/>
        <v>302</v>
      </c>
      <c r="B63" s="318">
        <v>362</v>
      </c>
      <c r="C63" s="589" t="s">
        <v>192</v>
      </c>
      <c r="D63" s="165">
        <f t="shared" si="9"/>
        <v>4059802418.5799923</v>
      </c>
      <c r="E63" s="165">
        <f t="shared" si="10"/>
        <v>4059802418.5799923</v>
      </c>
      <c r="F63" s="165">
        <f t="shared" si="10"/>
        <v>0</v>
      </c>
      <c r="G63" s="165">
        <f t="shared" si="10"/>
        <v>0</v>
      </c>
      <c r="H63" s="165">
        <f t="shared" si="10"/>
        <v>0</v>
      </c>
      <c r="I63" s="320">
        <f t="shared" si="6"/>
        <v>302</v>
      </c>
    </row>
    <row r="64" spans="1:9">
      <c r="A64" s="320">
        <f t="shared" si="8"/>
        <v>303</v>
      </c>
      <c r="B64" s="318">
        <v>363</v>
      </c>
      <c r="C64" t="s">
        <v>985</v>
      </c>
      <c r="D64" s="165">
        <f t="shared" si="9"/>
        <v>30390068</v>
      </c>
      <c r="E64" s="165">
        <f t="shared" si="10"/>
        <v>30390068</v>
      </c>
      <c r="F64" s="165">
        <f t="shared" si="10"/>
        <v>0</v>
      </c>
      <c r="G64" s="165">
        <f t="shared" si="10"/>
        <v>0</v>
      </c>
      <c r="H64" s="165">
        <f t="shared" si="10"/>
        <v>0</v>
      </c>
      <c r="I64" s="320">
        <f t="shared" si="6"/>
        <v>303</v>
      </c>
    </row>
    <row r="65" spans="1:9">
      <c r="A65" s="320">
        <f t="shared" si="8"/>
        <v>304</v>
      </c>
      <c r="B65" s="318">
        <v>364</v>
      </c>
      <c r="C65" t="s">
        <v>987</v>
      </c>
      <c r="D65" s="165">
        <f t="shared" si="9"/>
        <v>6935248124.7499981</v>
      </c>
      <c r="E65" s="165">
        <f t="shared" si="10"/>
        <v>5535494109.6536398</v>
      </c>
      <c r="F65" s="165">
        <f t="shared" si="10"/>
        <v>1399754015.0963583</v>
      </c>
      <c r="G65" s="165">
        <f t="shared" si="10"/>
        <v>0</v>
      </c>
      <c r="H65" s="165">
        <f t="shared" si="10"/>
        <v>0</v>
      </c>
      <c r="I65" s="320">
        <f t="shared" si="6"/>
        <v>304</v>
      </c>
    </row>
    <row r="66" spans="1:9">
      <c r="A66" s="320">
        <f t="shared" si="8"/>
        <v>305</v>
      </c>
      <c r="B66" s="318">
        <v>365</v>
      </c>
      <c r="C66" t="s">
        <v>193</v>
      </c>
      <c r="D66" s="165">
        <f t="shared" si="9"/>
        <v>5457839457.5400009</v>
      </c>
      <c r="E66" s="165">
        <f t="shared" si="10"/>
        <v>4356273578.854393</v>
      </c>
      <c r="F66" s="165">
        <f t="shared" si="10"/>
        <v>1101565878.6856079</v>
      </c>
      <c r="G66" s="165">
        <f t="shared" si="10"/>
        <v>0</v>
      </c>
      <c r="H66" s="165">
        <f t="shared" si="10"/>
        <v>0</v>
      </c>
      <c r="I66" s="320">
        <f t="shared" si="6"/>
        <v>305</v>
      </c>
    </row>
    <row r="67" spans="1:9">
      <c r="A67" s="320">
        <f t="shared" si="8"/>
        <v>306</v>
      </c>
      <c r="B67" s="318">
        <v>366</v>
      </c>
      <c r="C67" t="s">
        <v>194</v>
      </c>
      <c r="D67" s="165">
        <f t="shared" si="9"/>
        <v>3542954677.8700008</v>
      </c>
      <c r="E67" s="165">
        <f t="shared" si="10"/>
        <v>1383471138.1416409</v>
      </c>
      <c r="F67" s="165">
        <f t="shared" si="10"/>
        <v>2159483539.7283602</v>
      </c>
      <c r="G67" s="165">
        <f t="shared" si="10"/>
        <v>0</v>
      </c>
      <c r="H67" s="165">
        <f t="shared" si="10"/>
        <v>0</v>
      </c>
      <c r="I67" s="320">
        <f t="shared" si="6"/>
        <v>306</v>
      </c>
    </row>
    <row r="68" spans="1:9">
      <c r="A68" s="320">
        <f t="shared" si="8"/>
        <v>307</v>
      </c>
      <c r="B68" s="318">
        <v>367</v>
      </c>
      <c r="C68" t="s">
        <v>991</v>
      </c>
      <c r="D68" s="165">
        <f t="shared" si="9"/>
        <v>5778042518.9799986</v>
      </c>
      <c r="E68" s="165">
        <f t="shared" si="10"/>
        <v>2256239717.0628896</v>
      </c>
      <c r="F68" s="165">
        <f t="shared" si="10"/>
        <v>3521802801.9171095</v>
      </c>
      <c r="G68" s="165">
        <f t="shared" si="10"/>
        <v>0</v>
      </c>
      <c r="H68" s="165">
        <f t="shared" si="10"/>
        <v>0</v>
      </c>
      <c r="I68" s="320">
        <f t="shared" si="6"/>
        <v>307</v>
      </c>
    </row>
    <row r="69" spans="1:9">
      <c r="A69" s="320">
        <f t="shared" si="8"/>
        <v>308</v>
      </c>
      <c r="B69" s="318">
        <v>368</v>
      </c>
      <c r="C69" t="s">
        <v>993</v>
      </c>
      <c r="D69" s="165">
        <f t="shared" si="9"/>
        <v>5008315971.6599989</v>
      </c>
      <c r="E69" s="165">
        <f t="shared" si="10"/>
        <v>0</v>
      </c>
      <c r="F69" s="165">
        <f t="shared" si="10"/>
        <v>5008315971.6599989</v>
      </c>
      <c r="G69" s="165">
        <f t="shared" si="10"/>
        <v>0</v>
      </c>
      <c r="H69" s="165">
        <f t="shared" si="10"/>
        <v>0</v>
      </c>
      <c r="I69" s="320">
        <f t="shared" si="6"/>
        <v>308</v>
      </c>
    </row>
    <row r="70" spans="1:9">
      <c r="A70" s="320">
        <f t="shared" si="8"/>
        <v>309</v>
      </c>
      <c r="B70" s="318">
        <v>369</v>
      </c>
      <c r="C70" t="s">
        <v>995</v>
      </c>
      <c r="D70" s="165">
        <f t="shared" si="9"/>
        <v>3914933820.8100023</v>
      </c>
      <c r="E70" s="165">
        <f t="shared" si="10"/>
        <v>0</v>
      </c>
      <c r="F70" s="165">
        <f t="shared" si="10"/>
        <v>3914933820.8100023</v>
      </c>
      <c r="G70" s="165">
        <f t="shared" si="10"/>
        <v>0</v>
      </c>
      <c r="H70" s="165">
        <f t="shared" si="10"/>
        <v>0</v>
      </c>
      <c r="I70" s="320">
        <f t="shared" si="6"/>
        <v>309</v>
      </c>
    </row>
    <row r="71" spans="1:9">
      <c r="A71" s="320">
        <f t="shared" si="8"/>
        <v>310</v>
      </c>
      <c r="B71" s="318">
        <v>370</v>
      </c>
      <c r="C71" t="s">
        <v>997</v>
      </c>
      <c r="D71" s="165">
        <f t="shared" si="9"/>
        <v>1368798249.6299999</v>
      </c>
      <c r="E71" s="165">
        <f t="shared" si="10"/>
        <v>0</v>
      </c>
      <c r="F71" s="165">
        <f t="shared" si="10"/>
        <v>0</v>
      </c>
      <c r="G71" s="165">
        <f t="shared" si="10"/>
        <v>1368798249.6299999</v>
      </c>
      <c r="H71" s="165">
        <f t="shared" si="10"/>
        <v>0</v>
      </c>
      <c r="I71" s="320">
        <f t="shared" si="6"/>
        <v>310</v>
      </c>
    </row>
    <row r="72" spans="1:9">
      <c r="A72" s="320">
        <f t="shared" si="8"/>
        <v>311</v>
      </c>
      <c r="B72" s="318">
        <v>371</v>
      </c>
      <c r="C72" t="s">
        <v>999</v>
      </c>
      <c r="D72" s="165">
        <f t="shared" si="9"/>
        <v>31262235</v>
      </c>
      <c r="E72" s="165">
        <f t="shared" si="10"/>
        <v>0</v>
      </c>
      <c r="F72" s="165">
        <f t="shared" si="10"/>
        <v>0</v>
      </c>
      <c r="G72" s="165">
        <f t="shared" si="10"/>
        <v>31262235</v>
      </c>
      <c r="H72" s="165">
        <f t="shared" si="10"/>
        <v>0</v>
      </c>
      <c r="I72" s="320">
        <f t="shared" si="6"/>
        <v>311</v>
      </c>
    </row>
    <row r="73" spans="1:9">
      <c r="A73" s="320">
        <f t="shared" si="8"/>
        <v>312</v>
      </c>
      <c r="B73" s="318">
        <v>372</v>
      </c>
      <c r="C73" t="s">
        <v>1001</v>
      </c>
      <c r="D73" s="165">
        <f t="shared" si="9"/>
        <v>895448</v>
      </c>
      <c r="E73" s="165">
        <f t="shared" si="10"/>
        <v>0</v>
      </c>
      <c r="F73" s="165">
        <f t="shared" si="10"/>
        <v>0</v>
      </c>
      <c r="G73" s="165">
        <f t="shared" si="10"/>
        <v>895448</v>
      </c>
      <c r="H73" s="165">
        <f t="shared" si="10"/>
        <v>0</v>
      </c>
      <c r="I73" s="320">
        <f t="shared" si="6"/>
        <v>312</v>
      </c>
    </row>
    <row r="74" spans="1:9">
      <c r="A74" s="320">
        <f t="shared" si="8"/>
        <v>313</v>
      </c>
      <c r="B74" s="318">
        <v>373</v>
      </c>
      <c r="C74" t="s">
        <v>1003</v>
      </c>
      <c r="D74" s="165">
        <f t="shared" si="9"/>
        <v>316312413.83999991</v>
      </c>
      <c r="E74" s="165">
        <f t="shared" si="10"/>
        <v>0</v>
      </c>
      <c r="F74" s="165">
        <f t="shared" si="10"/>
        <v>0</v>
      </c>
      <c r="G74" s="165">
        <f t="shared" si="10"/>
        <v>0</v>
      </c>
      <c r="H74" s="165">
        <f t="shared" si="10"/>
        <v>316312413.83999991</v>
      </c>
      <c r="I74" s="320">
        <f t="shared" si="6"/>
        <v>313</v>
      </c>
    </row>
    <row r="75" spans="1:9">
      <c r="A75" s="320">
        <f t="shared" si="8"/>
        <v>314</v>
      </c>
      <c r="B75" s="334"/>
      <c r="C75" s="419" t="s">
        <v>1070</v>
      </c>
      <c r="D75" s="549">
        <f>SUM(D61:D74)</f>
        <v>36964133132.619987</v>
      </c>
      <c r="E75" s="549">
        <f t="shared" ref="E75:H75" si="11">SUM(E61:E74)</f>
        <v>18052137663.640484</v>
      </c>
      <c r="F75" s="549">
        <f t="shared" si="11"/>
        <v>17194727122.50951</v>
      </c>
      <c r="G75" s="549">
        <f t="shared" si="11"/>
        <v>1400955932.6299999</v>
      </c>
      <c r="H75" s="549">
        <f t="shared" si="11"/>
        <v>316312413.83999991</v>
      </c>
      <c r="I75" s="320">
        <f t="shared" si="6"/>
        <v>314</v>
      </c>
    </row>
    <row r="76" spans="1:9">
      <c r="B76"/>
      <c r="G76" s="318" t="s">
        <v>127</v>
      </c>
      <c r="H76" s="318" t="s">
        <v>128</v>
      </c>
      <c r="I76" s="317"/>
    </row>
    <row r="77" spans="1:9">
      <c r="B77"/>
      <c r="I77" s="317"/>
    </row>
    <row r="78" spans="1:9">
      <c r="B78" s="136" t="s">
        <v>1045</v>
      </c>
      <c r="C78" s="138"/>
      <c r="D78" s="138"/>
      <c r="E78" s="137"/>
      <c r="F78" s="137"/>
      <c r="G78" s="137"/>
      <c r="H78" s="137"/>
    </row>
    <row r="79" spans="1:9">
      <c r="B79"/>
      <c r="C79"/>
      <c r="D79"/>
      <c r="E79"/>
      <c r="F79"/>
      <c r="G79"/>
      <c r="H79"/>
    </row>
    <row r="80" spans="1:9">
      <c r="E80" s="394" t="s">
        <v>62</v>
      </c>
      <c r="F80" s="394" t="s">
        <v>63</v>
      </c>
      <c r="G80" s="394" t="s">
        <v>64</v>
      </c>
      <c r="H80" s="394" t="s">
        <v>65</v>
      </c>
    </row>
    <row r="81" spans="1:9" ht="30">
      <c r="B81"/>
      <c r="C81"/>
      <c r="E81" s="555" t="s">
        <v>1076</v>
      </c>
      <c r="F81" s="555" t="s">
        <v>1077</v>
      </c>
      <c r="G81" s="555" t="s">
        <v>1078</v>
      </c>
      <c r="H81" s="555" t="s">
        <v>1079</v>
      </c>
    </row>
    <row r="82" spans="1:9">
      <c r="B82"/>
      <c r="C82"/>
      <c r="E82"/>
      <c r="F82"/>
      <c r="G82"/>
      <c r="H82"/>
    </row>
    <row r="83" spans="1:9">
      <c r="B83"/>
      <c r="C83"/>
      <c r="E83" s="115" t="s">
        <v>926</v>
      </c>
      <c r="F83" s="115" t="s">
        <v>927</v>
      </c>
      <c r="G83" s="115" t="s">
        <v>59</v>
      </c>
      <c r="H83" s="115" t="s">
        <v>59</v>
      </c>
      <c r="I83" s="317"/>
    </row>
    <row r="84" spans="1:9">
      <c r="A84" s="324" t="s">
        <v>86</v>
      </c>
      <c r="B84" s="324" t="s">
        <v>73</v>
      </c>
      <c r="C84" s="324" t="s">
        <v>91</v>
      </c>
      <c r="E84" s="324" t="s">
        <v>59</v>
      </c>
      <c r="F84" s="324" t="s">
        <v>59</v>
      </c>
      <c r="G84" s="324" t="s">
        <v>997</v>
      </c>
      <c r="H84" s="324" t="s">
        <v>1043</v>
      </c>
      <c r="I84" s="324" t="str">
        <f t="shared" ref="I84:I85" si="12">A84</f>
        <v>Line</v>
      </c>
    </row>
    <row r="85" spans="1:9">
      <c r="A85" s="320">
        <v>400</v>
      </c>
      <c r="B85" s="197">
        <f>'1-DRR'!$K$2</f>
        <v>2021</v>
      </c>
      <c r="C85" s="318" t="s">
        <v>1046</v>
      </c>
      <c r="E85" s="328">
        <f>E75/$D$75</f>
        <v>0.4883690251540051</v>
      </c>
      <c r="F85" s="328">
        <f>F75/$D$75</f>
        <v>0.46517328191677687</v>
      </c>
      <c r="G85" s="328">
        <f>G75/$D$75</f>
        <v>3.79004135604546E-2</v>
      </c>
      <c r="H85" s="328">
        <f>H75/$D$75</f>
        <v>8.557279368763597E-3</v>
      </c>
      <c r="I85" s="320">
        <f t="shared" si="12"/>
        <v>400</v>
      </c>
    </row>
    <row r="86" spans="1:9">
      <c r="A86" s="320"/>
      <c r="B86" s="318"/>
      <c r="C86" s="589"/>
      <c r="D86" s="165"/>
      <c r="E86" s="596"/>
      <c r="F86" s="706"/>
      <c r="G86" s="165"/>
      <c r="H86" s="165"/>
      <c r="I86" s="320"/>
    </row>
    <row r="87" spans="1:9">
      <c r="B87" s="9" t="s">
        <v>89</v>
      </c>
    </row>
    <row r="88" spans="1:9">
      <c r="B88" s="965" t="s">
        <v>1478</v>
      </c>
      <c r="C88" s="965"/>
      <c r="D88" s="965"/>
      <c r="E88" s="965"/>
      <c r="F88" s="965"/>
      <c r="G88" s="965"/>
      <c r="H88" s="965"/>
    </row>
    <row r="89" spans="1:9">
      <c r="B89" s="965" t="s">
        <v>1100</v>
      </c>
      <c r="C89" s="965"/>
      <c r="D89" s="965"/>
      <c r="E89" s="965"/>
      <c r="F89" s="965"/>
      <c r="G89" s="965"/>
      <c r="H89" s="965"/>
    </row>
    <row r="90" spans="1:9">
      <c r="B90" s="965" t="s">
        <v>1080</v>
      </c>
      <c r="C90" s="965"/>
      <c r="D90" s="965"/>
      <c r="E90" s="965"/>
      <c r="F90" s="965"/>
      <c r="G90" s="965"/>
      <c r="H90" s="965"/>
    </row>
    <row r="91" spans="1:9">
      <c r="B91" s="965" t="s">
        <v>1081</v>
      </c>
      <c r="C91" s="965"/>
      <c r="D91" s="965"/>
      <c r="E91" s="965"/>
      <c r="F91" s="965"/>
      <c r="G91" s="965"/>
      <c r="H91" s="965"/>
    </row>
    <row r="92" spans="1:9">
      <c r="B92" s="965" t="s">
        <v>1082</v>
      </c>
      <c r="C92" s="965"/>
      <c r="D92" s="965"/>
      <c r="E92" s="965"/>
      <c r="F92" s="965"/>
      <c r="G92" s="965"/>
      <c r="H92" s="965"/>
    </row>
    <row r="93" spans="1:9" s="732" customFormat="1">
      <c r="B93" s="965" t="s">
        <v>1578</v>
      </c>
      <c r="C93" s="965"/>
      <c r="D93" s="965"/>
      <c r="E93" s="965"/>
      <c r="F93" s="965"/>
      <c r="G93" s="965"/>
      <c r="H93" s="965"/>
    </row>
    <row r="94" spans="1:9" s="732" customFormat="1">
      <c r="B94" s="965" t="s">
        <v>1811</v>
      </c>
      <c r="C94" s="965"/>
      <c r="D94" s="965"/>
      <c r="E94" s="965"/>
      <c r="F94" s="965"/>
      <c r="G94" s="965"/>
      <c r="H94" s="965"/>
    </row>
    <row r="95" spans="1:9">
      <c r="B95" s="319" t="s">
        <v>638</v>
      </c>
      <c r="C95" s="319"/>
      <c r="D95" s="319"/>
      <c r="E95" s="319"/>
      <c r="F95" s="319"/>
      <c r="G95" s="319"/>
      <c r="H95" s="319"/>
    </row>
  </sheetData>
  <mergeCells count="7">
    <mergeCell ref="B94:H94"/>
    <mergeCell ref="B93:H93"/>
    <mergeCell ref="B88:H88"/>
    <mergeCell ref="B89:H89"/>
    <mergeCell ref="B90:H90"/>
    <mergeCell ref="B91:H91"/>
    <mergeCell ref="B92:H92"/>
  </mergeCells>
  <printOptions horizontalCentered="1"/>
  <pageMargins left="1" right="1" top="1" bottom="1" header="0.5" footer="0.5"/>
  <pageSetup scale="55" fitToHeight="0" orientation="landscape" r:id="rId1"/>
  <headerFooter>
    <oddHeader>&amp;C&amp;"-,Bold"&amp;12Pacific Gas and Electric Company
Formula Rate Model
Schedule 6-PlantJurisdiction</oddHeader>
    <oddFooter>&amp;C&amp;1#&amp;"Calibri"&amp;12&amp;K000000Internal</oddFooter>
  </headerFooter>
  <rowBreaks count="1" manualBreakCount="1">
    <brk id="53" max="8" man="1"/>
  </rowBreaks>
  <customProperties>
    <customPr name="_pios_id" r:id="rId2"/>
  </customProperties>
  <ignoredErrors>
    <ignoredError sqref="E85:H85"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56001-0A06-4C66-9E2D-81D4A183DD11}">
  <sheetPr codeName="Sheet13">
    <pageSetUpPr fitToPage="1"/>
  </sheetPr>
  <dimension ref="A1:AF138"/>
  <sheetViews>
    <sheetView view="pageBreakPreview" topLeftCell="A87" zoomScale="85" zoomScaleNormal="70" zoomScaleSheetLayoutView="85" zoomScalePageLayoutView="70" workbookViewId="0">
      <selection activeCell="G13" sqref="G13"/>
    </sheetView>
  </sheetViews>
  <sheetFormatPr defaultColWidth="8.85546875" defaultRowHeight="15"/>
  <cols>
    <col min="1" max="1" width="4.7109375" style="467" bestFit="1" customWidth="1"/>
    <col min="2" max="2" width="14" customWidth="1"/>
    <col min="3" max="3" width="14.42578125" customWidth="1"/>
    <col min="4" max="4" width="20.42578125" customWidth="1"/>
    <col min="5" max="5" width="22.85546875" customWidth="1"/>
    <col min="6" max="29" width="20.42578125" customWidth="1"/>
    <col min="30" max="30" width="4.7109375" style="467" bestFit="1" customWidth="1"/>
    <col min="32" max="32" width="16.7109375" bestFit="1" customWidth="1"/>
  </cols>
  <sheetData>
    <row r="1" spans="1:30">
      <c r="B1" s="2" t="s">
        <v>1007</v>
      </c>
      <c r="C1" s="2"/>
      <c r="H1" s="135"/>
      <c r="N1" s="317"/>
      <c r="AC1" s="8" t="str">
        <f>CONCATENATE("Prior Year: ",'1-DRR'!$K$2)</f>
        <v>Prior Year: 2021</v>
      </c>
    </row>
    <row r="2" spans="1:30">
      <c r="B2" s="106" t="s">
        <v>122</v>
      </c>
      <c r="C2" s="550"/>
      <c r="N2" s="317"/>
      <c r="AC2" s="639"/>
    </row>
    <row r="3" spans="1:30">
      <c r="A3" s="324"/>
      <c r="B3" s="184"/>
      <c r="AD3" s="324"/>
    </row>
    <row r="4" spans="1:30">
      <c r="B4" s="65" t="s">
        <v>1008</v>
      </c>
      <c r="C4" s="65"/>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row>
    <row r="5" spans="1:30">
      <c r="A5" s="639"/>
      <c r="B5" s="552" t="s">
        <v>1016</v>
      </c>
      <c r="C5" s="317"/>
      <c r="M5" s="317"/>
      <c r="N5" s="467"/>
      <c r="O5" s="553"/>
    </row>
    <row r="6" spans="1:30">
      <c r="A6" s="639"/>
      <c r="B6" s="552" t="s">
        <v>1129</v>
      </c>
      <c r="C6" s="317"/>
      <c r="M6" s="317"/>
      <c r="N6" s="467"/>
      <c r="O6" s="553"/>
    </row>
    <row r="7" spans="1:30">
      <c r="A7" s="639"/>
      <c r="B7" s="552"/>
      <c r="C7" s="317"/>
      <c r="M7" s="317"/>
      <c r="N7" s="467"/>
      <c r="O7" s="553"/>
    </row>
    <row r="8" spans="1:30">
      <c r="A8" s="639"/>
      <c r="D8" s="394" t="s">
        <v>62</v>
      </c>
      <c r="E8" s="394" t="s">
        <v>63</v>
      </c>
      <c r="F8" s="394" t="s">
        <v>64</v>
      </c>
      <c r="G8" s="394" t="s">
        <v>65</v>
      </c>
      <c r="H8" s="394" t="s">
        <v>66</v>
      </c>
      <c r="I8" s="394" t="s">
        <v>67</v>
      </c>
      <c r="J8" s="394" t="s">
        <v>68</v>
      </c>
      <c r="K8" s="394" t="s">
        <v>69</v>
      </c>
      <c r="L8" s="394" t="s">
        <v>70</v>
      </c>
      <c r="M8" s="394" t="s">
        <v>141</v>
      </c>
      <c r="N8" s="394" t="s">
        <v>142</v>
      </c>
      <c r="O8" s="394" t="s">
        <v>143</v>
      </c>
      <c r="P8" s="394" t="s">
        <v>144</v>
      </c>
      <c r="Q8" s="394" t="s">
        <v>145</v>
      </c>
      <c r="R8" s="394" t="s">
        <v>452</v>
      </c>
      <c r="S8" s="394" t="s">
        <v>807</v>
      </c>
      <c r="T8" s="394" t="s">
        <v>808</v>
      </c>
      <c r="U8" s="394" t="s">
        <v>865</v>
      </c>
      <c r="V8" s="394" t="s">
        <v>866</v>
      </c>
      <c r="W8" s="394" t="s">
        <v>867</v>
      </c>
      <c r="X8" s="394" t="s">
        <v>868</v>
      </c>
      <c r="Y8" s="394" t="s">
        <v>869</v>
      </c>
      <c r="Z8" s="394" t="s">
        <v>870</v>
      </c>
      <c r="AA8" s="394" t="s">
        <v>871</v>
      </c>
      <c r="AB8" s="394" t="s">
        <v>1130</v>
      </c>
      <c r="AC8" s="394" t="s">
        <v>1051</v>
      </c>
    </row>
    <row r="9" spans="1:30">
      <c r="B9" s="639"/>
      <c r="C9" s="639"/>
      <c r="D9" s="554"/>
      <c r="E9" s="554"/>
      <c r="F9" s="554"/>
      <c r="G9" s="554"/>
      <c r="H9" s="554"/>
      <c r="I9" s="554"/>
      <c r="J9" s="554"/>
      <c r="K9" s="554"/>
      <c r="L9" s="554"/>
      <c r="M9" s="554"/>
      <c r="N9" s="554"/>
      <c r="O9" s="554"/>
      <c r="P9" s="554"/>
      <c r="Q9" s="554"/>
      <c r="R9" s="554"/>
      <c r="S9" s="554"/>
      <c r="T9" s="554"/>
      <c r="U9" s="554"/>
      <c r="V9" s="554"/>
      <c r="W9" s="554"/>
      <c r="X9" s="554"/>
      <c r="Y9" s="554"/>
      <c r="Z9" s="554"/>
      <c r="AA9" s="554"/>
      <c r="AB9" s="554"/>
      <c r="AC9" s="555" t="s">
        <v>1052</v>
      </c>
    </row>
    <row r="10" spans="1:30">
      <c r="B10" s="639"/>
      <c r="C10" s="639"/>
      <c r="L10" s="147"/>
      <c r="R10" s="467"/>
      <c r="S10" s="467"/>
      <c r="T10" s="467"/>
      <c r="AC10" s="467"/>
    </row>
    <row r="11" spans="1:30">
      <c r="C11" s="327" t="s">
        <v>195</v>
      </c>
      <c r="D11" s="115">
        <v>360</v>
      </c>
      <c r="E11" s="115">
        <v>360</v>
      </c>
      <c r="F11" s="115">
        <v>361</v>
      </c>
      <c r="G11" s="115">
        <v>361</v>
      </c>
      <c r="H11" s="115">
        <v>362</v>
      </c>
      <c r="I11" s="115">
        <v>363</v>
      </c>
      <c r="J11" s="115">
        <v>363</v>
      </c>
      <c r="K11" s="115">
        <v>364</v>
      </c>
      <c r="L11" s="115">
        <v>365</v>
      </c>
      <c r="M11" s="115">
        <v>366</v>
      </c>
      <c r="N11" s="115">
        <v>367</v>
      </c>
      <c r="O11" s="115">
        <v>368</v>
      </c>
      <c r="P11" s="115">
        <v>368</v>
      </c>
      <c r="Q11" s="115">
        <v>369</v>
      </c>
      <c r="R11" s="115">
        <v>369</v>
      </c>
      <c r="S11" s="115">
        <v>370</v>
      </c>
      <c r="T11" s="115">
        <v>370</v>
      </c>
      <c r="U11" s="115">
        <v>371</v>
      </c>
      <c r="V11" s="115">
        <v>371</v>
      </c>
      <c r="W11" s="115">
        <v>371</v>
      </c>
      <c r="X11" s="115">
        <v>372</v>
      </c>
      <c r="Y11" s="115">
        <v>373</v>
      </c>
      <c r="Z11" s="115">
        <v>373</v>
      </c>
      <c r="AA11" s="115">
        <v>373</v>
      </c>
      <c r="AB11" s="115">
        <v>373</v>
      </c>
    </row>
    <row r="12" spans="1:30">
      <c r="A12" s="324" t="s">
        <v>86</v>
      </c>
      <c r="B12" s="324" t="s">
        <v>58</v>
      </c>
      <c r="C12" s="324" t="s">
        <v>73</v>
      </c>
      <c r="D12" s="394" t="s">
        <v>971</v>
      </c>
      <c r="E12" s="394" t="s">
        <v>956</v>
      </c>
      <c r="F12" s="394" t="s">
        <v>957</v>
      </c>
      <c r="G12" s="394" t="s">
        <v>958</v>
      </c>
      <c r="H12" s="394" t="s">
        <v>959</v>
      </c>
      <c r="I12" s="394" t="s">
        <v>960</v>
      </c>
      <c r="J12" s="394" t="s">
        <v>961</v>
      </c>
      <c r="K12" s="394" t="s">
        <v>962</v>
      </c>
      <c r="L12" s="394" t="s">
        <v>963</v>
      </c>
      <c r="M12" s="394" t="s">
        <v>964</v>
      </c>
      <c r="N12" s="394" t="s">
        <v>965</v>
      </c>
      <c r="O12" s="394" t="s">
        <v>966</v>
      </c>
      <c r="P12" s="394" t="s">
        <v>967</v>
      </c>
      <c r="Q12" s="394" t="s">
        <v>968</v>
      </c>
      <c r="R12" s="394" t="s">
        <v>969</v>
      </c>
      <c r="S12" s="394" t="s">
        <v>972</v>
      </c>
      <c r="T12" s="394" t="s">
        <v>970</v>
      </c>
      <c r="U12" s="394" t="s">
        <v>973</v>
      </c>
      <c r="V12" s="394" t="s">
        <v>974</v>
      </c>
      <c r="W12" s="394" t="s">
        <v>975</v>
      </c>
      <c r="X12" s="394" t="s">
        <v>976</v>
      </c>
      <c r="Y12" s="394" t="s">
        <v>977</v>
      </c>
      <c r="Z12" s="394" t="s">
        <v>978</v>
      </c>
      <c r="AA12" s="394" t="s">
        <v>979</v>
      </c>
      <c r="AB12" s="394" t="s">
        <v>980</v>
      </c>
      <c r="AC12" s="324" t="s">
        <v>196</v>
      </c>
      <c r="AD12" s="324" t="str">
        <f t="shared" ref="AD12:AD26" si="0">A12</f>
        <v>Line</v>
      </c>
    </row>
    <row r="13" spans="1:30">
      <c r="A13" s="320">
        <v>100</v>
      </c>
      <c r="B13" s="552" t="s">
        <v>75</v>
      </c>
      <c r="C13" s="197">
        <f>'1-DRR'!$K$2-1</f>
        <v>2020</v>
      </c>
      <c r="D13" s="382">
        <v>63027771.540000007</v>
      </c>
      <c r="E13" s="382">
        <v>121789472.85000004</v>
      </c>
      <c r="F13" s="382">
        <v>287916401.14000022</v>
      </c>
      <c r="G13" s="382">
        <v>41228172.840000004</v>
      </c>
      <c r="H13" s="382">
        <v>3895742182.2900028</v>
      </c>
      <c r="I13" s="382">
        <v>1993014.9000000004</v>
      </c>
      <c r="J13" s="382">
        <v>32567442.010000005</v>
      </c>
      <c r="K13" s="382">
        <v>6486792396.2000065</v>
      </c>
      <c r="L13" s="382">
        <v>5408929665.4400043</v>
      </c>
      <c r="M13" s="382">
        <v>3304179298.1400008</v>
      </c>
      <c r="N13" s="382">
        <v>5340479209.1599913</v>
      </c>
      <c r="O13" s="382">
        <v>3287960869.8999987</v>
      </c>
      <c r="P13" s="382">
        <v>1226643037.5000005</v>
      </c>
      <c r="Q13" s="382">
        <v>1021426055.2499996</v>
      </c>
      <c r="R13" s="382">
        <v>2740493019.6300011</v>
      </c>
      <c r="S13" s="382">
        <v>101249085.03999999</v>
      </c>
      <c r="T13" s="382">
        <v>1207615475.4699998</v>
      </c>
      <c r="U13" s="382">
        <v>27313911.41</v>
      </c>
      <c r="V13" s="382">
        <v>5218.9600000000009</v>
      </c>
      <c r="W13" s="382">
        <v>2124123.9299999997</v>
      </c>
      <c r="X13" s="382">
        <v>895447.84000000008</v>
      </c>
      <c r="Y13" s="382">
        <v>14583742.070000002</v>
      </c>
      <c r="Z13" s="382">
        <v>55991260.379999988</v>
      </c>
      <c r="AA13" s="382">
        <v>126364180.29000001</v>
      </c>
      <c r="AB13" s="382">
        <v>71947422.940000042</v>
      </c>
      <c r="AC13" s="556">
        <f t="shared" ref="AC13:AC25" si="1">SUM(D13:AB13)</f>
        <v>34869257877.120003</v>
      </c>
      <c r="AD13" s="320">
        <f t="shared" si="0"/>
        <v>100</v>
      </c>
    </row>
    <row r="14" spans="1:30">
      <c r="A14" s="320">
        <f>A13+1</f>
        <v>101</v>
      </c>
      <c r="B14" s="552" t="s">
        <v>76</v>
      </c>
      <c r="C14" s="197">
        <f>'1-DRR'!$K$2</f>
        <v>2021</v>
      </c>
      <c r="D14" s="382">
        <v>64148859.289999999</v>
      </c>
      <c r="E14" s="382">
        <v>121783986.58000004</v>
      </c>
      <c r="F14" s="382">
        <v>288178288.62000024</v>
      </c>
      <c r="G14" s="382">
        <v>41225807.419999987</v>
      </c>
      <c r="H14" s="382">
        <v>3896212395.8099976</v>
      </c>
      <c r="I14" s="382">
        <v>2003774.39</v>
      </c>
      <c r="J14" s="382">
        <v>32567442.200000003</v>
      </c>
      <c r="K14" s="382">
        <v>6525763225.8399973</v>
      </c>
      <c r="L14" s="382">
        <v>5406583591.7300043</v>
      </c>
      <c r="M14" s="382">
        <v>3322653576.5900011</v>
      </c>
      <c r="N14" s="382">
        <v>5364560098.4399986</v>
      </c>
      <c r="O14" s="382">
        <v>3303351241.4899969</v>
      </c>
      <c r="P14" s="382">
        <v>1241039600.7600002</v>
      </c>
      <c r="Q14" s="382">
        <v>1022069891.6599996</v>
      </c>
      <c r="R14" s="382">
        <v>2754436221.8900023</v>
      </c>
      <c r="S14" s="382">
        <v>102432511.8</v>
      </c>
      <c r="T14" s="382">
        <v>1210530842.2299995</v>
      </c>
      <c r="U14" s="382">
        <v>27313911.539999999</v>
      </c>
      <c r="V14" s="382">
        <v>5218.96</v>
      </c>
      <c r="W14" s="382">
        <v>2147842.09</v>
      </c>
      <c r="X14" s="382">
        <v>895447.8</v>
      </c>
      <c r="Y14" s="382">
        <v>14605572.049999999</v>
      </c>
      <c r="Z14" s="382">
        <v>56138460.779999986</v>
      </c>
      <c r="AA14" s="382">
        <v>126726030.62000005</v>
      </c>
      <c r="AB14" s="382">
        <v>72509835.970000044</v>
      </c>
      <c r="AC14" s="556">
        <f t="shared" si="1"/>
        <v>34999883676.550003</v>
      </c>
      <c r="AD14" s="320">
        <f t="shared" si="0"/>
        <v>101</v>
      </c>
    </row>
    <row r="15" spans="1:30">
      <c r="A15" s="320">
        <f t="shared" ref="A15:A26" si="2">A14+1</f>
        <v>102</v>
      </c>
      <c r="B15" s="552" t="s">
        <v>77</v>
      </c>
      <c r="C15" s="197">
        <f>'1-DRR'!$K$2</f>
        <v>2021</v>
      </c>
      <c r="D15" s="382">
        <v>63821914.379999995</v>
      </c>
      <c r="E15" s="382">
        <v>121795987.58000003</v>
      </c>
      <c r="F15" s="382">
        <v>290358978.2300002</v>
      </c>
      <c r="G15" s="382">
        <v>41223785.580000006</v>
      </c>
      <c r="H15" s="382">
        <v>3919594533.2999954</v>
      </c>
      <c r="I15" s="382">
        <v>2246561.5700000003</v>
      </c>
      <c r="J15" s="382">
        <v>30056380.199999999</v>
      </c>
      <c r="K15" s="382">
        <v>6569736841.7300081</v>
      </c>
      <c r="L15" s="382">
        <v>5423138078.5600004</v>
      </c>
      <c r="M15" s="382">
        <v>3337304241.0400014</v>
      </c>
      <c r="N15" s="382">
        <v>5384000931.250001</v>
      </c>
      <c r="O15" s="382">
        <v>3319906188.289999</v>
      </c>
      <c r="P15" s="382">
        <v>1259466671.0600004</v>
      </c>
      <c r="Q15" s="382">
        <v>1024178976.8699999</v>
      </c>
      <c r="R15" s="382">
        <v>2763750305.3400016</v>
      </c>
      <c r="S15" s="382">
        <v>103818620.19000004</v>
      </c>
      <c r="T15" s="382">
        <v>1212112891.9299994</v>
      </c>
      <c r="U15" s="382">
        <v>27313911.539999999</v>
      </c>
      <c r="V15" s="382">
        <v>5218.96</v>
      </c>
      <c r="W15" s="382">
        <v>2173755.2200000002</v>
      </c>
      <c r="X15" s="382">
        <v>895447.79999999993</v>
      </c>
      <c r="Y15" s="382">
        <v>14622724.189999992</v>
      </c>
      <c r="Z15" s="382">
        <v>56202290.489999987</v>
      </c>
      <c r="AA15" s="382">
        <v>126972627.44</v>
      </c>
      <c r="AB15" s="382">
        <v>72685583.670000017</v>
      </c>
      <c r="AC15" s="556">
        <f t="shared" si="1"/>
        <v>35167383446.410011</v>
      </c>
      <c r="AD15" s="320">
        <f t="shared" si="0"/>
        <v>102</v>
      </c>
    </row>
    <row r="16" spans="1:30">
      <c r="A16" s="320">
        <f t="shared" si="2"/>
        <v>103</v>
      </c>
      <c r="B16" s="552" t="s">
        <v>78</v>
      </c>
      <c r="C16" s="197">
        <f>'1-DRR'!$K$2</f>
        <v>2021</v>
      </c>
      <c r="D16" s="382">
        <v>59856912.960000031</v>
      </c>
      <c r="E16" s="382">
        <v>121821433.88000004</v>
      </c>
      <c r="F16" s="382">
        <v>293621800.82000041</v>
      </c>
      <c r="G16" s="382">
        <v>40949724.370000012</v>
      </c>
      <c r="H16" s="382">
        <v>3948369366.9799986</v>
      </c>
      <c r="I16" s="382">
        <v>2269898.9</v>
      </c>
      <c r="J16" s="382">
        <v>30056380.199999999</v>
      </c>
      <c r="K16" s="382">
        <v>6626016168.7400026</v>
      </c>
      <c r="L16" s="382">
        <v>5457980664.7399988</v>
      </c>
      <c r="M16" s="382">
        <v>3377251115.6900015</v>
      </c>
      <c r="N16" s="382">
        <v>5463084746.2400017</v>
      </c>
      <c r="O16" s="382">
        <v>3389089053.849997</v>
      </c>
      <c r="P16" s="382">
        <v>1277177144.2300005</v>
      </c>
      <c r="Q16" s="382">
        <v>1030354311.1599996</v>
      </c>
      <c r="R16" s="382">
        <v>2774243056.0600038</v>
      </c>
      <c r="S16" s="382">
        <v>105298187.01000006</v>
      </c>
      <c r="T16" s="382">
        <v>1215225201.6400003</v>
      </c>
      <c r="U16" s="382">
        <v>27313911.539999999</v>
      </c>
      <c r="V16" s="382">
        <v>5218.96</v>
      </c>
      <c r="W16" s="382">
        <v>2217949.2499999995</v>
      </c>
      <c r="X16" s="382">
        <v>895447.79999999993</v>
      </c>
      <c r="Y16" s="382">
        <v>14683002.599999998</v>
      </c>
      <c r="Z16" s="382">
        <v>56415986.049999997</v>
      </c>
      <c r="AA16" s="382">
        <v>127124160.46000001</v>
      </c>
      <c r="AB16" s="382">
        <v>72900875.570000038</v>
      </c>
      <c r="AC16" s="556">
        <f t="shared" si="1"/>
        <v>35514221719.700012</v>
      </c>
      <c r="AD16" s="320">
        <f t="shared" si="0"/>
        <v>103</v>
      </c>
    </row>
    <row r="17" spans="1:32">
      <c r="A17" s="320">
        <f t="shared" si="2"/>
        <v>104</v>
      </c>
      <c r="B17" s="552" t="s">
        <v>79</v>
      </c>
      <c r="C17" s="197">
        <f>'1-DRR'!$K$2</f>
        <v>2021</v>
      </c>
      <c r="D17" s="382">
        <v>59867641.300000004</v>
      </c>
      <c r="E17" s="382">
        <v>121821433.16</v>
      </c>
      <c r="F17" s="382">
        <v>293945518.45000005</v>
      </c>
      <c r="G17" s="382">
        <v>40951841.450000018</v>
      </c>
      <c r="H17" s="382">
        <v>3959553062.1100049</v>
      </c>
      <c r="I17" s="382">
        <v>2304052.6399999997</v>
      </c>
      <c r="J17" s="382">
        <v>30056380.57</v>
      </c>
      <c r="K17" s="382">
        <v>6691785974.840003</v>
      </c>
      <c r="L17" s="382">
        <v>5485411273.9800053</v>
      </c>
      <c r="M17" s="382">
        <v>3393699434.9899988</v>
      </c>
      <c r="N17" s="382">
        <v>5494934550.3499994</v>
      </c>
      <c r="O17" s="382">
        <v>3418142971.2499962</v>
      </c>
      <c r="P17" s="382">
        <v>1296932614.0399995</v>
      </c>
      <c r="Q17" s="382">
        <v>1034799818.5299997</v>
      </c>
      <c r="R17" s="382">
        <v>2789388887.2200012</v>
      </c>
      <c r="S17" s="382">
        <v>106962082.01000004</v>
      </c>
      <c r="T17" s="382">
        <v>1224794385.4499996</v>
      </c>
      <c r="U17" s="382">
        <v>27313911.41</v>
      </c>
      <c r="V17" s="382">
        <v>10228.049999999999</v>
      </c>
      <c r="W17" s="382">
        <v>3854361.27</v>
      </c>
      <c r="X17" s="382">
        <v>895447.84000000008</v>
      </c>
      <c r="Y17" s="382">
        <v>14716713.940000001</v>
      </c>
      <c r="Z17" s="382">
        <v>56629893.779999994</v>
      </c>
      <c r="AA17" s="382">
        <v>127321283.14000005</v>
      </c>
      <c r="AB17" s="382">
        <v>73097934.100000024</v>
      </c>
      <c r="AC17" s="556">
        <f t="shared" si="1"/>
        <v>35749191695.870003</v>
      </c>
      <c r="AD17" s="320">
        <f t="shared" si="0"/>
        <v>104</v>
      </c>
    </row>
    <row r="18" spans="1:32">
      <c r="A18" s="320">
        <f t="shared" si="2"/>
        <v>105</v>
      </c>
      <c r="B18" s="552" t="s">
        <v>61</v>
      </c>
      <c r="C18" s="197">
        <f>'1-DRR'!$K$2</f>
        <v>2021</v>
      </c>
      <c r="D18" s="382">
        <v>60934673.170000009</v>
      </c>
      <c r="E18" s="382">
        <v>121819531.52000004</v>
      </c>
      <c r="F18" s="382">
        <v>294093441.84000015</v>
      </c>
      <c r="G18" s="382">
        <v>40960640.219999976</v>
      </c>
      <c r="H18" s="382">
        <v>3981747460.8299994</v>
      </c>
      <c r="I18" s="382">
        <v>2312371.09</v>
      </c>
      <c r="J18" s="382">
        <v>30241259.109999999</v>
      </c>
      <c r="K18" s="382">
        <v>6733266347.7000017</v>
      </c>
      <c r="L18" s="382">
        <v>5515310925.6499977</v>
      </c>
      <c r="M18" s="382">
        <v>3414193138.110002</v>
      </c>
      <c r="N18" s="382">
        <v>5526944407.5600014</v>
      </c>
      <c r="O18" s="382">
        <v>3449235181.849998</v>
      </c>
      <c r="P18" s="382">
        <v>1312358538.2799993</v>
      </c>
      <c r="Q18" s="382">
        <v>1039415030.4000001</v>
      </c>
      <c r="R18" s="382">
        <v>2802484143.9499998</v>
      </c>
      <c r="S18" s="382">
        <v>108358181.34</v>
      </c>
      <c r="T18" s="382">
        <v>1228172053.8899989</v>
      </c>
      <c r="U18" s="382">
        <v>27313911.539999999</v>
      </c>
      <c r="V18" s="382">
        <v>10228.049999999999</v>
      </c>
      <c r="W18" s="382">
        <v>3866931.8099999996</v>
      </c>
      <c r="X18" s="382">
        <v>895447.8</v>
      </c>
      <c r="Y18" s="382">
        <v>14868628.900000002</v>
      </c>
      <c r="Z18" s="382">
        <v>56875773.690000005</v>
      </c>
      <c r="AA18" s="382">
        <v>127458295.64000003</v>
      </c>
      <c r="AB18" s="382">
        <v>73206010.639999986</v>
      </c>
      <c r="AC18" s="556">
        <f t="shared" si="1"/>
        <v>35966342554.580009</v>
      </c>
      <c r="AD18" s="320">
        <f t="shared" si="0"/>
        <v>105</v>
      </c>
    </row>
    <row r="19" spans="1:32">
      <c r="A19" s="320">
        <f t="shared" si="2"/>
        <v>106</v>
      </c>
      <c r="B19" s="552" t="s">
        <v>146</v>
      </c>
      <c r="C19" s="197">
        <f>'1-DRR'!$K$2</f>
        <v>2021</v>
      </c>
      <c r="D19" s="382">
        <v>60965251.570000008</v>
      </c>
      <c r="E19" s="382">
        <v>121819531.64000003</v>
      </c>
      <c r="F19" s="382">
        <v>294636305.58000016</v>
      </c>
      <c r="G19" s="382">
        <v>40961996.230000004</v>
      </c>
      <c r="H19" s="382">
        <v>3992240159.0700011</v>
      </c>
      <c r="I19" s="382">
        <v>2325607.38</v>
      </c>
      <c r="J19" s="382">
        <v>30259165.650000002</v>
      </c>
      <c r="K19" s="382">
        <v>6755627356.9100018</v>
      </c>
      <c r="L19" s="382">
        <v>5550953597.3600073</v>
      </c>
      <c r="M19" s="382">
        <v>3452918553.23</v>
      </c>
      <c r="N19" s="382">
        <v>5599132116.8699989</v>
      </c>
      <c r="O19" s="382">
        <v>3481692856.219995</v>
      </c>
      <c r="P19" s="382">
        <v>1335543847.2899995</v>
      </c>
      <c r="Q19" s="382">
        <v>1043460522.0400001</v>
      </c>
      <c r="R19" s="382">
        <v>2819599366.6799998</v>
      </c>
      <c r="S19" s="382">
        <v>110189818.24000005</v>
      </c>
      <c r="T19" s="382">
        <v>1231832195.0499995</v>
      </c>
      <c r="U19" s="382">
        <v>27313911.539999999</v>
      </c>
      <c r="V19" s="382">
        <v>10228.049999999999</v>
      </c>
      <c r="W19" s="382">
        <v>3864473.8999999994</v>
      </c>
      <c r="X19" s="382">
        <v>895447.79999999993</v>
      </c>
      <c r="Y19" s="382">
        <v>14930293.040000003</v>
      </c>
      <c r="Z19" s="382">
        <v>57506336.979999982</v>
      </c>
      <c r="AA19" s="382">
        <v>127674285.01000005</v>
      </c>
      <c r="AB19" s="382">
        <v>73666898.480000019</v>
      </c>
      <c r="AC19" s="556">
        <f t="shared" si="1"/>
        <v>36230020121.81002</v>
      </c>
      <c r="AD19" s="320">
        <f t="shared" si="0"/>
        <v>106</v>
      </c>
    </row>
    <row r="20" spans="1:32">
      <c r="A20" s="320">
        <f t="shared" si="2"/>
        <v>107</v>
      </c>
      <c r="B20" s="552" t="s">
        <v>81</v>
      </c>
      <c r="C20" s="197">
        <f>'1-DRR'!$K$2</f>
        <v>2021</v>
      </c>
      <c r="D20" s="382">
        <v>61084242.470000044</v>
      </c>
      <c r="E20" s="382">
        <v>121819531.64000003</v>
      </c>
      <c r="F20" s="382">
        <v>294645672.5400002</v>
      </c>
      <c r="G20" s="382">
        <v>40872722.780000009</v>
      </c>
      <c r="H20" s="382">
        <v>4004736771.3099971</v>
      </c>
      <c r="I20" s="382">
        <v>2344176.9200000004</v>
      </c>
      <c r="J20" s="382">
        <v>30303177.449999996</v>
      </c>
      <c r="K20" s="382">
        <v>6792407072.4300003</v>
      </c>
      <c r="L20" s="382">
        <v>5577289839.0600023</v>
      </c>
      <c r="M20" s="382">
        <v>3462199527.8800006</v>
      </c>
      <c r="N20" s="382">
        <v>5628526562.8399973</v>
      </c>
      <c r="O20" s="382">
        <v>3502421999.2099977</v>
      </c>
      <c r="P20" s="382">
        <v>1350841186.8900008</v>
      </c>
      <c r="Q20" s="382">
        <v>1029665638.9300003</v>
      </c>
      <c r="R20" s="382">
        <v>2825267774.8600001</v>
      </c>
      <c r="S20" s="382">
        <v>111185024.34000005</v>
      </c>
      <c r="T20" s="382">
        <v>1234670701.95</v>
      </c>
      <c r="U20" s="382">
        <v>27313911.539999999</v>
      </c>
      <c r="V20" s="382">
        <v>10228.049999999999</v>
      </c>
      <c r="W20" s="382">
        <v>3980850.6399999997</v>
      </c>
      <c r="X20" s="382">
        <v>895447.79999999993</v>
      </c>
      <c r="Y20" s="382">
        <v>15067418.389999997</v>
      </c>
      <c r="Z20" s="382">
        <v>57654195.229999997</v>
      </c>
      <c r="AA20" s="382">
        <v>154358487.63000003</v>
      </c>
      <c r="AB20" s="382">
        <v>73930142.960000008</v>
      </c>
      <c r="AC20" s="556">
        <f t="shared" si="1"/>
        <v>36403492305.73999</v>
      </c>
      <c r="AD20" s="320">
        <f t="shared" si="0"/>
        <v>107</v>
      </c>
    </row>
    <row r="21" spans="1:32">
      <c r="A21" s="320">
        <f t="shared" si="2"/>
        <v>108</v>
      </c>
      <c r="B21" s="552" t="s">
        <v>82</v>
      </c>
      <c r="C21" s="197">
        <f>'1-DRR'!$K$2</f>
        <v>2021</v>
      </c>
      <c r="D21" s="382">
        <v>61194340.670000002</v>
      </c>
      <c r="E21" s="382">
        <v>121794627.25000001</v>
      </c>
      <c r="F21" s="382">
        <v>295022674.30000019</v>
      </c>
      <c r="G21" s="382">
        <v>39028582.399999999</v>
      </c>
      <c r="H21" s="382">
        <v>4010916528.9799972</v>
      </c>
      <c r="I21" s="382">
        <v>2398007.0499999998</v>
      </c>
      <c r="J21" s="382">
        <v>30280193.02</v>
      </c>
      <c r="K21" s="382">
        <v>6850575157.510004</v>
      </c>
      <c r="L21" s="382">
        <v>5603347957.1000004</v>
      </c>
      <c r="M21" s="382">
        <v>3484498275.0499997</v>
      </c>
      <c r="N21" s="382">
        <v>5673803788.2000008</v>
      </c>
      <c r="O21" s="382">
        <v>3528512133.4700012</v>
      </c>
      <c r="P21" s="382">
        <v>1367037868.8599992</v>
      </c>
      <c r="Q21" s="382">
        <v>1035116264.3100004</v>
      </c>
      <c r="R21" s="382">
        <v>2838829850.4099998</v>
      </c>
      <c r="S21" s="382">
        <v>111817080.27000009</v>
      </c>
      <c r="T21" s="382">
        <v>1237840584.009999</v>
      </c>
      <c r="U21" s="382">
        <v>27313911.539999999</v>
      </c>
      <c r="V21" s="382">
        <v>10228.049999999999</v>
      </c>
      <c r="W21" s="382">
        <v>3980182.4399999995</v>
      </c>
      <c r="X21" s="382">
        <v>895447.79999999993</v>
      </c>
      <c r="Y21" s="382">
        <v>15064980.000000004</v>
      </c>
      <c r="Z21" s="382">
        <v>57806476.37000002</v>
      </c>
      <c r="AA21" s="382">
        <v>154482286.53</v>
      </c>
      <c r="AB21" s="382">
        <v>73927214.409999982</v>
      </c>
      <c r="AC21" s="556">
        <f t="shared" si="1"/>
        <v>36625494640.000015</v>
      </c>
      <c r="AD21" s="320">
        <f t="shared" si="0"/>
        <v>108</v>
      </c>
    </row>
    <row r="22" spans="1:32">
      <c r="A22" s="320">
        <f t="shared" si="2"/>
        <v>109</v>
      </c>
      <c r="B22" s="552" t="s">
        <v>83</v>
      </c>
      <c r="C22" s="197">
        <f>'1-DRR'!$K$2</f>
        <v>2021</v>
      </c>
      <c r="D22" s="382">
        <v>61206488.210000023</v>
      </c>
      <c r="E22" s="382">
        <v>121794650.40000002</v>
      </c>
      <c r="F22" s="382">
        <v>295282086.77000028</v>
      </c>
      <c r="G22" s="382">
        <v>38974193.600000001</v>
      </c>
      <c r="H22" s="382">
        <v>4017148485.7900004</v>
      </c>
      <c r="I22" s="382">
        <v>763525.55999999994</v>
      </c>
      <c r="J22" s="382">
        <v>30259421.949999996</v>
      </c>
      <c r="K22" s="382">
        <v>6926903501.9000006</v>
      </c>
      <c r="L22" s="382">
        <v>5638589835.0699987</v>
      </c>
      <c r="M22" s="382">
        <v>3516360022.039999</v>
      </c>
      <c r="N22" s="382">
        <v>5732951496.4599981</v>
      </c>
      <c r="O22" s="382">
        <v>3550987710.1700001</v>
      </c>
      <c r="P22" s="382">
        <v>1383512290.9599993</v>
      </c>
      <c r="Q22" s="382">
        <v>1029418186.6900005</v>
      </c>
      <c r="R22" s="382">
        <v>2851130171.7600017</v>
      </c>
      <c r="S22" s="382">
        <v>113204667.72000004</v>
      </c>
      <c r="T22" s="382">
        <v>1241350914.1199994</v>
      </c>
      <c r="U22" s="382">
        <v>27313911.539999999</v>
      </c>
      <c r="V22" s="382">
        <v>10228.049999999999</v>
      </c>
      <c r="W22" s="382">
        <v>3983065.5699999994</v>
      </c>
      <c r="X22" s="382">
        <v>895447.79999999993</v>
      </c>
      <c r="Y22" s="382">
        <v>15136761.57</v>
      </c>
      <c r="Z22" s="382">
        <v>57881306.740000002</v>
      </c>
      <c r="AA22" s="382">
        <v>168157118.47000006</v>
      </c>
      <c r="AB22" s="382">
        <v>74075152.159999982</v>
      </c>
      <c r="AC22" s="556">
        <f t="shared" si="1"/>
        <v>36897290641.070015</v>
      </c>
      <c r="AD22" s="320">
        <f t="shared" si="0"/>
        <v>109</v>
      </c>
    </row>
    <row r="23" spans="1:32">
      <c r="A23" s="320">
        <f t="shared" si="2"/>
        <v>110</v>
      </c>
      <c r="B23" s="552" t="s">
        <v>84</v>
      </c>
      <c r="C23" s="197">
        <f>'1-DRR'!$K$2</f>
        <v>2021</v>
      </c>
      <c r="D23" s="382">
        <v>61213964.209999993</v>
      </c>
      <c r="E23" s="382">
        <v>121794653.81000002</v>
      </c>
      <c r="F23" s="382">
        <v>296596219.9600001</v>
      </c>
      <c r="G23" s="382">
        <v>38878093.25999999</v>
      </c>
      <c r="H23" s="382">
        <v>4028537117.0600019</v>
      </c>
      <c r="I23" s="382">
        <v>841548.88000000012</v>
      </c>
      <c r="J23" s="382">
        <v>30259421.949999999</v>
      </c>
      <c r="K23" s="382">
        <v>6983366130.5900154</v>
      </c>
      <c r="L23" s="382">
        <v>5658130876.8499994</v>
      </c>
      <c r="M23" s="382">
        <v>3539659863.659997</v>
      </c>
      <c r="N23" s="382">
        <v>5766813962.9300032</v>
      </c>
      <c r="O23" s="382">
        <v>3574207431.5400014</v>
      </c>
      <c r="P23" s="382">
        <v>1400387754.6299996</v>
      </c>
      <c r="Q23" s="382">
        <v>1031739810.7699999</v>
      </c>
      <c r="R23" s="382">
        <v>2862068826.4500012</v>
      </c>
      <c r="S23" s="382">
        <v>114262035.01000002</v>
      </c>
      <c r="T23" s="382">
        <v>1243398305.6000001</v>
      </c>
      <c r="U23" s="382">
        <v>27313911.539999999</v>
      </c>
      <c r="V23" s="382">
        <v>10228.049999999999</v>
      </c>
      <c r="W23" s="382">
        <v>3986520.49</v>
      </c>
      <c r="X23" s="382">
        <v>895447.79999999993</v>
      </c>
      <c r="Y23" s="382">
        <v>15170061.739999996</v>
      </c>
      <c r="Z23" s="382">
        <v>58090137.000000015</v>
      </c>
      <c r="AA23" s="382">
        <v>168290839.34999987</v>
      </c>
      <c r="AB23" s="382">
        <v>74205368.549999997</v>
      </c>
      <c r="AC23" s="556">
        <f t="shared" si="1"/>
        <v>37100118531.680023</v>
      </c>
      <c r="AD23" s="320">
        <f t="shared" si="0"/>
        <v>110</v>
      </c>
    </row>
    <row r="24" spans="1:32">
      <c r="A24" s="320">
        <f t="shared" si="2"/>
        <v>111</v>
      </c>
      <c r="B24" s="552" t="s">
        <v>85</v>
      </c>
      <c r="C24" s="197">
        <f>'1-DRR'!$K$2</f>
        <v>2021</v>
      </c>
      <c r="D24" s="382">
        <v>61174965.459999993</v>
      </c>
      <c r="E24" s="382">
        <v>121794763.34</v>
      </c>
      <c r="F24" s="382">
        <v>296867883.12000012</v>
      </c>
      <c r="G24" s="382">
        <v>38416719.759999998</v>
      </c>
      <c r="H24" s="382">
        <v>4035329334.4700041</v>
      </c>
      <c r="I24" s="382">
        <v>848799.92999999993</v>
      </c>
      <c r="J24" s="382">
        <v>30056380.57</v>
      </c>
      <c r="K24" s="382">
        <v>6765420892.3200006</v>
      </c>
      <c r="L24" s="382">
        <v>5406340697.9900026</v>
      </c>
      <c r="M24" s="382">
        <v>3516556595.5799975</v>
      </c>
      <c r="N24" s="382">
        <v>5742698473.6699972</v>
      </c>
      <c r="O24" s="382">
        <v>3549512853.6499996</v>
      </c>
      <c r="P24" s="382">
        <v>1410861326.6600001</v>
      </c>
      <c r="Q24" s="382">
        <v>1027639296.5599998</v>
      </c>
      <c r="R24" s="382">
        <v>2868049189.7500005</v>
      </c>
      <c r="S24" s="382">
        <v>115010822.05000007</v>
      </c>
      <c r="T24" s="382">
        <v>1246599901.8</v>
      </c>
      <c r="U24" s="382">
        <v>27313911.41</v>
      </c>
      <c r="V24" s="382">
        <v>10228.049999999999</v>
      </c>
      <c r="W24" s="382">
        <v>3983575.8000000003</v>
      </c>
      <c r="X24" s="382">
        <v>895447.84000000008</v>
      </c>
      <c r="Y24" s="382">
        <v>15080772.640000002</v>
      </c>
      <c r="Z24" s="382">
        <v>57916702.970000029</v>
      </c>
      <c r="AA24" s="382">
        <v>168362058.77999994</v>
      </c>
      <c r="AB24" s="382">
        <v>74258790.13000001</v>
      </c>
      <c r="AC24" s="556">
        <f t="shared" si="1"/>
        <v>36581000384.300011</v>
      </c>
      <c r="AD24" s="320">
        <f t="shared" si="0"/>
        <v>111</v>
      </c>
      <c r="AE24" s="506"/>
    </row>
    <row r="25" spans="1:32">
      <c r="A25" s="320">
        <f t="shared" si="2"/>
        <v>112</v>
      </c>
      <c r="B25" s="552" t="s">
        <v>75</v>
      </c>
      <c r="C25" s="197">
        <f>'1-DRR'!$K$2</f>
        <v>2021</v>
      </c>
      <c r="D25" s="382">
        <v>59924411.959999986</v>
      </c>
      <c r="E25" s="382">
        <v>122249311.82999997</v>
      </c>
      <c r="F25" s="382">
        <v>298746420.45000023</v>
      </c>
      <c r="G25" s="382">
        <v>38417584.519999988</v>
      </c>
      <c r="H25" s="382">
        <v>4059802418.5799923</v>
      </c>
      <c r="I25" s="382">
        <v>333686.91000000003</v>
      </c>
      <c r="J25" s="382">
        <v>30056380.57</v>
      </c>
      <c r="K25" s="382">
        <v>6935248124.7499971</v>
      </c>
      <c r="L25" s="382">
        <v>5457839457.5400009</v>
      </c>
      <c r="M25" s="382">
        <v>3542954677.8700008</v>
      </c>
      <c r="N25" s="382">
        <v>5778042518.9799976</v>
      </c>
      <c r="O25" s="382">
        <v>3576791953.1699986</v>
      </c>
      <c r="P25" s="382">
        <v>1431524018.4900002</v>
      </c>
      <c r="Q25" s="382">
        <v>1033469206.8400004</v>
      </c>
      <c r="R25" s="382">
        <v>2881464613.9700017</v>
      </c>
      <c r="S25" s="382">
        <v>116267283.02000006</v>
      </c>
      <c r="T25" s="382">
        <v>1252530966.6099999</v>
      </c>
      <c r="U25" s="382">
        <v>27313911.41</v>
      </c>
      <c r="V25" s="382">
        <v>10228.049999999999</v>
      </c>
      <c r="W25" s="382">
        <v>3938094.8000000007</v>
      </c>
      <c r="X25" s="382">
        <v>895447.84</v>
      </c>
      <c r="Y25" s="382">
        <v>15117496.18</v>
      </c>
      <c r="Z25" s="382">
        <v>57968810.010000028</v>
      </c>
      <c r="AA25" s="382">
        <v>168662538.01999992</v>
      </c>
      <c r="AB25" s="382">
        <v>74563569.629999965</v>
      </c>
      <c r="AC25" s="556">
        <f t="shared" si="1"/>
        <v>36964133131.999985</v>
      </c>
      <c r="AD25" s="320">
        <f t="shared" si="0"/>
        <v>112</v>
      </c>
      <c r="AE25" s="506"/>
      <c r="AF25" s="556"/>
    </row>
    <row r="26" spans="1:32">
      <c r="A26" s="320">
        <f t="shared" si="2"/>
        <v>113</v>
      </c>
      <c r="B26" s="557" t="s">
        <v>197</v>
      </c>
      <c r="C26" s="558"/>
      <c r="D26" s="549">
        <f>SUM(D13:D25)/13</f>
        <v>61417033.63000001</v>
      </c>
      <c r="E26" s="549">
        <f t="shared" ref="E26:AB26" si="3">SUM(E13:E25)/13</f>
        <v>121838378.11384615</v>
      </c>
      <c r="F26" s="549">
        <f t="shared" si="3"/>
        <v>293839360.90923101</v>
      </c>
      <c r="G26" s="549">
        <f t="shared" si="3"/>
        <v>40160758.802307695</v>
      </c>
      <c r="H26" s="549">
        <f t="shared" si="3"/>
        <v>3980763832.0446148</v>
      </c>
      <c r="I26" s="549">
        <f t="shared" si="3"/>
        <v>1768078.932307692</v>
      </c>
      <c r="J26" s="549">
        <f t="shared" si="3"/>
        <v>30539955.803846154</v>
      </c>
      <c r="K26" s="549">
        <f t="shared" si="3"/>
        <v>6741762245.4969273</v>
      </c>
      <c r="L26" s="549">
        <f t="shared" si="3"/>
        <v>5506911266.2361555</v>
      </c>
      <c r="M26" s="549">
        <f t="shared" si="3"/>
        <v>3435725255.3746152</v>
      </c>
      <c r="N26" s="549">
        <f t="shared" si="3"/>
        <v>5576613297.1499987</v>
      </c>
      <c r="O26" s="549">
        <f t="shared" si="3"/>
        <v>3456293264.927691</v>
      </c>
      <c r="P26" s="549">
        <f t="shared" si="3"/>
        <v>1330255838.4346151</v>
      </c>
      <c r="Q26" s="549">
        <f t="shared" si="3"/>
        <v>1030981000.77</v>
      </c>
      <c r="R26" s="549">
        <f t="shared" si="3"/>
        <v>2813169648.3053861</v>
      </c>
      <c r="S26" s="549">
        <f t="shared" si="3"/>
        <v>109235030.61846158</v>
      </c>
      <c r="T26" s="549">
        <f t="shared" si="3"/>
        <v>1229744186.1346149</v>
      </c>
      <c r="U26" s="549">
        <f t="shared" si="3"/>
        <v>27313911.500000004</v>
      </c>
      <c r="V26" s="549">
        <f t="shared" si="3"/>
        <v>8686.7915384615408</v>
      </c>
      <c r="W26" s="549">
        <f t="shared" si="3"/>
        <v>3392440.554615384</v>
      </c>
      <c r="X26" s="549">
        <f t="shared" si="3"/>
        <v>895447.81230769237</v>
      </c>
      <c r="Y26" s="549">
        <f t="shared" si="3"/>
        <v>14896012.870000003</v>
      </c>
      <c r="Z26" s="549">
        <f t="shared" si="3"/>
        <v>57159817.728461534</v>
      </c>
      <c r="AA26" s="549">
        <f t="shared" si="3"/>
        <v>143996476.26000002</v>
      </c>
      <c r="AB26" s="549">
        <f t="shared" si="3"/>
        <v>73459599.93923077</v>
      </c>
      <c r="AC26" s="549">
        <f t="shared" ref="AC26" si="4">SUM(AC13:AC25)/13</f>
        <v>36082140825.14077</v>
      </c>
      <c r="AD26" s="320">
        <f t="shared" si="0"/>
        <v>113</v>
      </c>
      <c r="AE26" s="506"/>
    </row>
    <row r="27" spans="1:32">
      <c r="A27" s="318"/>
      <c r="B27" s="317"/>
      <c r="C27" s="317"/>
      <c r="D27" s="317"/>
      <c r="E27" s="317"/>
      <c r="F27" s="317"/>
      <c r="G27" s="317"/>
      <c r="H27" s="317"/>
      <c r="I27" s="317"/>
      <c r="J27" s="317"/>
      <c r="K27" s="317"/>
      <c r="L27" s="317"/>
      <c r="M27" s="317"/>
      <c r="N27" s="317"/>
      <c r="O27" s="317"/>
      <c r="P27" s="317"/>
      <c r="Q27" s="317"/>
      <c r="AD27" s="320"/>
    </row>
    <row r="28" spans="1:32">
      <c r="A28" s="318"/>
      <c r="B28" s="317"/>
      <c r="C28" s="317"/>
      <c r="D28" s="317"/>
      <c r="E28" s="317"/>
      <c r="F28" s="317"/>
      <c r="G28" s="317"/>
      <c r="H28" s="317"/>
      <c r="I28" s="317"/>
      <c r="J28" s="317"/>
      <c r="K28" s="317"/>
      <c r="L28" s="317"/>
      <c r="M28" s="317"/>
      <c r="N28" s="317"/>
      <c r="O28" s="317"/>
      <c r="P28" s="317"/>
      <c r="Q28" s="317"/>
      <c r="V28" s="123"/>
      <c r="W28" s="123"/>
      <c r="AD28" s="320"/>
    </row>
    <row r="29" spans="1:32">
      <c r="B29" s="65" t="s">
        <v>1047</v>
      </c>
      <c r="C29" s="65"/>
      <c r="D29" s="138"/>
      <c r="E29" s="138"/>
      <c r="F29" s="551"/>
      <c r="G29" s="551"/>
      <c r="H29" s="551"/>
      <c r="I29" s="138"/>
      <c r="J29" s="138"/>
      <c r="K29" s="138"/>
      <c r="L29" s="138"/>
      <c r="M29" s="138"/>
      <c r="N29" s="138"/>
      <c r="O29" s="138"/>
      <c r="P29" s="138"/>
      <c r="Q29" s="138"/>
      <c r="R29" s="551"/>
      <c r="S29" s="551"/>
      <c r="T29" s="551"/>
      <c r="U29" s="551"/>
      <c r="V29" s="551"/>
      <c r="W29" s="551"/>
      <c r="X29" s="551"/>
      <c r="Y29" s="551"/>
      <c r="Z29" s="551"/>
      <c r="AA29" s="551"/>
      <c r="AB29" s="551"/>
      <c r="AC29" s="551"/>
    </row>
    <row r="30" spans="1:32">
      <c r="B30" s="663" t="s">
        <v>1131</v>
      </c>
      <c r="C30" s="7"/>
      <c r="D30" s="319"/>
      <c r="E30" s="319"/>
      <c r="F30" s="163"/>
      <c r="G30" s="163"/>
      <c r="H30" s="163"/>
      <c r="I30" s="319"/>
      <c r="J30" s="319"/>
      <c r="K30" s="317"/>
      <c r="L30" s="317"/>
      <c r="M30" s="317"/>
      <c r="N30" s="317"/>
      <c r="O30" s="317"/>
      <c r="P30" s="317"/>
      <c r="Q30" s="317"/>
    </row>
    <row r="31" spans="1:32">
      <c r="C31" s="2"/>
      <c r="D31" s="317"/>
      <c r="E31" s="317"/>
      <c r="I31" s="317"/>
      <c r="J31" s="317"/>
      <c r="K31" s="317"/>
      <c r="L31" s="317"/>
      <c r="M31" s="317"/>
      <c r="N31" s="317"/>
      <c r="O31" s="317"/>
      <c r="P31" s="317"/>
      <c r="Q31" s="317"/>
    </row>
    <row r="32" spans="1:32">
      <c r="C32" s="2"/>
      <c r="D32" s="317"/>
      <c r="E32" s="317"/>
      <c r="I32" s="317"/>
      <c r="J32" s="317"/>
      <c r="K32" s="317"/>
      <c r="L32" s="317"/>
      <c r="M32" s="317"/>
      <c r="N32" s="317"/>
      <c r="O32" s="317"/>
      <c r="P32" s="317"/>
      <c r="Q32" s="317"/>
    </row>
    <row r="33" spans="1:30">
      <c r="A33" s="639"/>
      <c r="D33" s="394" t="s">
        <v>62</v>
      </c>
      <c r="E33" s="394" t="s">
        <v>63</v>
      </c>
      <c r="F33" s="394" t="s">
        <v>64</v>
      </c>
      <c r="G33" s="394" t="s">
        <v>65</v>
      </c>
      <c r="H33" s="394" t="s">
        <v>66</v>
      </c>
      <c r="I33" s="394" t="s">
        <v>67</v>
      </c>
      <c r="J33" s="394" t="s">
        <v>68</v>
      </c>
      <c r="K33" s="394" t="s">
        <v>69</v>
      </c>
      <c r="L33" s="394" t="s">
        <v>70</v>
      </c>
      <c r="M33" s="394" t="s">
        <v>141</v>
      </c>
      <c r="N33" s="394" t="s">
        <v>142</v>
      </c>
      <c r="O33" s="394" t="s">
        <v>143</v>
      </c>
      <c r="P33" s="394" t="s">
        <v>144</v>
      </c>
      <c r="Q33" s="394" t="s">
        <v>145</v>
      </c>
      <c r="R33" s="394" t="s">
        <v>452</v>
      </c>
      <c r="S33" s="394" t="s">
        <v>807</v>
      </c>
      <c r="T33" s="394" t="s">
        <v>808</v>
      </c>
      <c r="U33" s="394" t="s">
        <v>865</v>
      </c>
      <c r="V33" s="394" t="s">
        <v>866</v>
      </c>
      <c r="W33" s="394" t="s">
        <v>867</v>
      </c>
      <c r="X33" s="394" t="s">
        <v>868</v>
      </c>
      <c r="Y33" s="394" t="s">
        <v>869</v>
      </c>
      <c r="Z33" s="394" t="s">
        <v>870</v>
      </c>
      <c r="AA33" s="394" t="s">
        <v>871</v>
      </c>
      <c r="AB33" s="394" t="s">
        <v>1130</v>
      </c>
      <c r="AC33" s="394" t="s">
        <v>1051</v>
      </c>
    </row>
    <row r="34" spans="1:30" ht="45">
      <c r="B34" s="639"/>
      <c r="C34" s="639"/>
      <c r="D34" s="664" t="s">
        <v>1083</v>
      </c>
      <c r="E34" s="664" t="s">
        <v>1132</v>
      </c>
      <c r="F34" s="664" t="s">
        <v>1133</v>
      </c>
      <c r="G34" s="664" t="s">
        <v>1134</v>
      </c>
      <c r="H34" s="664" t="s">
        <v>1135</v>
      </c>
      <c r="I34" s="664" t="s">
        <v>1136</v>
      </c>
      <c r="J34" s="664" t="s">
        <v>1137</v>
      </c>
      <c r="K34" s="664" t="s">
        <v>1138</v>
      </c>
      <c r="L34" s="664" t="s">
        <v>1139</v>
      </c>
      <c r="M34" s="664" t="s">
        <v>1140</v>
      </c>
      <c r="N34" s="664" t="s">
        <v>1141</v>
      </c>
      <c r="O34" s="664" t="s">
        <v>1142</v>
      </c>
      <c r="P34" s="664" t="s">
        <v>1143</v>
      </c>
      <c r="Q34" s="664" t="s">
        <v>1144</v>
      </c>
      <c r="R34" s="664" t="s">
        <v>1145</v>
      </c>
      <c r="S34" s="664" t="s">
        <v>1146</v>
      </c>
      <c r="T34" s="664" t="s">
        <v>1147</v>
      </c>
      <c r="U34" s="664" t="s">
        <v>1148</v>
      </c>
      <c r="V34" s="664" t="s">
        <v>1149</v>
      </c>
      <c r="W34" s="664" t="s">
        <v>1150</v>
      </c>
      <c r="X34" s="664" t="s">
        <v>1151</v>
      </c>
      <c r="Y34" s="664" t="s">
        <v>1152</v>
      </c>
      <c r="Z34" s="664" t="s">
        <v>1153</v>
      </c>
      <c r="AA34" s="664" t="s">
        <v>1154</v>
      </c>
      <c r="AB34" s="664" t="s">
        <v>1155</v>
      </c>
      <c r="AC34" s="555" t="s">
        <v>1052</v>
      </c>
    </row>
    <row r="35" spans="1:30">
      <c r="B35" s="639"/>
      <c r="C35" s="639"/>
      <c r="L35" s="147"/>
      <c r="R35" s="467"/>
      <c r="S35" s="467"/>
      <c r="T35" s="467"/>
      <c r="AC35" s="467"/>
    </row>
    <row r="36" spans="1:30">
      <c r="A36" s="320"/>
      <c r="B36" s="320"/>
      <c r="C36" s="327" t="s">
        <v>195</v>
      </c>
      <c r="D36" s="115">
        <v>360</v>
      </c>
      <c r="E36" s="115">
        <v>360</v>
      </c>
      <c r="F36" s="115">
        <v>361</v>
      </c>
      <c r="G36" s="115">
        <v>361</v>
      </c>
      <c r="H36" s="115">
        <v>362</v>
      </c>
      <c r="I36" s="115">
        <v>363</v>
      </c>
      <c r="J36" s="115">
        <v>363</v>
      </c>
      <c r="K36" s="115">
        <v>364</v>
      </c>
      <c r="L36" s="115">
        <v>365</v>
      </c>
      <c r="M36" s="115">
        <v>366</v>
      </c>
      <c r="N36" s="115">
        <v>367</v>
      </c>
      <c r="O36" s="115">
        <v>368</v>
      </c>
      <c r="P36" s="115">
        <v>368</v>
      </c>
      <c r="Q36" s="115">
        <v>369</v>
      </c>
      <c r="R36" s="115">
        <v>369</v>
      </c>
      <c r="S36" s="115">
        <v>370</v>
      </c>
      <c r="T36" s="115">
        <v>370</v>
      </c>
      <c r="U36" s="115">
        <v>371</v>
      </c>
      <c r="V36" s="115">
        <v>371</v>
      </c>
      <c r="W36" s="115">
        <v>371</v>
      </c>
      <c r="X36" s="115">
        <v>372</v>
      </c>
      <c r="Y36" s="115">
        <v>373</v>
      </c>
      <c r="Z36" s="115">
        <v>373</v>
      </c>
      <c r="AA36" s="115">
        <v>373</v>
      </c>
      <c r="AB36" s="115">
        <v>373</v>
      </c>
    </row>
    <row r="37" spans="1:30">
      <c r="A37" s="324" t="s">
        <v>86</v>
      </c>
      <c r="B37" s="324" t="s">
        <v>58</v>
      </c>
      <c r="C37" s="324" t="s">
        <v>73</v>
      </c>
      <c r="D37" s="394" t="s">
        <v>971</v>
      </c>
      <c r="E37" s="394" t="s">
        <v>956</v>
      </c>
      <c r="F37" s="394" t="s">
        <v>957</v>
      </c>
      <c r="G37" s="394" t="s">
        <v>958</v>
      </c>
      <c r="H37" s="394" t="s">
        <v>959</v>
      </c>
      <c r="I37" s="394" t="s">
        <v>960</v>
      </c>
      <c r="J37" s="394" t="s">
        <v>961</v>
      </c>
      <c r="K37" s="394" t="s">
        <v>962</v>
      </c>
      <c r="L37" s="394" t="s">
        <v>963</v>
      </c>
      <c r="M37" s="394" t="s">
        <v>964</v>
      </c>
      <c r="N37" s="394" t="s">
        <v>965</v>
      </c>
      <c r="O37" s="394" t="s">
        <v>966</v>
      </c>
      <c r="P37" s="394" t="s">
        <v>967</v>
      </c>
      <c r="Q37" s="394" t="s">
        <v>968</v>
      </c>
      <c r="R37" s="394" t="s">
        <v>969</v>
      </c>
      <c r="S37" s="394" t="s">
        <v>972</v>
      </c>
      <c r="T37" s="394" t="s">
        <v>970</v>
      </c>
      <c r="U37" s="394" t="s">
        <v>973</v>
      </c>
      <c r="V37" s="394" t="s">
        <v>974</v>
      </c>
      <c r="W37" s="394" t="s">
        <v>975</v>
      </c>
      <c r="X37" s="394" t="s">
        <v>976</v>
      </c>
      <c r="Y37" s="394" t="s">
        <v>977</v>
      </c>
      <c r="Z37" s="394" t="s">
        <v>978</v>
      </c>
      <c r="AA37" s="394" t="s">
        <v>979</v>
      </c>
      <c r="AB37" s="394" t="s">
        <v>980</v>
      </c>
      <c r="AC37" s="324" t="s">
        <v>196</v>
      </c>
      <c r="AD37" s="324" t="str">
        <f t="shared" ref="AD37:AD51" si="5">A37</f>
        <v>Line</v>
      </c>
    </row>
    <row r="38" spans="1:30">
      <c r="A38" s="320">
        <v>200</v>
      </c>
      <c r="B38" s="552" t="s">
        <v>75</v>
      </c>
      <c r="C38" s="197">
        <f>'1-DRR'!$K$2-1</f>
        <v>2020</v>
      </c>
      <c r="D38" s="386">
        <f>D$13*'6-PlantJurisdiction'!$E$37</f>
        <v>32280488.360475305</v>
      </c>
      <c r="E38" s="386">
        <f>E$13*'6-PlantJurisdiction'!$E$37</f>
        <v>62376053.677668214</v>
      </c>
      <c r="F38" s="386">
        <f>F$13*'6-PlantJurisdiction'!$E$38</f>
        <v>287916401.14000022</v>
      </c>
      <c r="G38" s="386">
        <f>G$13*'6-PlantJurisdiction'!$E$38</f>
        <v>41228172.840000004</v>
      </c>
      <c r="H38" s="386">
        <f>H$13*'6-PlantJurisdiction'!$E$39</f>
        <v>3895742182.2900028</v>
      </c>
      <c r="I38" s="386">
        <f>I$13*'6-PlantJurisdiction'!$E$40</f>
        <v>1993014.9000000004</v>
      </c>
      <c r="J38" s="386">
        <f>J$13*'6-PlantJurisdiction'!$E$40</f>
        <v>32567442.010000005</v>
      </c>
      <c r="K38" s="386">
        <f>K$13*'6-PlantJurisdiction'!$E$41</f>
        <v>5177551034.0526648</v>
      </c>
      <c r="L38" s="386">
        <f>L$13*'6-PlantJurisdiction'!$E$42</f>
        <v>4317235340.9710617</v>
      </c>
      <c r="M38" s="386">
        <f>M$13*'6-PlantJurisdiction'!$E$43</f>
        <v>1290232901.5876629</v>
      </c>
      <c r="N38" s="386">
        <f>N$13*'6-PlantJurisdiction'!$E$44</f>
        <v>2085377748.6536169</v>
      </c>
      <c r="O38" s="386">
        <f>O$13*'6-PlantJurisdiction'!$E$45</f>
        <v>0</v>
      </c>
      <c r="P38" s="386">
        <f>P$13*'6-PlantJurisdiction'!$E$45</f>
        <v>0</v>
      </c>
      <c r="Q38" s="386">
        <f>Q$13*'6-PlantJurisdiction'!$E$46</f>
        <v>0</v>
      </c>
      <c r="R38" s="386">
        <f>R$13*'6-PlantJurisdiction'!$E$46</f>
        <v>0</v>
      </c>
      <c r="S38" s="386">
        <f>S$13*'6-PlantJurisdiction'!$E$47</f>
        <v>0</v>
      </c>
      <c r="T38" s="386">
        <f>T$13*'6-PlantJurisdiction'!$E$47</f>
        <v>0</v>
      </c>
      <c r="U38" s="386">
        <f>U$13*'6-PlantJurisdiction'!$E$48</f>
        <v>0</v>
      </c>
      <c r="V38" s="386">
        <f>V$13*'6-PlantJurisdiction'!$E$48</f>
        <v>0</v>
      </c>
      <c r="W38" s="386">
        <f>W$13*'6-PlantJurisdiction'!$E$48</f>
        <v>0</v>
      </c>
      <c r="X38" s="386">
        <f>X$13*'6-PlantJurisdiction'!$E$49</f>
        <v>0</v>
      </c>
      <c r="Y38" s="386">
        <f>Y$13*'6-PlantJurisdiction'!$E$50</f>
        <v>0</v>
      </c>
      <c r="Z38" s="386">
        <f>Z$13*'6-PlantJurisdiction'!$E$50</f>
        <v>0</v>
      </c>
      <c r="AA38" s="386">
        <f>AA$13*'6-PlantJurisdiction'!$E$50</f>
        <v>0</v>
      </c>
      <c r="AB38" s="386">
        <f>AB$13*'6-PlantJurisdiction'!$E$50</f>
        <v>0</v>
      </c>
      <c r="AC38" s="556">
        <f t="shared" ref="AC38:AC50" si="6">SUM(D38:AB38)</f>
        <v>17224500780.483154</v>
      </c>
      <c r="AD38" s="320">
        <f t="shared" si="5"/>
        <v>200</v>
      </c>
    </row>
    <row r="39" spans="1:30">
      <c r="A39" s="320">
        <f>A38+1</f>
        <v>201</v>
      </c>
      <c r="B39" s="552" t="s">
        <v>76</v>
      </c>
      <c r="C39" s="197">
        <f>'1-DRR'!$K$2</f>
        <v>2021</v>
      </c>
      <c r="D39" s="386">
        <f>D$14*'6-PlantJurisdiction'!$E$37</f>
        <v>32854667.951165404</v>
      </c>
      <c r="E39" s="386">
        <f>E$14*'6-PlantJurisdiction'!$E$37</f>
        <v>62373243.813531339</v>
      </c>
      <c r="F39" s="386">
        <f>F$14*'6-PlantJurisdiction'!$E$38</f>
        <v>288178288.62000024</v>
      </c>
      <c r="G39" s="386">
        <f>G$14*'6-PlantJurisdiction'!$E$38</f>
        <v>41225807.419999987</v>
      </c>
      <c r="H39" s="386">
        <f>H$14*'6-PlantJurisdiction'!$E$39</f>
        <v>3896212395.8099976</v>
      </c>
      <c r="I39" s="386">
        <f>I$14*'6-PlantJurisdiction'!$E$40</f>
        <v>2003774.39</v>
      </c>
      <c r="J39" s="386">
        <f>J$14*'6-PlantJurisdiction'!$E$40</f>
        <v>32567442.200000003</v>
      </c>
      <c r="K39" s="386">
        <f>K$14*'6-PlantJurisdiction'!$E$41</f>
        <v>5208656308.7364397</v>
      </c>
      <c r="L39" s="386">
        <f>L$14*'6-PlantJurisdiction'!$E$42</f>
        <v>4315362779.6770868</v>
      </c>
      <c r="M39" s="386">
        <f>M$14*'6-PlantJurisdiction'!$E$43</f>
        <v>1297446832.7150385</v>
      </c>
      <c r="N39" s="386">
        <f>N$14*'6-PlantJurisdiction'!$E$44</f>
        <v>2094780977.9717247</v>
      </c>
      <c r="O39" s="386">
        <f>O$14*'6-PlantJurisdiction'!$E$45</f>
        <v>0</v>
      </c>
      <c r="P39" s="386">
        <f>P$14*'6-PlantJurisdiction'!$E$45</f>
        <v>0</v>
      </c>
      <c r="Q39" s="386">
        <f>Q$14*'6-PlantJurisdiction'!$E$46</f>
        <v>0</v>
      </c>
      <c r="R39" s="386">
        <f>R$14*'6-PlantJurisdiction'!$E$46</f>
        <v>0</v>
      </c>
      <c r="S39" s="386">
        <f>S$14*'6-PlantJurisdiction'!$E$47</f>
        <v>0</v>
      </c>
      <c r="T39" s="386">
        <f>T$14*'6-PlantJurisdiction'!$E$47</f>
        <v>0</v>
      </c>
      <c r="U39" s="386">
        <f>U$14*'6-PlantJurisdiction'!$E$48</f>
        <v>0</v>
      </c>
      <c r="V39" s="386">
        <f>V$14*'6-PlantJurisdiction'!$E$48</f>
        <v>0</v>
      </c>
      <c r="W39" s="386">
        <f>W$14*'6-PlantJurisdiction'!$E$48</f>
        <v>0</v>
      </c>
      <c r="X39" s="386">
        <f>X$14*'6-PlantJurisdiction'!$E$49</f>
        <v>0</v>
      </c>
      <c r="Y39" s="386">
        <f>Y$14*'6-PlantJurisdiction'!$E$50</f>
        <v>0</v>
      </c>
      <c r="Z39" s="386">
        <f>Z$14*'6-PlantJurisdiction'!$E$50</f>
        <v>0</v>
      </c>
      <c r="AA39" s="386">
        <f>AA$14*'6-PlantJurisdiction'!$E$50</f>
        <v>0</v>
      </c>
      <c r="AB39" s="386">
        <f>AB$14*'6-PlantJurisdiction'!$E$50</f>
        <v>0</v>
      </c>
      <c r="AC39" s="556">
        <f t="shared" si="6"/>
        <v>17271662519.304985</v>
      </c>
      <c r="AD39" s="320">
        <f t="shared" si="5"/>
        <v>201</v>
      </c>
    </row>
    <row r="40" spans="1:30">
      <c r="A40" s="320">
        <f t="shared" ref="A40:A51" si="7">A39+1</f>
        <v>202</v>
      </c>
      <c r="B40" s="552" t="s">
        <v>77</v>
      </c>
      <c r="C40" s="197">
        <f>'1-DRR'!$K$2</f>
        <v>2021</v>
      </c>
      <c r="D40" s="386">
        <f>D$15*'6-PlantJurisdiction'!$E$37</f>
        <v>32687218.886984643</v>
      </c>
      <c r="E40" s="386">
        <f>E$15*'6-PlantJurisdiction'!$E$37</f>
        <v>62379390.280895613</v>
      </c>
      <c r="F40" s="386">
        <f>F$15*'6-PlantJurisdiction'!$E$38</f>
        <v>290358978.2300002</v>
      </c>
      <c r="G40" s="386">
        <f>G$15*'6-PlantJurisdiction'!$E$38</f>
        <v>41223785.580000006</v>
      </c>
      <c r="H40" s="386">
        <f>H$15*'6-PlantJurisdiction'!$E$39</f>
        <v>3919594533.2999954</v>
      </c>
      <c r="I40" s="386">
        <f>I$15*'6-PlantJurisdiction'!$E$40</f>
        <v>2246561.5700000003</v>
      </c>
      <c r="J40" s="386">
        <f>J$15*'6-PlantJurisdiction'!$E$40</f>
        <v>30056380.199999999</v>
      </c>
      <c r="K40" s="386">
        <f>K$15*'6-PlantJurisdiction'!$E$41</f>
        <v>5243754648.0259371</v>
      </c>
      <c r="L40" s="386">
        <f>L$15*'6-PlantJurisdiction'!$E$42</f>
        <v>4328576043.6710243</v>
      </c>
      <c r="M40" s="386">
        <f>M$15*'6-PlantJurisdiction'!$E$43</f>
        <v>1303167699.4107871</v>
      </c>
      <c r="N40" s="386">
        <f>N$15*'6-PlantJurisdiction'!$E$44</f>
        <v>2102372334.2095203</v>
      </c>
      <c r="O40" s="386">
        <f>O$15*'6-PlantJurisdiction'!$E$45</f>
        <v>0</v>
      </c>
      <c r="P40" s="386">
        <f>P$15*'6-PlantJurisdiction'!$E$45</f>
        <v>0</v>
      </c>
      <c r="Q40" s="386">
        <f>Q$15*'6-PlantJurisdiction'!$E$46</f>
        <v>0</v>
      </c>
      <c r="R40" s="386">
        <f>R$15*'6-PlantJurisdiction'!$E$46</f>
        <v>0</v>
      </c>
      <c r="S40" s="386">
        <f>S$15*'6-PlantJurisdiction'!$E$47</f>
        <v>0</v>
      </c>
      <c r="T40" s="386">
        <f>T$15*'6-PlantJurisdiction'!$E$47</f>
        <v>0</v>
      </c>
      <c r="U40" s="386">
        <f>U$15*'6-PlantJurisdiction'!$E$48</f>
        <v>0</v>
      </c>
      <c r="V40" s="386">
        <f>V$15*'6-PlantJurisdiction'!$E$48</f>
        <v>0</v>
      </c>
      <c r="W40" s="386">
        <f>W$15*'6-PlantJurisdiction'!$E$48</f>
        <v>0</v>
      </c>
      <c r="X40" s="386">
        <f>X$15*'6-PlantJurisdiction'!$E$49</f>
        <v>0</v>
      </c>
      <c r="Y40" s="386">
        <f>Y$15*'6-PlantJurisdiction'!$E$50</f>
        <v>0</v>
      </c>
      <c r="Z40" s="386">
        <f>Z$15*'6-PlantJurisdiction'!$E$50</f>
        <v>0</v>
      </c>
      <c r="AA40" s="386">
        <f>AA$15*'6-PlantJurisdiction'!$E$50</f>
        <v>0</v>
      </c>
      <c r="AB40" s="386">
        <f>AB$15*'6-PlantJurisdiction'!$E$50</f>
        <v>0</v>
      </c>
      <c r="AC40" s="556">
        <f t="shared" si="6"/>
        <v>17356417573.365143</v>
      </c>
      <c r="AD40" s="320">
        <f t="shared" si="5"/>
        <v>202</v>
      </c>
    </row>
    <row r="41" spans="1:30">
      <c r="A41" s="320">
        <f t="shared" si="7"/>
        <v>203</v>
      </c>
      <c r="B41" s="552" t="s">
        <v>78</v>
      </c>
      <c r="C41" s="197">
        <f>'1-DRR'!$K$2</f>
        <v>2021</v>
      </c>
      <c r="D41" s="386">
        <f>D$16*'6-PlantJurisdiction'!$E$37</f>
        <v>30656492.128600873</v>
      </c>
      <c r="E41" s="386">
        <f>E$16*'6-PlantJurisdiction'!$E$37</f>
        <v>62392422.932548963</v>
      </c>
      <c r="F41" s="386">
        <f>F$16*'6-PlantJurisdiction'!$E$38</f>
        <v>293621800.82000041</v>
      </c>
      <c r="G41" s="386">
        <f>G$16*'6-PlantJurisdiction'!$E$38</f>
        <v>40949724.370000012</v>
      </c>
      <c r="H41" s="386">
        <f>H$16*'6-PlantJurisdiction'!$E$39</f>
        <v>3948369366.9799986</v>
      </c>
      <c r="I41" s="386">
        <f>I$16*'6-PlantJurisdiction'!$E$40</f>
        <v>2269898.9</v>
      </c>
      <c r="J41" s="386">
        <f>J$16*'6-PlantJurisdiction'!$E$40</f>
        <v>30056380.199999999</v>
      </c>
      <c r="K41" s="386">
        <f>K$16*'6-PlantJurisdiction'!$E$41</f>
        <v>5288675013.8953743</v>
      </c>
      <c r="L41" s="386">
        <f>L$16*'6-PlantJurisdiction'!$E$42</f>
        <v>4356386285.9428444</v>
      </c>
      <c r="M41" s="386">
        <f>M$16*'6-PlantJurisdiction'!$E$43</f>
        <v>1318766360.1789973</v>
      </c>
      <c r="N41" s="386">
        <f>N$16*'6-PlantJurisdiction'!$E$44</f>
        <v>2133253388.4369981</v>
      </c>
      <c r="O41" s="386">
        <f>O$16*'6-PlantJurisdiction'!$E$45</f>
        <v>0</v>
      </c>
      <c r="P41" s="386">
        <f>P$16*'6-PlantJurisdiction'!$E$45</f>
        <v>0</v>
      </c>
      <c r="Q41" s="386">
        <f>Q$16*'6-PlantJurisdiction'!$E$46</f>
        <v>0</v>
      </c>
      <c r="R41" s="386">
        <f>R$16*'6-PlantJurisdiction'!$E$46</f>
        <v>0</v>
      </c>
      <c r="S41" s="386">
        <f>S$16*'6-PlantJurisdiction'!$E$47</f>
        <v>0</v>
      </c>
      <c r="T41" s="386">
        <f>T$16*'6-PlantJurisdiction'!$E$47</f>
        <v>0</v>
      </c>
      <c r="U41" s="386">
        <f>U$16*'6-PlantJurisdiction'!$E$48</f>
        <v>0</v>
      </c>
      <c r="V41" s="386">
        <f>V$16*'6-PlantJurisdiction'!$E$48</f>
        <v>0</v>
      </c>
      <c r="W41" s="386">
        <f>W$16*'6-PlantJurisdiction'!$E$48</f>
        <v>0</v>
      </c>
      <c r="X41" s="386">
        <f>X$16*'6-PlantJurisdiction'!$E$49</f>
        <v>0</v>
      </c>
      <c r="Y41" s="386">
        <f>Y$16*'6-PlantJurisdiction'!$E$50</f>
        <v>0</v>
      </c>
      <c r="Z41" s="386">
        <f>Z$16*'6-PlantJurisdiction'!$E$50</f>
        <v>0</v>
      </c>
      <c r="AA41" s="386">
        <f>AA$16*'6-PlantJurisdiction'!$E$50</f>
        <v>0</v>
      </c>
      <c r="AB41" s="386">
        <f>AB$16*'6-PlantJurisdiction'!$E$50</f>
        <v>0</v>
      </c>
      <c r="AC41" s="556">
        <f t="shared" si="6"/>
        <v>17505397134.785362</v>
      </c>
      <c r="AD41" s="320">
        <f t="shared" si="5"/>
        <v>203</v>
      </c>
    </row>
    <row r="42" spans="1:30">
      <c r="A42" s="320">
        <f t="shared" si="7"/>
        <v>204</v>
      </c>
      <c r="B42" s="552" t="s">
        <v>79</v>
      </c>
      <c r="C42" s="197">
        <f>'1-DRR'!$K$2</f>
        <v>2021</v>
      </c>
      <c r="D42" s="386">
        <f>D$17*'6-PlantJurisdiction'!$E$37</f>
        <v>30661986.786686264</v>
      </c>
      <c r="E42" s="386">
        <f>E$17*'6-PlantJurisdiction'!$E$37</f>
        <v>62392422.563791625</v>
      </c>
      <c r="F42" s="386">
        <f>F$17*'6-PlantJurisdiction'!$E$38</f>
        <v>293945518.45000005</v>
      </c>
      <c r="G42" s="386">
        <f>G$17*'6-PlantJurisdiction'!$E$38</f>
        <v>40951841.450000018</v>
      </c>
      <c r="H42" s="386">
        <f>H$17*'6-PlantJurisdiction'!$E$39</f>
        <v>3959553062.1100049</v>
      </c>
      <c r="I42" s="386">
        <f>I$17*'6-PlantJurisdiction'!$E$40</f>
        <v>2304052.6399999997</v>
      </c>
      <c r="J42" s="386">
        <f>J$17*'6-PlantJurisdiction'!$E$40</f>
        <v>30056380.57</v>
      </c>
      <c r="K42" s="386">
        <f>K$17*'6-PlantJurisdiction'!$E$41</f>
        <v>5341170377.8262405</v>
      </c>
      <c r="L42" s="386">
        <f>L$17*'6-PlantJurisdiction'!$E$42</f>
        <v>4378280524.3523378</v>
      </c>
      <c r="M42" s="386">
        <f>M$17*'6-PlantJurisdiction'!$E$43</f>
        <v>1325189184.3727758</v>
      </c>
      <c r="N42" s="386">
        <f>N$17*'6-PlantJurisdiction'!$E$44</f>
        <v>2145690263.5166807</v>
      </c>
      <c r="O42" s="386">
        <f>O$17*'6-PlantJurisdiction'!$E$45</f>
        <v>0</v>
      </c>
      <c r="P42" s="386">
        <f>P$17*'6-PlantJurisdiction'!$E$45</f>
        <v>0</v>
      </c>
      <c r="Q42" s="386">
        <f>Q$17*'6-PlantJurisdiction'!$E$46</f>
        <v>0</v>
      </c>
      <c r="R42" s="386">
        <f>R$17*'6-PlantJurisdiction'!$E$46</f>
        <v>0</v>
      </c>
      <c r="S42" s="386">
        <f>S$17*'6-PlantJurisdiction'!$E$47</f>
        <v>0</v>
      </c>
      <c r="T42" s="386">
        <f>T$17*'6-PlantJurisdiction'!$E$47</f>
        <v>0</v>
      </c>
      <c r="U42" s="386">
        <f>U$17*'6-PlantJurisdiction'!$E$48</f>
        <v>0</v>
      </c>
      <c r="V42" s="386">
        <f>V$17*'6-PlantJurisdiction'!$E$48</f>
        <v>0</v>
      </c>
      <c r="W42" s="386">
        <f>W$17*'6-PlantJurisdiction'!$E$48</f>
        <v>0</v>
      </c>
      <c r="X42" s="386">
        <f>X$17*'6-PlantJurisdiction'!$E$49</f>
        <v>0</v>
      </c>
      <c r="Y42" s="386">
        <f>Y$17*'6-PlantJurisdiction'!$E$50</f>
        <v>0</v>
      </c>
      <c r="Z42" s="386">
        <f>Z$17*'6-PlantJurisdiction'!$E$50</f>
        <v>0</v>
      </c>
      <c r="AA42" s="386">
        <f>AA$17*'6-PlantJurisdiction'!$E$50</f>
        <v>0</v>
      </c>
      <c r="AB42" s="386">
        <f>AB$17*'6-PlantJurisdiction'!$E$50</f>
        <v>0</v>
      </c>
      <c r="AC42" s="556">
        <f t="shared" si="6"/>
        <v>17610195614.638519</v>
      </c>
      <c r="AD42" s="320">
        <f t="shared" si="5"/>
        <v>204</v>
      </c>
    </row>
    <row r="43" spans="1:30">
      <c r="A43" s="320">
        <f t="shared" si="7"/>
        <v>205</v>
      </c>
      <c r="B43" s="552" t="s">
        <v>61</v>
      </c>
      <c r="C43" s="197">
        <f>'1-DRR'!$K$2</f>
        <v>2021</v>
      </c>
      <c r="D43" s="386">
        <f>D$18*'6-PlantJurisdiction'!$E$37</f>
        <v>31208480.959305577</v>
      </c>
      <c r="E43" s="386">
        <f>E$18*'6-PlantJurisdiction'!$E$37</f>
        <v>62391448.614270896</v>
      </c>
      <c r="F43" s="386">
        <f>F$18*'6-PlantJurisdiction'!$E$38</f>
        <v>294093441.84000015</v>
      </c>
      <c r="G43" s="386">
        <f>G$18*'6-PlantJurisdiction'!$E$38</f>
        <v>40960640.219999976</v>
      </c>
      <c r="H43" s="386">
        <f>H$18*'6-PlantJurisdiction'!$E$39</f>
        <v>3981747460.8299994</v>
      </c>
      <c r="I43" s="386">
        <f>I$18*'6-PlantJurisdiction'!$E$40</f>
        <v>2312371.09</v>
      </c>
      <c r="J43" s="386">
        <f>J$18*'6-PlantJurisdiction'!$E$40</f>
        <v>30241259.109999999</v>
      </c>
      <c r="K43" s="386">
        <f>K$18*'6-PlantJurisdiction'!$E$41</f>
        <v>5374278689.9590588</v>
      </c>
      <c r="L43" s="386">
        <f>L$18*'6-PlantJurisdiction'!$E$42</f>
        <v>4402145473.7705536</v>
      </c>
      <c r="M43" s="386">
        <f>M$18*'6-PlantJurisdiction'!$E$43</f>
        <v>1333191670.8164389</v>
      </c>
      <c r="N43" s="386">
        <f>N$18*'6-PlantJurisdiction'!$E$44</f>
        <v>2158189636.952837</v>
      </c>
      <c r="O43" s="386">
        <f>O$18*'6-PlantJurisdiction'!$E$45</f>
        <v>0</v>
      </c>
      <c r="P43" s="386">
        <f>P$18*'6-PlantJurisdiction'!$E$45</f>
        <v>0</v>
      </c>
      <c r="Q43" s="386">
        <f>Q$18*'6-PlantJurisdiction'!$E$46</f>
        <v>0</v>
      </c>
      <c r="R43" s="386">
        <f>R$18*'6-PlantJurisdiction'!$E$46</f>
        <v>0</v>
      </c>
      <c r="S43" s="386">
        <f>S$18*'6-PlantJurisdiction'!$E$47</f>
        <v>0</v>
      </c>
      <c r="T43" s="386">
        <f>T$18*'6-PlantJurisdiction'!$E$47</f>
        <v>0</v>
      </c>
      <c r="U43" s="386">
        <f>U$18*'6-PlantJurisdiction'!$E$48</f>
        <v>0</v>
      </c>
      <c r="V43" s="386">
        <f>V$18*'6-PlantJurisdiction'!$E$48</f>
        <v>0</v>
      </c>
      <c r="W43" s="386">
        <f>W$18*'6-PlantJurisdiction'!$E$48</f>
        <v>0</v>
      </c>
      <c r="X43" s="386">
        <f>X$18*'6-PlantJurisdiction'!$E$49</f>
        <v>0</v>
      </c>
      <c r="Y43" s="386">
        <f>Y$18*'6-PlantJurisdiction'!$E$50</f>
        <v>0</v>
      </c>
      <c r="Z43" s="386">
        <f>Z$18*'6-PlantJurisdiction'!$E$50</f>
        <v>0</v>
      </c>
      <c r="AA43" s="386">
        <f>AA$18*'6-PlantJurisdiction'!$E$50</f>
        <v>0</v>
      </c>
      <c r="AB43" s="386">
        <f>AB$18*'6-PlantJurisdiction'!$E$50</f>
        <v>0</v>
      </c>
      <c r="AC43" s="556">
        <f t="shared" si="6"/>
        <v>17710760574.162464</v>
      </c>
      <c r="AD43" s="320">
        <f t="shared" si="5"/>
        <v>205</v>
      </c>
    </row>
    <row r="44" spans="1:30">
      <c r="A44" s="320">
        <f t="shared" si="7"/>
        <v>206</v>
      </c>
      <c r="B44" s="552" t="s">
        <v>146</v>
      </c>
      <c r="C44" s="197">
        <f>'1-DRR'!$K$2</f>
        <v>2021</v>
      </c>
      <c r="D44" s="386">
        <f>D$19*'6-PlantJurisdiction'!$E$37</f>
        <v>31224142.082349654</v>
      </c>
      <c r="E44" s="386">
        <f>E$19*'6-PlantJurisdiction'!$E$37</f>
        <v>62391448.675730437</v>
      </c>
      <c r="F44" s="386">
        <f>F$19*'6-PlantJurisdiction'!$E$38</f>
        <v>294636305.58000016</v>
      </c>
      <c r="G44" s="386">
        <f>G$19*'6-PlantJurisdiction'!$E$38</f>
        <v>40961996.230000004</v>
      </c>
      <c r="H44" s="386">
        <f>H$19*'6-PlantJurisdiction'!$E$39</f>
        <v>3992240159.0700011</v>
      </c>
      <c r="I44" s="386">
        <f>I$19*'6-PlantJurisdiction'!$E$40</f>
        <v>2325607.38</v>
      </c>
      <c r="J44" s="386">
        <f>J$19*'6-PlantJurisdiction'!$E$40</f>
        <v>30259165.650000002</v>
      </c>
      <c r="K44" s="386">
        <f>K$19*'6-PlantJurisdiction'!$E$41</f>
        <v>5392126535.1322012</v>
      </c>
      <c r="L44" s="386">
        <f>L$19*'6-PlantJurisdiction'!$E$42</f>
        <v>4430594318.8232594</v>
      </c>
      <c r="M44" s="386">
        <f>M$19*'6-PlantJurisdiction'!$E$43</f>
        <v>1348313369.794333</v>
      </c>
      <c r="N44" s="386">
        <f>N$19*'6-PlantJurisdiction'!$E$44</f>
        <v>2186377864.4181061</v>
      </c>
      <c r="O44" s="386">
        <f>O$19*'6-PlantJurisdiction'!$E$45</f>
        <v>0</v>
      </c>
      <c r="P44" s="386">
        <f>P$19*'6-PlantJurisdiction'!$E$45</f>
        <v>0</v>
      </c>
      <c r="Q44" s="386">
        <f>Q$19*'6-PlantJurisdiction'!$E$46</f>
        <v>0</v>
      </c>
      <c r="R44" s="386">
        <f>R$19*'6-PlantJurisdiction'!$E$46</f>
        <v>0</v>
      </c>
      <c r="S44" s="386">
        <f>S$19*'6-PlantJurisdiction'!$E$47</f>
        <v>0</v>
      </c>
      <c r="T44" s="386">
        <f>T$19*'6-PlantJurisdiction'!$E$47</f>
        <v>0</v>
      </c>
      <c r="U44" s="386">
        <f>U$19*'6-PlantJurisdiction'!$E$48</f>
        <v>0</v>
      </c>
      <c r="V44" s="386">
        <f>V$19*'6-PlantJurisdiction'!$E$48</f>
        <v>0</v>
      </c>
      <c r="W44" s="386">
        <f>W$19*'6-PlantJurisdiction'!$E$48</f>
        <v>0</v>
      </c>
      <c r="X44" s="386">
        <f>X$19*'6-PlantJurisdiction'!$E$49</f>
        <v>0</v>
      </c>
      <c r="Y44" s="386">
        <f>Y$19*'6-PlantJurisdiction'!$E$50</f>
        <v>0</v>
      </c>
      <c r="Z44" s="386">
        <f>Z$19*'6-PlantJurisdiction'!$E$50</f>
        <v>0</v>
      </c>
      <c r="AA44" s="386">
        <f>AA$19*'6-PlantJurisdiction'!$E$50</f>
        <v>0</v>
      </c>
      <c r="AB44" s="386">
        <f>AB$19*'6-PlantJurisdiction'!$E$50</f>
        <v>0</v>
      </c>
      <c r="AC44" s="556">
        <f t="shared" si="6"/>
        <v>17811450912.835979</v>
      </c>
      <c r="AD44" s="320">
        <f t="shared" si="5"/>
        <v>206</v>
      </c>
    </row>
    <row r="45" spans="1:30">
      <c r="A45" s="320">
        <f t="shared" si="7"/>
        <v>207</v>
      </c>
      <c r="B45" s="552" t="s">
        <v>81</v>
      </c>
      <c r="C45" s="197">
        <f>'1-DRR'!$K$2</f>
        <v>2021</v>
      </c>
      <c r="D45" s="386">
        <f>D20*'6-PlantJurisdiction'!$E$37</f>
        <v>31285084.810747024</v>
      </c>
      <c r="E45" s="386">
        <f>E20*'6-PlantJurisdiction'!$E$37</f>
        <v>62391448.675730437</v>
      </c>
      <c r="F45" s="386">
        <f>F$20*'6-PlantJurisdiction'!$E$38</f>
        <v>294645672.5400002</v>
      </c>
      <c r="G45" s="386">
        <f>G$20*'6-PlantJurisdiction'!$E$38</f>
        <v>40872722.780000009</v>
      </c>
      <c r="H45" s="386">
        <f>H$20*'6-PlantJurisdiction'!$E$39</f>
        <v>4004736771.3099971</v>
      </c>
      <c r="I45" s="386">
        <f>I$20*'6-PlantJurisdiction'!$E$40</f>
        <v>2344176.9200000004</v>
      </c>
      <c r="J45" s="386">
        <f>J$20*'6-PlantJurisdiction'!$E$40</f>
        <v>30303177.449999996</v>
      </c>
      <c r="K45" s="386">
        <f>K$20*'6-PlantJurisdiction'!$E$41</f>
        <v>5421482932.3300343</v>
      </c>
      <c r="L45" s="386">
        <f>L$20*'6-PlantJurisdiction'!$E$42</f>
        <v>4451615067.9267368</v>
      </c>
      <c r="M45" s="386">
        <f>M$20*'6-PlantJurisdiction'!$E$43</f>
        <v>1351937452.4399002</v>
      </c>
      <c r="N45" s="386">
        <f>N$20*'6-PlantJurisdiction'!$E$44</f>
        <v>2197855958.6413169</v>
      </c>
      <c r="O45" s="386">
        <f>O$20*'6-PlantJurisdiction'!$E$45</f>
        <v>0</v>
      </c>
      <c r="P45" s="386">
        <f>P$20*'6-PlantJurisdiction'!$E$45</f>
        <v>0</v>
      </c>
      <c r="Q45" s="386">
        <f>Q$20*'6-PlantJurisdiction'!$E$46</f>
        <v>0</v>
      </c>
      <c r="R45" s="386">
        <f>R$20*'6-PlantJurisdiction'!$E$46</f>
        <v>0</v>
      </c>
      <c r="S45" s="386">
        <f>S$20*'6-PlantJurisdiction'!$E$47</f>
        <v>0</v>
      </c>
      <c r="T45" s="386">
        <f>T$20*'6-PlantJurisdiction'!$E$47</f>
        <v>0</v>
      </c>
      <c r="U45" s="386">
        <f>U$20*'6-PlantJurisdiction'!$E$48</f>
        <v>0</v>
      </c>
      <c r="V45" s="386">
        <f>V$20*'6-PlantJurisdiction'!$E$48</f>
        <v>0</v>
      </c>
      <c r="W45" s="386">
        <f>W$20*'6-PlantJurisdiction'!$E$48</f>
        <v>0</v>
      </c>
      <c r="X45" s="386">
        <f>X$20*'6-PlantJurisdiction'!$E$49</f>
        <v>0</v>
      </c>
      <c r="Y45" s="386">
        <f>Y$20*'6-PlantJurisdiction'!$E$50</f>
        <v>0</v>
      </c>
      <c r="Z45" s="386">
        <f>Z$20*'6-PlantJurisdiction'!$E$50</f>
        <v>0</v>
      </c>
      <c r="AA45" s="386">
        <f>AA$20*'6-PlantJurisdiction'!$E$50</f>
        <v>0</v>
      </c>
      <c r="AB45" s="386">
        <f>AB$20*'6-PlantJurisdiction'!$E$50</f>
        <v>0</v>
      </c>
      <c r="AC45" s="556">
        <f t="shared" si="6"/>
        <v>17889470465.824463</v>
      </c>
      <c r="AD45" s="320">
        <f t="shared" si="5"/>
        <v>207</v>
      </c>
    </row>
    <row r="46" spans="1:30">
      <c r="A46" s="320">
        <f t="shared" si="7"/>
        <v>208</v>
      </c>
      <c r="B46" s="552" t="s">
        <v>82</v>
      </c>
      <c r="C46" s="197">
        <f>'1-DRR'!$K$2</f>
        <v>2021</v>
      </c>
      <c r="D46" s="386">
        <f>D$21*'6-PlantJurisdiction'!$E$37</f>
        <v>31341473.027826097</v>
      </c>
      <c r="E46" s="386">
        <f>E$21*'6-PlantJurisdiction'!$E$37</f>
        <v>62378693.570292354</v>
      </c>
      <c r="F46" s="386">
        <f>F$21*'6-PlantJurisdiction'!$E$38</f>
        <v>295022674.30000019</v>
      </c>
      <c r="G46" s="386">
        <f>G$21*'6-PlantJurisdiction'!$E$38</f>
        <v>39028582.399999999</v>
      </c>
      <c r="H46" s="386">
        <f>H$21*'6-PlantJurisdiction'!$E$39</f>
        <v>4010916528.9799972</v>
      </c>
      <c r="I46" s="386">
        <f>I$21*'6-PlantJurisdiction'!$E$40</f>
        <v>2398007.0499999998</v>
      </c>
      <c r="J46" s="386">
        <f>J$21*'6-PlantJurisdiction'!$E$40</f>
        <v>30280193.02</v>
      </c>
      <c r="K46" s="386">
        <f>K$21*'6-PlantJurisdiction'!$E$41</f>
        <v>5467910844.718792</v>
      </c>
      <c r="L46" s="386">
        <f>L$21*'6-PlantJurisdiction'!$E$42</f>
        <v>4472413827.5852852</v>
      </c>
      <c r="M46" s="386">
        <f>M$21*'6-PlantJurisdiction'!$E$43</f>
        <v>1360644781.7543576</v>
      </c>
      <c r="N46" s="386">
        <f>N$21*'6-PlantJurisdiction'!$E$44</f>
        <v>2215536042.1298132</v>
      </c>
      <c r="O46" s="386">
        <f>O$21*'6-PlantJurisdiction'!$E$45</f>
        <v>0</v>
      </c>
      <c r="P46" s="386">
        <f>P$21*'6-PlantJurisdiction'!$E$45</f>
        <v>0</v>
      </c>
      <c r="Q46" s="386">
        <f>Q$21*'6-PlantJurisdiction'!$E$46</f>
        <v>0</v>
      </c>
      <c r="R46" s="386">
        <f>R$21*'6-PlantJurisdiction'!$E$46</f>
        <v>0</v>
      </c>
      <c r="S46" s="386">
        <f>S$21*'6-PlantJurisdiction'!$E$47</f>
        <v>0</v>
      </c>
      <c r="T46" s="386">
        <f>T$21*'6-PlantJurisdiction'!$E$47</f>
        <v>0</v>
      </c>
      <c r="U46" s="386">
        <f>U$21*'6-PlantJurisdiction'!$E$48</f>
        <v>0</v>
      </c>
      <c r="V46" s="386">
        <f>V$21*'6-PlantJurisdiction'!$E$48</f>
        <v>0</v>
      </c>
      <c r="W46" s="386">
        <f>W$21*'6-PlantJurisdiction'!$E$48</f>
        <v>0</v>
      </c>
      <c r="X46" s="386">
        <f>X$21*'6-PlantJurisdiction'!$E$49</f>
        <v>0</v>
      </c>
      <c r="Y46" s="386">
        <f>Y$21*'6-PlantJurisdiction'!$E$50</f>
        <v>0</v>
      </c>
      <c r="Z46" s="386">
        <f>Z$21*'6-PlantJurisdiction'!$E$50</f>
        <v>0</v>
      </c>
      <c r="AA46" s="386">
        <f>AA$21*'6-PlantJurisdiction'!$E$50</f>
        <v>0</v>
      </c>
      <c r="AB46" s="386">
        <f>AB$21*'6-PlantJurisdiction'!$E$50</f>
        <v>0</v>
      </c>
      <c r="AC46" s="556">
        <f t="shared" si="6"/>
        <v>17987871648.536366</v>
      </c>
      <c r="AD46" s="320">
        <f t="shared" si="5"/>
        <v>208</v>
      </c>
    </row>
    <row r="47" spans="1:30">
      <c r="A47" s="320">
        <f t="shared" si="7"/>
        <v>209</v>
      </c>
      <c r="B47" s="552" t="s">
        <v>83</v>
      </c>
      <c r="C47" s="197">
        <f>'1-DRR'!$K$2</f>
        <v>2021</v>
      </c>
      <c r="D47" s="386">
        <f>D$22*'6-PlantJurisdiction'!$E$37</f>
        <v>31347694.547546659</v>
      </c>
      <c r="E47" s="386">
        <f>E$22*'6-PlantJurisdiction'!$E$37</f>
        <v>62378705.426864266</v>
      </c>
      <c r="F47" s="386">
        <f>F$22*'6-PlantJurisdiction'!$E$38</f>
        <v>295282086.77000028</v>
      </c>
      <c r="G47" s="386">
        <f>G$22*'6-PlantJurisdiction'!$E$38</f>
        <v>38974193.600000001</v>
      </c>
      <c r="H47" s="386">
        <f>H$22*'6-PlantJurisdiction'!$E$39</f>
        <v>4017148485.7900004</v>
      </c>
      <c r="I47" s="386">
        <f>I$22*'6-PlantJurisdiction'!$E$40</f>
        <v>763525.55999999994</v>
      </c>
      <c r="J47" s="386">
        <f>J$22*'6-PlantJurisdiction'!$E$40</f>
        <v>30259421.949999996</v>
      </c>
      <c r="K47" s="386">
        <f>K$22*'6-PlantJurisdiction'!$E$41</f>
        <v>5528833697.5382318</v>
      </c>
      <c r="L47" s="386">
        <f>L$22*'6-PlantJurisdiction'!$E$42</f>
        <v>4500542771.8432226</v>
      </c>
      <c r="M47" s="386">
        <f>M$22*'6-PlantJurisdiction'!$E$43</f>
        <v>1373086320.3511581</v>
      </c>
      <c r="N47" s="386">
        <f>N$22*'6-PlantJurisdiction'!$E$44</f>
        <v>2238632343.0156384</v>
      </c>
      <c r="O47" s="386">
        <f>O$22*'6-PlantJurisdiction'!$E$45</f>
        <v>0</v>
      </c>
      <c r="P47" s="386">
        <f>P$22*'6-PlantJurisdiction'!$E$45</f>
        <v>0</v>
      </c>
      <c r="Q47" s="386">
        <f>Q$22*'6-PlantJurisdiction'!$E$46</f>
        <v>0</v>
      </c>
      <c r="R47" s="386">
        <f>R$22*'6-PlantJurisdiction'!$E$46</f>
        <v>0</v>
      </c>
      <c r="S47" s="386">
        <f>S$22*'6-PlantJurisdiction'!$E$47</f>
        <v>0</v>
      </c>
      <c r="T47" s="386">
        <f>T$22*'6-PlantJurisdiction'!$E$47</f>
        <v>0</v>
      </c>
      <c r="U47" s="386">
        <f>U$22*'6-PlantJurisdiction'!$E$48</f>
        <v>0</v>
      </c>
      <c r="V47" s="386">
        <f>V$22*'6-PlantJurisdiction'!$E$48</f>
        <v>0</v>
      </c>
      <c r="W47" s="386">
        <f>W$22*'6-PlantJurisdiction'!$E$48</f>
        <v>0</v>
      </c>
      <c r="X47" s="386">
        <f>X$22*'6-PlantJurisdiction'!$E$49</f>
        <v>0</v>
      </c>
      <c r="Y47" s="386">
        <f>Y$22*'6-PlantJurisdiction'!$E$50</f>
        <v>0</v>
      </c>
      <c r="Z47" s="386">
        <f>Z$22*'6-PlantJurisdiction'!$E$50</f>
        <v>0</v>
      </c>
      <c r="AA47" s="386">
        <f>AA$22*'6-PlantJurisdiction'!$E$50</f>
        <v>0</v>
      </c>
      <c r="AB47" s="386">
        <f>AB$22*'6-PlantJurisdiction'!$E$50</f>
        <v>0</v>
      </c>
      <c r="AC47" s="556">
        <f t="shared" si="6"/>
        <v>18117249246.392662</v>
      </c>
      <c r="AD47" s="320">
        <f t="shared" si="5"/>
        <v>209</v>
      </c>
    </row>
    <row r="48" spans="1:30">
      <c r="A48" s="320">
        <f t="shared" si="7"/>
        <v>210</v>
      </c>
      <c r="B48" s="552" t="s">
        <v>84</v>
      </c>
      <c r="C48" s="197">
        <f>'1-DRR'!$K$2</f>
        <v>2021</v>
      </c>
      <c r="D48" s="386">
        <f>D$23*'6-PlantJurisdiction'!$E$37</f>
        <v>31351523.477637086</v>
      </c>
      <c r="E48" s="386">
        <f>E$23*'6-PlantJurisdiction'!$E$37</f>
        <v>62378707.173339866</v>
      </c>
      <c r="F48" s="386">
        <f>F$23*'6-PlantJurisdiction'!$E$38</f>
        <v>296596219.9600001</v>
      </c>
      <c r="G48" s="386">
        <f>G$23*'6-PlantJurisdiction'!$E$38</f>
        <v>38878093.25999999</v>
      </c>
      <c r="H48" s="386">
        <f>H$23*'6-PlantJurisdiction'!$E$39</f>
        <v>4028537117.0600019</v>
      </c>
      <c r="I48" s="386">
        <f>I$23*'6-PlantJurisdiction'!$E$40</f>
        <v>841548.88000000012</v>
      </c>
      <c r="J48" s="386">
        <f>J$23*'6-PlantJurisdiction'!$E$40</f>
        <v>30259421.949999999</v>
      </c>
      <c r="K48" s="386">
        <f>K$23*'6-PlantJurisdiction'!$E$41</f>
        <v>5573900368.9690266</v>
      </c>
      <c r="L48" s="386">
        <f>L$23*'6-PlantJurisdiction'!$E$42</f>
        <v>4516139808.8524189</v>
      </c>
      <c r="M48" s="386">
        <f>M$23*'6-PlantJurisdiction'!$E$43</f>
        <v>1382184562.1677647</v>
      </c>
      <c r="N48" s="386">
        <f>N$23*'6-PlantJurisdiction'!$E$44</f>
        <v>2251855132.8300724</v>
      </c>
      <c r="O48" s="386">
        <f>O$23*'6-PlantJurisdiction'!$E$45</f>
        <v>0</v>
      </c>
      <c r="P48" s="386">
        <f>P$23*'6-PlantJurisdiction'!$E$45</f>
        <v>0</v>
      </c>
      <c r="Q48" s="386">
        <f>Q$23*'6-PlantJurisdiction'!$E$46</f>
        <v>0</v>
      </c>
      <c r="R48" s="386">
        <f>R$23*'6-PlantJurisdiction'!$E$46</f>
        <v>0</v>
      </c>
      <c r="S48" s="386">
        <f>S$23*'6-PlantJurisdiction'!$E$47</f>
        <v>0</v>
      </c>
      <c r="T48" s="386">
        <f>T$23*'6-PlantJurisdiction'!$E$47</f>
        <v>0</v>
      </c>
      <c r="U48" s="386">
        <f>U$23*'6-PlantJurisdiction'!$E$48</f>
        <v>0</v>
      </c>
      <c r="V48" s="386">
        <f>V$23*'6-PlantJurisdiction'!$E$48</f>
        <v>0</v>
      </c>
      <c r="W48" s="386">
        <f>W$23*'6-PlantJurisdiction'!$E$48</f>
        <v>0</v>
      </c>
      <c r="X48" s="386">
        <f>X$23*'6-PlantJurisdiction'!$E$49</f>
        <v>0</v>
      </c>
      <c r="Y48" s="386">
        <f>Y$23*'6-PlantJurisdiction'!$E$50</f>
        <v>0</v>
      </c>
      <c r="Z48" s="386">
        <f>Z$23*'6-PlantJurisdiction'!$E$50</f>
        <v>0</v>
      </c>
      <c r="AA48" s="386">
        <f>AA$23*'6-PlantJurisdiction'!$E$50</f>
        <v>0</v>
      </c>
      <c r="AB48" s="386">
        <f>AB$23*'6-PlantJurisdiction'!$E$50</f>
        <v>0</v>
      </c>
      <c r="AC48" s="556">
        <f t="shared" si="6"/>
        <v>18212922504.580261</v>
      </c>
      <c r="AD48" s="320">
        <f t="shared" si="5"/>
        <v>210</v>
      </c>
    </row>
    <row r="49" spans="1:30">
      <c r="A49" s="320">
        <f t="shared" si="7"/>
        <v>211</v>
      </c>
      <c r="B49" s="552" t="s">
        <v>85</v>
      </c>
      <c r="C49" s="197">
        <f>'1-DRR'!$K$2</f>
        <v>2021</v>
      </c>
      <c r="D49" s="386">
        <f>D$24*'6-PlantJurisdiction'!$E$37</f>
        <v>31331549.763436366</v>
      </c>
      <c r="E49" s="386">
        <f>E$24*'6-PlantJurisdiction'!$E$37</f>
        <v>62378763.270545959</v>
      </c>
      <c r="F49" s="386">
        <f>F$24*'6-PlantJurisdiction'!$E$38</f>
        <v>296867883.12000012</v>
      </c>
      <c r="G49" s="386">
        <f>G$24*'6-PlantJurisdiction'!$E$38</f>
        <v>38416719.759999998</v>
      </c>
      <c r="H49" s="386">
        <f>H$24*'6-PlantJurisdiction'!$E$39</f>
        <v>4035329334.4700041</v>
      </c>
      <c r="I49" s="386">
        <f>I$24*'6-PlantJurisdiction'!$E$40</f>
        <v>848799.92999999993</v>
      </c>
      <c r="J49" s="386">
        <f>J$24*'6-PlantJurisdiction'!$E$40</f>
        <v>30056380.57</v>
      </c>
      <c r="K49" s="386">
        <f>K$24*'6-PlantJurisdiction'!$E$41</f>
        <v>5399943423.0934649</v>
      </c>
      <c r="L49" s="386">
        <f>L$24*'6-PlantJurisdiction'!$E$42</f>
        <v>4315168909.6319399</v>
      </c>
      <c r="M49" s="386">
        <f>M$24*'6-PlantJurisdiction'!$E$43</f>
        <v>1373163079.3965981</v>
      </c>
      <c r="N49" s="386">
        <f>N$24*'6-PlantJurisdiction'!$E$44</f>
        <v>2242438392.7340798</v>
      </c>
      <c r="O49" s="386">
        <f>O$24*'6-PlantJurisdiction'!$E$45</f>
        <v>0</v>
      </c>
      <c r="P49" s="386">
        <f>P$24*'6-PlantJurisdiction'!$E$45</f>
        <v>0</v>
      </c>
      <c r="Q49" s="386">
        <f>Q$24*'6-PlantJurisdiction'!$E$46</f>
        <v>0</v>
      </c>
      <c r="R49" s="386">
        <f>R$24*'6-PlantJurisdiction'!$E$46</f>
        <v>0</v>
      </c>
      <c r="S49" s="386">
        <f>S$24*'6-PlantJurisdiction'!$E$47</f>
        <v>0</v>
      </c>
      <c r="T49" s="386">
        <f>T$24*'6-PlantJurisdiction'!$E$47</f>
        <v>0</v>
      </c>
      <c r="U49" s="386">
        <f>U$24*'6-PlantJurisdiction'!$E$48</f>
        <v>0</v>
      </c>
      <c r="V49" s="386">
        <f>V$24*'6-PlantJurisdiction'!$E$48</f>
        <v>0</v>
      </c>
      <c r="W49" s="386">
        <f>W$24*'6-PlantJurisdiction'!$E$48</f>
        <v>0</v>
      </c>
      <c r="X49" s="386">
        <f>X$24*'6-PlantJurisdiction'!$E$49</f>
        <v>0</v>
      </c>
      <c r="Y49" s="386">
        <f>Y$24*'6-PlantJurisdiction'!$E$50</f>
        <v>0</v>
      </c>
      <c r="Z49" s="386">
        <f>Z$24*'6-PlantJurisdiction'!$E$50</f>
        <v>0</v>
      </c>
      <c r="AA49" s="386">
        <f>AA$24*'6-PlantJurisdiction'!$E$50</f>
        <v>0</v>
      </c>
      <c r="AB49" s="386">
        <f>AB$24*'6-PlantJurisdiction'!$E$50</f>
        <v>0</v>
      </c>
      <c r="AC49" s="556">
        <f t="shared" si="6"/>
        <v>17825943235.74007</v>
      </c>
      <c r="AD49" s="320">
        <f t="shared" si="5"/>
        <v>211</v>
      </c>
    </row>
    <row r="50" spans="1:30">
      <c r="A50" s="320">
        <f t="shared" si="7"/>
        <v>212</v>
      </c>
      <c r="B50" s="552" t="s">
        <v>75</v>
      </c>
      <c r="C50" s="197">
        <f>'1-DRR'!$K$2</f>
        <v>2021</v>
      </c>
      <c r="D50" s="386">
        <f>D$25*'6-PlantJurisdiction'!$E$37</f>
        <v>30691062.614445508</v>
      </c>
      <c r="E50" s="386">
        <f>E$25*'6-PlantJurisdiction'!$E$37</f>
        <v>62611566.158577681</v>
      </c>
      <c r="F50" s="386">
        <f>F$25*'6-PlantJurisdiction'!$E$38</f>
        <v>298746420.45000023</v>
      </c>
      <c r="G50" s="386">
        <f>G$25*'6-PlantJurisdiction'!$E$38</f>
        <v>38417584.519999988</v>
      </c>
      <c r="H50" s="386">
        <f>H$25*'6-PlantJurisdiction'!$E$39</f>
        <v>4059802418.5799923</v>
      </c>
      <c r="I50" s="386">
        <f>I$25*'6-PlantJurisdiction'!$E$40</f>
        <v>333686.91000000003</v>
      </c>
      <c r="J50" s="386">
        <f>J$25*'6-PlantJurisdiction'!$E$40</f>
        <v>30056380.57</v>
      </c>
      <c r="K50" s="386">
        <f>K$25*'6-PlantJurisdiction'!$E$41</f>
        <v>5535494109.6536388</v>
      </c>
      <c r="L50" s="386">
        <f>L$25*'6-PlantJurisdiction'!$E$42</f>
        <v>4356273578.854393</v>
      </c>
      <c r="M50" s="386">
        <f>M$25*'6-PlantJurisdiction'!$E$43</f>
        <v>1383471138.1416409</v>
      </c>
      <c r="N50" s="386">
        <f>N$25*'6-PlantJurisdiction'!$E$44</f>
        <v>2256239717.0628891</v>
      </c>
      <c r="O50" s="386">
        <f>O$25*'6-PlantJurisdiction'!$E$45</f>
        <v>0</v>
      </c>
      <c r="P50" s="386">
        <f>P$25*'6-PlantJurisdiction'!$E$45</f>
        <v>0</v>
      </c>
      <c r="Q50" s="386">
        <f>Q$25*'6-PlantJurisdiction'!$E$46</f>
        <v>0</v>
      </c>
      <c r="R50" s="386">
        <f>R$25*'6-PlantJurisdiction'!$E$46</f>
        <v>0</v>
      </c>
      <c r="S50" s="386">
        <f>S$25*'6-PlantJurisdiction'!$E$47</f>
        <v>0</v>
      </c>
      <c r="T50" s="386">
        <f>T$25*'6-PlantJurisdiction'!$E$47</f>
        <v>0</v>
      </c>
      <c r="U50" s="386">
        <f>U$25*'6-PlantJurisdiction'!$E$48</f>
        <v>0</v>
      </c>
      <c r="V50" s="386">
        <f>V$25*'6-PlantJurisdiction'!$E$48</f>
        <v>0</v>
      </c>
      <c r="W50" s="386">
        <f>W$25*'6-PlantJurisdiction'!$E$48</f>
        <v>0</v>
      </c>
      <c r="X50" s="386">
        <f>X$25*'6-PlantJurisdiction'!$E$49</f>
        <v>0</v>
      </c>
      <c r="Y50" s="386">
        <f>Y$25*'6-PlantJurisdiction'!$E$50</f>
        <v>0</v>
      </c>
      <c r="Z50" s="386">
        <f>Z$25*'6-PlantJurisdiction'!$E$50</f>
        <v>0</v>
      </c>
      <c r="AA50" s="386">
        <f>AA$25*'6-PlantJurisdiction'!$E$50</f>
        <v>0</v>
      </c>
      <c r="AB50" s="386">
        <f>AB$25*'6-PlantJurisdiction'!$E$50</f>
        <v>0</v>
      </c>
      <c r="AC50" s="556">
        <f t="shared" si="6"/>
        <v>18052137663.515579</v>
      </c>
      <c r="AD50" s="320">
        <f t="shared" si="5"/>
        <v>212</v>
      </c>
    </row>
    <row r="51" spans="1:30">
      <c r="A51" s="320">
        <f t="shared" si="7"/>
        <v>213</v>
      </c>
      <c r="B51" s="557" t="s">
        <v>197</v>
      </c>
      <c r="C51" s="558"/>
      <c r="D51" s="549">
        <f>SUM(D38:D50)/13</f>
        <v>31455528.107477427</v>
      </c>
      <c r="E51" s="549">
        <f t="shared" ref="E51:AC51" si="8">SUM(E38:E50)/13</f>
        <v>62401101.141060591</v>
      </c>
      <c r="F51" s="549">
        <f t="shared" si="8"/>
        <v>293839360.90923101</v>
      </c>
      <c r="G51" s="549">
        <f t="shared" si="8"/>
        <v>40160758.802307695</v>
      </c>
      <c r="H51" s="549">
        <f t="shared" si="8"/>
        <v>3980763832.0446148</v>
      </c>
      <c r="I51" s="549">
        <f t="shared" si="8"/>
        <v>1768078.932307692</v>
      </c>
      <c r="J51" s="549">
        <f t="shared" si="8"/>
        <v>30539955.803846154</v>
      </c>
      <c r="K51" s="549">
        <f t="shared" si="8"/>
        <v>5381059844.9177771</v>
      </c>
      <c r="L51" s="549">
        <f t="shared" si="8"/>
        <v>4395441133.2232428</v>
      </c>
      <c r="M51" s="549">
        <f t="shared" si="8"/>
        <v>1341599642.5482657</v>
      </c>
      <c r="N51" s="549">
        <f t="shared" si="8"/>
        <v>2177584600.0440993</v>
      </c>
      <c r="O51" s="549">
        <f t="shared" si="8"/>
        <v>0</v>
      </c>
      <c r="P51" s="549">
        <f t="shared" si="8"/>
        <v>0</v>
      </c>
      <c r="Q51" s="549">
        <f t="shared" si="8"/>
        <v>0</v>
      </c>
      <c r="R51" s="549">
        <f t="shared" si="8"/>
        <v>0</v>
      </c>
      <c r="S51" s="549">
        <f t="shared" si="8"/>
        <v>0</v>
      </c>
      <c r="T51" s="549">
        <f t="shared" si="8"/>
        <v>0</v>
      </c>
      <c r="U51" s="549">
        <f t="shared" si="8"/>
        <v>0</v>
      </c>
      <c r="V51" s="549">
        <f t="shared" si="8"/>
        <v>0</v>
      </c>
      <c r="W51" s="549">
        <f t="shared" si="8"/>
        <v>0</v>
      </c>
      <c r="X51" s="549">
        <f t="shared" si="8"/>
        <v>0</v>
      </c>
      <c r="Y51" s="549">
        <f t="shared" si="8"/>
        <v>0</v>
      </c>
      <c r="Z51" s="549">
        <f t="shared" si="8"/>
        <v>0</v>
      </c>
      <c r="AA51" s="549">
        <f t="shared" si="8"/>
        <v>0</v>
      </c>
      <c r="AB51" s="549">
        <f t="shared" si="8"/>
        <v>0</v>
      </c>
      <c r="AC51" s="549">
        <f t="shared" si="8"/>
        <v>17736613836.474236</v>
      </c>
      <c r="AD51" s="320">
        <f t="shared" si="5"/>
        <v>213</v>
      </c>
    </row>
    <row r="52" spans="1:30">
      <c r="A52" s="318"/>
      <c r="B52" s="317"/>
      <c r="C52" s="317"/>
      <c r="D52" s="317"/>
      <c r="E52" s="317"/>
      <c r="F52" s="317"/>
      <c r="G52" s="317"/>
      <c r="H52" s="317"/>
      <c r="I52" s="317"/>
      <c r="J52" s="317"/>
      <c r="K52" s="317"/>
      <c r="L52" s="317"/>
      <c r="M52" s="317"/>
      <c r="N52" s="317"/>
      <c r="O52" s="317"/>
      <c r="P52" s="317"/>
      <c r="Q52" s="317"/>
      <c r="AD52" s="320"/>
    </row>
    <row r="53" spans="1:30">
      <c r="A53" s="318"/>
      <c r="B53" s="317"/>
      <c r="C53" s="317"/>
      <c r="D53" s="317"/>
      <c r="E53" s="317"/>
      <c r="F53" s="317"/>
      <c r="G53" s="317"/>
      <c r="H53" s="317"/>
      <c r="I53" s="317"/>
      <c r="J53" s="317"/>
      <c r="K53" s="317"/>
      <c r="L53" s="317"/>
      <c r="M53" s="317"/>
      <c r="N53" s="317"/>
      <c r="O53" s="317"/>
      <c r="P53" s="317"/>
      <c r="Q53" s="317"/>
      <c r="AD53" s="320"/>
    </row>
    <row r="54" spans="1:30">
      <c r="B54" s="65" t="s">
        <v>1048</v>
      </c>
      <c r="C54" s="65"/>
      <c r="D54" s="138"/>
      <c r="E54" s="138"/>
      <c r="F54" s="138"/>
      <c r="G54" s="138"/>
      <c r="H54" s="551"/>
      <c r="I54" s="138"/>
      <c r="J54" s="138"/>
      <c r="K54" s="138"/>
      <c r="L54" s="138"/>
      <c r="M54" s="138"/>
      <c r="N54" s="138"/>
      <c r="O54" s="138"/>
      <c r="P54" s="138"/>
      <c r="Q54" s="138"/>
      <c r="R54" s="551"/>
      <c r="S54" s="551"/>
      <c r="T54" s="551"/>
      <c r="U54" s="551"/>
      <c r="V54" s="551"/>
      <c r="W54" s="551"/>
      <c r="X54" s="551"/>
      <c r="Y54" s="551"/>
      <c r="Z54" s="551"/>
      <c r="AA54" s="551"/>
      <c r="AB54" s="551"/>
      <c r="AC54" s="551"/>
    </row>
    <row r="55" spans="1:30">
      <c r="B55" s="663" t="s">
        <v>1131</v>
      </c>
      <c r="C55" s="7"/>
      <c r="D55" s="319"/>
      <c r="E55" s="319"/>
      <c r="F55" s="163"/>
      <c r="G55" s="163"/>
      <c r="H55" s="163"/>
      <c r="I55" s="319"/>
      <c r="J55" s="317"/>
      <c r="K55" s="317"/>
      <c r="L55" s="317"/>
      <c r="M55" s="317"/>
      <c r="N55" s="317"/>
      <c r="O55" s="317"/>
      <c r="P55" s="317"/>
      <c r="Q55" s="317"/>
    </row>
    <row r="56" spans="1:30">
      <c r="C56" s="2"/>
      <c r="D56" s="317"/>
      <c r="E56" s="317"/>
      <c r="F56" s="317"/>
      <c r="G56" s="317"/>
      <c r="I56" s="317"/>
      <c r="J56" s="317"/>
      <c r="K56" s="317"/>
      <c r="L56" s="317"/>
      <c r="M56" s="317"/>
      <c r="N56" s="317"/>
      <c r="O56" s="317"/>
      <c r="P56" s="317"/>
      <c r="Q56" s="317"/>
    </row>
    <row r="57" spans="1:30">
      <c r="B57" s="552"/>
      <c r="C57" s="2"/>
      <c r="D57" s="317"/>
      <c r="E57" s="317"/>
      <c r="F57" s="317"/>
      <c r="G57" s="317"/>
      <c r="I57" s="317"/>
      <c r="J57" s="317"/>
      <c r="K57" s="317"/>
      <c r="L57" s="317"/>
      <c r="M57" s="317"/>
      <c r="N57" s="317"/>
      <c r="O57" s="317"/>
      <c r="P57" s="317"/>
      <c r="Q57" s="317"/>
    </row>
    <row r="58" spans="1:30">
      <c r="A58" s="639"/>
      <c r="D58" s="394" t="s">
        <v>62</v>
      </c>
      <c r="E58" s="394" t="s">
        <v>63</v>
      </c>
      <c r="F58" s="394" t="s">
        <v>64</v>
      </c>
      <c r="G58" s="394" t="s">
        <v>65</v>
      </c>
      <c r="H58" s="394" t="s">
        <v>66</v>
      </c>
      <c r="I58" s="394" t="s">
        <v>67</v>
      </c>
      <c r="J58" s="394" t="s">
        <v>68</v>
      </c>
      <c r="K58" s="394" t="s">
        <v>69</v>
      </c>
      <c r="L58" s="394" t="s">
        <v>70</v>
      </c>
      <c r="M58" s="394" t="s">
        <v>141</v>
      </c>
      <c r="N58" s="394" t="s">
        <v>142</v>
      </c>
      <c r="O58" s="394" t="s">
        <v>143</v>
      </c>
      <c r="P58" s="394" t="s">
        <v>144</v>
      </c>
      <c r="Q58" s="394" t="s">
        <v>145</v>
      </c>
      <c r="R58" s="394" t="s">
        <v>452</v>
      </c>
      <c r="S58" s="394" t="s">
        <v>807</v>
      </c>
      <c r="T58" s="394" t="s">
        <v>808</v>
      </c>
      <c r="U58" s="394" t="s">
        <v>865</v>
      </c>
      <c r="V58" s="394" t="s">
        <v>866</v>
      </c>
      <c r="W58" s="394" t="s">
        <v>867</v>
      </c>
      <c r="X58" s="394" t="s">
        <v>868</v>
      </c>
      <c r="Y58" s="394" t="s">
        <v>869</v>
      </c>
      <c r="Z58" s="394" t="s">
        <v>870</v>
      </c>
      <c r="AA58" s="394" t="s">
        <v>871</v>
      </c>
      <c r="AB58" s="394" t="s">
        <v>1130</v>
      </c>
      <c r="AC58" s="394" t="s">
        <v>1051</v>
      </c>
      <c r="AD58" s="320"/>
    </row>
    <row r="59" spans="1:30" ht="45">
      <c r="B59" s="639"/>
      <c r="C59" s="639"/>
      <c r="D59" s="664" t="s">
        <v>1084</v>
      </c>
      <c r="E59" s="664" t="s">
        <v>1156</v>
      </c>
      <c r="F59" s="664" t="s">
        <v>1157</v>
      </c>
      <c r="G59" s="664" t="s">
        <v>1158</v>
      </c>
      <c r="H59" s="664" t="s">
        <v>1159</v>
      </c>
      <c r="I59" s="664" t="s">
        <v>1160</v>
      </c>
      <c r="J59" s="664" t="s">
        <v>1161</v>
      </c>
      <c r="K59" s="664" t="s">
        <v>1162</v>
      </c>
      <c r="L59" s="664" t="s">
        <v>1163</v>
      </c>
      <c r="M59" s="664" t="s">
        <v>1164</v>
      </c>
      <c r="N59" s="664" t="s">
        <v>1165</v>
      </c>
      <c r="O59" s="664" t="s">
        <v>1166</v>
      </c>
      <c r="P59" s="664" t="s">
        <v>1167</v>
      </c>
      <c r="Q59" s="664" t="s">
        <v>1168</v>
      </c>
      <c r="R59" s="664" t="s">
        <v>1169</v>
      </c>
      <c r="S59" s="664" t="s">
        <v>1170</v>
      </c>
      <c r="T59" s="664" t="s">
        <v>1171</v>
      </c>
      <c r="U59" s="664" t="s">
        <v>1172</v>
      </c>
      <c r="V59" s="664" t="s">
        <v>1173</v>
      </c>
      <c r="W59" s="664" t="s">
        <v>1174</v>
      </c>
      <c r="X59" s="664" t="s">
        <v>1175</v>
      </c>
      <c r="Y59" s="664" t="s">
        <v>1176</v>
      </c>
      <c r="Z59" s="664" t="s">
        <v>1177</v>
      </c>
      <c r="AA59" s="664" t="s">
        <v>1178</v>
      </c>
      <c r="AB59" s="664" t="s">
        <v>1179</v>
      </c>
      <c r="AC59" s="555" t="s">
        <v>1052</v>
      </c>
      <c r="AD59" s="320"/>
    </row>
    <row r="60" spans="1:30">
      <c r="B60" s="639"/>
      <c r="C60" s="639"/>
      <c r="L60" s="147"/>
      <c r="R60" s="467"/>
      <c r="S60" s="467"/>
      <c r="T60" s="467"/>
      <c r="AC60" s="467"/>
      <c r="AD60" s="320"/>
    </row>
    <row r="61" spans="1:30">
      <c r="A61" s="320"/>
      <c r="B61" s="320"/>
      <c r="C61" s="327" t="s">
        <v>195</v>
      </c>
      <c r="D61" s="115">
        <v>360</v>
      </c>
      <c r="E61" s="115">
        <v>360</v>
      </c>
      <c r="F61" s="115">
        <v>361</v>
      </c>
      <c r="G61" s="115">
        <v>361</v>
      </c>
      <c r="H61" s="115">
        <v>362</v>
      </c>
      <c r="I61" s="115">
        <v>363</v>
      </c>
      <c r="J61" s="115">
        <v>363</v>
      </c>
      <c r="K61" s="115">
        <v>364</v>
      </c>
      <c r="L61" s="115">
        <v>365</v>
      </c>
      <c r="M61" s="115">
        <v>366</v>
      </c>
      <c r="N61" s="115">
        <v>367</v>
      </c>
      <c r="O61" s="115">
        <v>368</v>
      </c>
      <c r="P61" s="115">
        <v>368</v>
      </c>
      <c r="Q61" s="115">
        <v>369</v>
      </c>
      <c r="R61" s="115">
        <v>369</v>
      </c>
      <c r="S61" s="115">
        <v>370</v>
      </c>
      <c r="T61" s="115">
        <v>370</v>
      </c>
      <c r="U61" s="115">
        <v>371</v>
      </c>
      <c r="V61" s="115">
        <v>371</v>
      </c>
      <c r="W61" s="115">
        <v>371</v>
      </c>
      <c r="X61" s="115">
        <v>372</v>
      </c>
      <c r="Y61" s="115">
        <v>373</v>
      </c>
      <c r="Z61" s="115">
        <v>373</v>
      </c>
      <c r="AA61" s="115">
        <v>373</v>
      </c>
      <c r="AB61" s="115">
        <v>373</v>
      </c>
      <c r="AD61" s="320"/>
    </row>
    <row r="62" spans="1:30">
      <c r="A62" s="324" t="s">
        <v>86</v>
      </c>
      <c r="B62" s="324" t="s">
        <v>58</v>
      </c>
      <c r="C62" s="324" t="s">
        <v>73</v>
      </c>
      <c r="D62" s="394" t="s">
        <v>971</v>
      </c>
      <c r="E62" s="394" t="s">
        <v>956</v>
      </c>
      <c r="F62" s="394" t="s">
        <v>957</v>
      </c>
      <c r="G62" s="394" t="s">
        <v>958</v>
      </c>
      <c r="H62" s="394" t="s">
        <v>959</v>
      </c>
      <c r="I62" s="394" t="s">
        <v>960</v>
      </c>
      <c r="J62" s="394" t="s">
        <v>961</v>
      </c>
      <c r="K62" s="394" t="s">
        <v>962</v>
      </c>
      <c r="L62" s="394" t="s">
        <v>963</v>
      </c>
      <c r="M62" s="394" t="s">
        <v>964</v>
      </c>
      <c r="N62" s="394" t="s">
        <v>965</v>
      </c>
      <c r="O62" s="394" t="s">
        <v>966</v>
      </c>
      <c r="P62" s="394" t="s">
        <v>967</v>
      </c>
      <c r="Q62" s="394" t="s">
        <v>968</v>
      </c>
      <c r="R62" s="394" t="s">
        <v>969</v>
      </c>
      <c r="S62" s="394" t="s">
        <v>972</v>
      </c>
      <c r="T62" s="394" t="s">
        <v>970</v>
      </c>
      <c r="U62" s="394" t="s">
        <v>973</v>
      </c>
      <c r="V62" s="394" t="s">
        <v>974</v>
      </c>
      <c r="W62" s="394" t="s">
        <v>975</v>
      </c>
      <c r="X62" s="394" t="s">
        <v>976</v>
      </c>
      <c r="Y62" s="394" t="s">
        <v>977</v>
      </c>
      <c r="Z62" s="394" t="s">
        <v>978</v>
      </c>
      <c r="AA62" s="394" t="s">
        <v>979</v>
      </c>
      <c r="AB62" s="394" t="s">
        <v>980</v>
      </c>
      <c r="AC62" s="324" t="s">
        <v>196</v>
      </c>
      <c r="AD62" s="324" t="str">
        <f t="shared" ref="AD62:AD76" si="9">A62</f>
        <v>Line</v>
      </c>
    </row>
    <row r="63" spans="1:30">
      <c r="A63" s="320">
        <v>300</v>
      </c>
      <c r="B63" s="552" t="s">
        <v>75</v>
      </c>
      <c r="C63" s="197">
        <f>'1-DRR'!$K$2-1</f>
        <v>2020</v>
      </c>
      <c r="D63" s="386">
        <f>D$13*'6-PlantJurisdiction'!$F$37</f>
        <v>30747283.179524701</v>
      </c>
      <c r="E63" s="386">
        <f>E$13*'6-PlantJurisdiction'!$F$37</f>
        <v>59413419.172331825</v>
      </c>
      <c r="F63" s="386">
        <f>F$13*'6-PlantJurisdiction'!$F$38</f>
        <v>0</v>
      </c>
      <c r="G63" s="386">
        <f>G$13*'6-PlantJurisdiction'!$F$38</f>
        <v>0</v>
      </c>
      <c r="H63" s="386">
        <f>H$13*'6-PlantJurisdiction'!$F$39</f>
        <v>0</v>
      </c>
      <c r="I63" s="386">
        <f>I$13*'6-PlantJurisdiction'!$F$40</f>
        <v>0</v>
      </c>
      <c r="J63" s="386">
        <f>J$13*'6-PlantJurisdiction'!$F$40</f>
        <v>0</v>
      </c>
      <c r="K63" s="386">
        <f>K$13*'6-PlantJurisdiction'!$F$41</f>
        <v>1309241362.147342</v>
      </c>
      <c r="L63" s="386">
        <f>L$13*'6-PlantJurisdiction'!$F$42</f>
        <v>1091694324.4689424</v>
      </c>
      <c r="M63" s="386">
        <f>M$13*'6-PlantJurisdiction'!$F$43</f>
        <v>2013946396.5523381</v>
      </c>
      <c r="N63" s="386">
        <f>N$13*'6-PlantJurisdiction'!$F$44</f>
        <v>3255101460.5063748</v>
      </c>
      <c r="O63" s="386">
        <f>O$13*'6-PlantJurisdiction'!$F$45</f>
        <v>3287960869.8999987</v>
      </c>
      <c r="P63" s="386">
        <f>P$13*'6-PlantJurisdiction'!$F$45</f>
        <v>1226643037.5000005</v>
      </c>
      <c r="Q63" s="386">
        <f>Q$13*'6-PlantJurisdiction'!$F$46</f>
        <v>1021426055.2499996</v>
      </c>
      <c r="R63" s="386">
        <f>R$13*'6-PlantJurisdiction'!$F$46</f>
        <v>2740493019.6300011</v>
      </c>
      <c r="S63" s="386">
        <f>S$13*'6-PlantJurisdiction'!$F$47</f>
        <v>0</v>
      </c>
      <c r="T63" s="386">
        <f>T$13*'6-PlantJurisdiction'!$F$47</f>
        <v>0</v>
      </c>
      <c r="U63" s="386">
        <f>U$13*'6-PlantJurisdiction'!$F$48</f>
        <v>0</v>
      </c>
      <c r="V63" s="386">
        <f>V$13*'6-PlantJurisdiction'!$F$48</f>
        <v>0</v>
      </c>
      <c r="W63" s="386">
        <f>W$13*'6-PlantJurisdiction'!$F$48</f>
        <v>0</v>
      </c>
      <c r="X63" s="386">
        <f>X$13*'6-PlantJurisdiction'!$F$49</f>
        <v>0</v>
      </c>
      <c r="Y63" s="386">
        <f>Y$13*'6-PlantJurisdiction'!$F$50</f>
        <v>0</v>
      </c>
      <c r="Z63" s="386">
        <f>Z$13*'6-PlantJurisdiction'!$F$50</f>
        <v>0</v>
      </c>
      <c r="AA63" s="386">
        <f>AA$13*'6-PlantJurisdiction'!$F$50</f>
        <v>0</v>
      </c>
      <c r="AB63" s="386">
        <f>AB$13*'6-PlantJurisdiction'!$F$50</f>
        <v>0</v>
      </c>
      <c r="AC63" s="556">
        <f t="shared" ref="AC63:AC75" si="10">SUM(D63:AB63)</f>
        <v>16036667228.306854</v>
      </c>
      <c r="AD63" s="320">
        <f t="shared" si="9"/>
        <v>300</v>
      </c>
    </row>
    <row r="64" spans="1:30">
      <c r="A64" s="320">
        <f>A63+1</f>
        <v>301</v>
      </c>
      <c r="B64" s="552" t="s">
        <v>76</v>
      </c>
      <c r="C64" s="197">
        <f>'1-DRR'!$K$2</f>
        <v>2021</v>
      </c>
      <c r="D64" s="386">
        <f>D$14*'6-PlantJurisdiction'!$F$37</f>
        <v>31294191.338834595</v>
      </c>
      <c r="E64" s="386">
        <f>E$14*'6-PlantJurisdiction'!$F$37</f>
        <v>59410742.766468704</v>
      </c>
      <c r="F64" s="386">
        <f>F$14*'6-PlantJurisdiction'!$F$38</f>
        <v>0</v>
      </c>
      <c r="G64" s="386">
        <f>G$14*'6-PlantJurisdiction'!$F$38</f>
        <v>0</v>
      </c>
      <c r="H64" s="386">
        <f>H$14*'6-PlantJurisdiction'!$F$39</f>
        <v>0</v>
      </c>
      <c r="I64" s="386">
        <f>I$14*'6-PlantJurisdiction'!$F$40</f>
        <v>0</v>
      </c>
      <c r="J64" s="386">
        <f>J$14*'6-PlantJurisdiction'!$F$40</f>
        <v>0</v>
      </c>
      <c r="K64" s="386">
        <f>K$14*'6-PlantJurisdiction'!$F$41</f>
        <v>1317106917.1035576</v>
      </c>
      <c r="L64" s="386">
        <f>L$14*'6-PlantJurisdiction'!$F$42</f>
        <v>1091220812.0529172</v>
      </c>
      <c r="M64" s="386">
        <f>M$14*'6-PlantJurisdiction'!$F$43</f>
        <v>2025206743.8749628</v>
      </c>
      <c r="N64" s="386">
        <f>N$14*'6-PlantJurisdiction'!$F$44</f>
        <v>3269779120.4682741</v>
      </c>
      <c r="O64" s="386">
        <f>O$14*'6-PlantJurisdiction'!$F$45</f>
        <v>3303351241.4899969</v>
      </c>
      <c r="P64" s="386">
        <f>P$14*'6-PlantJurisdiction'!$F$45</f>
        <v>1241039600.7600002</v>
      </c>
      <c r="Q64" s="386">
        <f>Q$14*'6-PlantJurisdiction'!$F$46</f>
        <v>1022069891.6599996</v>
      </c>
      <c r="R64" s="386">
        <f>R$14*'6-PlantJurisdiction'!$F$46</f>
        <v>2754436221.8900023</v>
      </c>
      <c r="S64" s="386">
        <f>S$14*'6-PlantJurisdiction'!$F$47</f>
        <v>0</v>
      </c>
      <c r="T64" s="386">
        <f>T$14*'6-PlantJurisdiction'!$F$47</f>
        <v>0</v>
      </c>
      <c r="U64" s="386">
        <f>U$14*'6-PlantJurisdiction'!$F$48</f>
        <v>0</v>
      </c>
      <c r="V64" s="386">
        <f>V$14*'6-PlantJurisdiction'!$F$48</f>
        <v>0</v>
      </c>
      <c r="W64" s="386">
        <f>W$14*'6-PlantJurisdiction'!$F$48</f>
        <v>0</v>
      </c>
      <c r="X64" s="386">
        <f>X$14*'6-PlantJurisdiction'!$F$49</f>
        <v>0</v>
      </c>
      <c r="Y64" s="386">
        <f>Y$14*'6-PlantJurisdiction'!$F$50</f>
        <v>0</v>
      </c>
      <c r="Z64" s="386">
        <f>Z$14*'6-PlantJurisdiction'!$F$50</f>
        <v>0</v>
      </c>
      <c r="AA64" s="386">
        <f>AA$14*'6-PlantJurisdiction'!$F$50</f>
        <v>0</v>
      </c>
      <c r="AB64" s="386">
        <f>AB$14*'6-PlantJurisdiction'!$F$50</f>
        <v>0</v>
      </c>
      <c r="AC64" s="556">
        <f t="shared" si="10"/>
        <v>16114915483.405014</v>
      </c>
      <c r="AD64" s="320">
        <f t="shared" si="9"/>
        <v>301</v>
      </c>
    </row>
    <row r="65" spans="1:30">
      <c r="A65" s="320">
        <f t="shared" ref="A65:A76" si="11">A64+1</f>
        <v>302</v>
      </c>
      <c r="B65" s="552" t="s">
        <v>77</v>
      </c>
      <c r="C65" s="197">
        <f>'1-DRR'!$K$2</f>
        <v>2021</v>
      </c>
      <c r="D65" s="386">
        <f>D$15*'6-PlantJurisdiction'!$F$37</f>
        <v>31134695.493015353</v>
      </c>
      <c r="E65" s="386">
        <f>E$15*'6-PlantJurisdiction'!$F$37</f>
        <v>59416597.299104415</v>
      </c>
      <c r="F65" s="386">
        <f>F$15*'6-PlantJurisdiction'!$F$38</f>
        <v>0</v>
      </c>
      <c r="G65" s="386">
        <f>G$15*'6-PlantJurisdiction'!$F$38</f>
        <v>0</v>
      </c>
      <c r="H65" s="386">
        <f>H$15*'6-PlantJurisdiction'!$F$39</f>
        <v>0</v>
      </c>
      <c r="I65" s="386">
        <f>I$15*'6-PlantJurisdiction'!$F$40</f>
        <v>0</v>
      </c>
      <c r="J65" s="386">
        <f>J$15*'6-PlantJurisdiction'!$F$40</f>
        <v>0</v>
      </c>
      <c r="K65" s="386">
        <f>K$15*'6-PlantJurisdiction'!$F$41</f>
        <v>1325982193.704071</v>
      </c>
      <c r="L65" s="386">
        <f>L$15*'6-PlantJurisdiction'!$F$42</f>
        <v>1094562034.8889756</v>
      </c>
      <c r="M65" s="386">
        <f>M$15*'6-PlantJurisdiction'!$F$43</f>
        <v>2034136541.6292143</v>
      </c>
      <c r="N65" s="386">
        <f>N$15*'6-PlantJurisdiction'!$F$44</f>
        <v>3281628597.0404811</v>
      </c>
      <c r="O65" s="386">
        <f>O$15*'6-PlantJurisdiction'!$F$45</f>
        <v>3319906188.289999</v>
      </c>
      <c r="P65" s="386">
        <f>P$15*'6-PlantJurisdiction'!$F$45</f>
        <v>1259466671.0600004</v>
      </c>
      <c r="Q65" s="386">
        <f>Q$15*'6-PlantJurisdiction'!$F$46</f>
        <v>1024178976.8699999</v>
      </c>
      <c r="R65" s="386">
        <f>R$15*'6-PlantJurisdiction'!$F$46</f>
        <v>2763750305.3400016</v>
      </c>
      <c r="S65" s="386">
        <f>S$15*'6-PlantJurisdiction'!$F$47</f>
        <v>0</v>
      </c>
      <c r="T65" s="386">
        <f>T$15*'6-PlantJurisdiction'!$F$47</f>
        <v>0</v>
      </c>
      <c r="U65" s="386">
        <f>U$15*'6-PlantJurisdiction'!$F$48</f>
        <v>0</v>
      </c>
      <c r="V65" s="386">
        <f>V$15*'6-PlantJurisdiction'!$F$48</f>
        <v>0</v>
      </c>
      <c r="W65" s="386">
        <f>W$15*'6-PlantJurisdiction'!$F$48</f>
        <v>0</v>
      </c>
      <c r="X65" s="386">
        <f>X$15*'6-PlantJurisdiction'!$F$49</f>
        <v>0</v>
      </c>
      <c r="Y65" s="386">
        <f>Y$15*'6-PlantJurisdiction'!$F$50</f>
        <v>0</v>
      </c>
      <c r="Z65" s="386">
        <f>Z$15*'6-PlantJurisdiction'!$F$50</f>
        <v>0</v>
      </c>
      <c r="AA65" s="386">
        <f>AA$15*'6-PlantJurisdiction'!$F$50</f>
        <v>0</v>
      </c>
      <c r="AB65" s="386">
        <f>AB$15*'6-PlantJurisdiction'!$F$50</f>
        <v>0</v>
      </c>
      <c r="AC65" s="556">
        <f t="shared" si="10"/>
        <v>16194162801.614862</v>
      </c>
      <c r="AD65" s="320">
        <f t="shared" si="9"/>
        <v>302</v>
      </c>
    </row>
    <row r="66" spans="1:30">
      <c r="A66" s="320">
        <f t="shared" si="11"/>
        <v>303</v>
      </c>
      <c r="B66" s="552" t="s">
        <v>78</v>
      </c>
      <c r="C66" s="197">
        <f>'1-DRR'!$K$2</f>
        <v>2021</v>
      </c>
      <c r="D66" s="386">
        <f>D$16*'6-PlantJurisdiction'!$F$37</f>
        <v>29200420.831399158</v>
      </c>
      <c r="E66" s="386">
        <f>E$16*'6-PlantJurisdiction'!$F$37</f>
        <v>59429010.947451077</v>
      </c>
      <c r="F66" s="386">
        <f>F$16*'6-PlantJurisdiction'!$F$38</f>
        <v>0</v>
      </c>
      <c r="G66" s="386">
        <f>G$16*'6-PlantJurisdiction'!$F$38</f>
        <v>0</v>
      </c>
      <c r="H66" s="386">
        <f>H$16*'6-PlantJurisdiction'!$F$39</f>
        <v>0</v>
      </c>
      <c r="I66" s="386">
        <f>I$16*'6-PlantJurisdiction'!$F$40</f>
        <v>0</v>
      </c>
      <c r="J66" s="386">
        <f>J$16*'6-PlantJurisdiction'!$F$40</f>
        <v>0</v>
      </c>
      <c r="K66" s="386">
        <f>K$16*'6-PlantJurisdiction'!$F$41</f>
        <v>1337341154.8446286</v>
      </c>
      <c r="L66" s="386">
        <f>L$16*'6-PlantJurisdiction'!$F$42</f>
        <v>1101594378.7971544</v>
      </c>
      <c r="M66" s="386">
        <f>M$16*'6-PlantJurisdiction'!$F$43</f>
        <v>2058484755.5110044</v>
      </c>
      <c r="N66" s="386">
        <f>N$16*'6-PlantJurisdiction'!$F$44</f>
        <v>3329831357.8030038</v>
      </c>
      <c r="O66" s="386">
        <f>O$16*'6-PlantJurisdiction'!$F$45</f>
        <v>3389089053.849997</v>
      </c>
      <c r="P66" s="386">
        <f>P$16*'6-PlantJurisdiction'!$F$45</f>
        <v>1277177144.2300005</v>
      </c>
      <c r="Q66" s="386">
        <f>Q$16*'6-PlantJurisdiction'!$F$46</f>
        <v>1030354311.1599996</v>
      </c>
      <c r="R66" s="386">
        <f>R$16*'6-PlantJurisdiction'!$F$46</f>
        <v>2774243056.0600038</v>
      </c>
      <c r="S66" s="386">
        <f>S$16*'6-PlantJurisdiction'!$F$47</f>
        <v>0</v>
      </c>
      <c r="T66" s="386">
        <f>T$16*'6-PlantJurisdiction'!$F$47</f>
        <v>0</v>
      </c>
      <c r="U66" s="386">
        <f>U$16*'6-PlantJurisdiction'!$F$48</f>
        <v>0</v>
      </c>
      <c r="V66" s="386">
        <f>V$16*'6-PlantJurisdiction'!$F$48</f>
        <v>0</v>
      </c>
      <c r="W66" s="386">
        <f>W$16*'6-PlantJurisdiction'!$F$48</f>
        <v>0</v>
      </c>
      <c r="X66" s="386">
        <f>X$16*'6-PlantJurisdiction'!$F$49</f>
        <v>0</v>
      </c>
      <c r="Y66" s="386">
        <f>Y$16*'6-PlantJurisdiction'!$F$50</f>
        <v>0</v>
      </c>
      <c r="Z66" s="386">
        <f>Z$16*'6-PlantJurisdiction'!$F$50</f>
        <v>0</v>
      </c>
      <c r="AA66" s="386">
        <f>AA$16*'6-PlantJurisdiction'!$F$50</f>
        <v>0</v>
      </c>
      <c r="AB66" s="386">
        <f>AB$16*'6-PlantJurisdiction'!$F$50</f>
        <v>0</v>
      </c>
      <c r="AC66" s="556">
        <f t="shared" si="10"/>
        <v>16386744644.034643</v>
      </c>
      <c r="AD66" s="320">
        <f t="shared" si="9"/>
        <v>303</v>
      </c>
    </row>
    <row r="67" spans="1:30">
      <c r="A67" s="320">
        <f t="shared" si="11"/>
        <v>304</v>
      </c>
      <c r="B67" s="552" t="s">
        <v>79</v>
      </c>
      <c r="C67" s="197">
        <f>'1-DRR'!$K$2</f>
        <v>2021</v>
      </c>
      <c r="D67" s="386">
        <f>D$17*'6-PlantJurisdiction'!$F$37</f>
        <v>29205654.51331374</v>
      </c>
      <c r="E67" s="386">
        <f>E$17*'6-PlantJurisdiction'!$F$37</f>
        <v>59429010.596208371</v>
      </c>
      <c r="F67" s="386">
        <f>F$17*'6-PlantJurisdiction'!$F$38</f>
        <v>0</v>
      </c>
      <c r="G67" s="386">
        <f>G$17*'6-PlantJurisdiction'!$F$38</f>
        <v>0</v>
      </c>
      <c r="H67" s="386">
        <f>H$17*'6-PlantJurisdiction'!$F$39</f>
        <v>0</v>
      </c>
      <c r="I67" s="386">
        <f>I$17*'6-PlantJurisdiction'!$F$40</f>
        <v>0</v>
      </c>
      <c r="J67" s="386">
        <f>J$17*'6-PlantJurisdiction'!$F$40</f>
        <v>0</v>
      </c>
      <c r="K67" s="386">
        <f>K$17*'6-PlantJurisdiction'!$F$41</f>
        <v>1350615597.013762</v>
      </c>
      <c r="L67" s="386">
        <f>L$17*'6-PlantJurisdiction'!$F$42</f>
        <v>1107130749.6276677</v>
      </c>
      <c r="M67" s="386">
        <f>M$17*'6-PlantJurisdiction'!$F$43</f>
        <v>2068510250.6172233</v>
      </c>
      <c r="N67" s="386">
        <f>N$17*'6-PlantJurisdiction'!$F$44</f>
        <v>3349244286.8333187</v>
      </c>
      <c r="O67" s="386">
        <f>O$17*'6-PlantJurisdiction'!$F$45</f>
        <v>3418142971.2499962</v>
      </c>
      <c r="P67" s="386">
        <f>P$17*'6-PlantJurisdiction'!$F$45</f>
        <v>1296932614.0399995</v>
      </c>
      <c r="Q67" s="386">
        <f>Q$17*'6-PlantJurisdiction'!$F$46</f>
        <v>1034799818.5299997</v>
      </c>
      <c r="R67" s="386">
        <f>R$17*'6-PlantJurisdiction'!$F$46</f>
        <v>2789388887.2200012</v>
      </c>
      <c r="S67" s="386">
        <f>S$17*'6-PlantJurisdiction'!$F$47</f>
        <v>0</v>
      </c>
      <c r="T67" s="386">
        <f>T$17*'6-PlantJurisdiction'!$F$47</f>
        <v>0</v>
      </c>
      <c r="U67" s="386">
        <f>U$17*'6-PlantJurisdiction'!$F$48</f>
        <v>0</v>
      </c>
      <c r="V67" s="386">
        <f>V$17*'6-PlantJurisdiction'!$F$48</f>
        <v>0</v>
      </c>
      <c r="W67" s="386">
        <f>W$17*'6-PlantJurisdiction'!$F$48</f>
        <v>0</v>
      </c>
      <c r="X67" s="386">
        <f>X$17*'6-PlantJurisdiction'!$F$49</f>
        <v>0</v>
      </c>
      <c r="Y67" s="386">
        <f>Y$17*'6-PlantJurisdiction'!$F$50</f>
        <v>0</v>
      </c>
      <c r="Z67" s="386">
        <f>Z$17*'6-PlantJurisdiction'!$F$50</f>
        <v>0</v>
      </c>
      <c r="AA67" s="386">
        <f>AA$17*'6-PlantJurisdiction'!$F$50</f>
        <v>0</v>
      </c>
      <c r="AB67" s="386">
        <f>AB$17*'6-PlantJurisdiction'!$F$50</f>
        <v>0</v>
      </c>
      <c r="AC67" s="556">
        <f t="shared" si="10"/>
        <v>16503399840.241489</v>
      </c>
      <c r="AD67" s="320">
        <f t="shared" si="9"/>
        <v>304</v>
      </c>
    </row>
    <row r="68" spans="1:30">
      <c r="A68" s="320">
        <f t="shared" si="11"/>
        <v>305</v>
      </c>
      <c r="B68" s="552" t="s">
        <v>61</v>
      </c>
      <c r="C68" s="197">
        <f>'1-DRR'!$K$2</f>
        <v>2021</v>
      </c>
      <c r="D68" s="386">
        <f>D$18*'6-PlantJurisdiction'!$F$37</f>
        <v>29726192.210694432</v>
      </c>
      <c r="E68" s="386">
        <f>E$18*'6-PlantJurisdiction'!$F$37</f>
        <v>59428082.905729145</v>
      </c>
      <c r="F68" s="386">
        <f>F$18*'6-PlantJurisdiction'!$F$38</f>
        <v>0</v>
      </c>
      <c r="G68" s="386">
        <f>G$18*'6-PlantJurisdiction'!$F$38</f>
        <v>0</v>
      </c>
      <c r="H68" s="386">
        <f>H$18*'6-PlantJurisdiction'!$F$39</f>
        <v>0</v>
      </c>
      <c r="I68" s="386">
        <f>I$18*'6-PlantJurisdiction'!$F$40</f>
        <v>0</v>
      </c>
      <c r="J68" s="386">
        <f>J$18*'6-PlantJurisdiction'!$F$40</f>
        <v>0</v>
      </c>
      <c r="K68" s="386">
        <f>K$18*'6-PlantJurisdiction'!$F$41</f>
        <v>1358987657.7409434</v>
      </c>
      <c r="L68" s="386">
        <f>L$18*'6-PlantJurisdiction'!$F$42</f>
        <v>1113165451.8794439</v>
      </c>
      <c r="M68" s="386">
        <f>M$18*'6-PlantJurisdiction'!$F$43</f>
        <v>2081001467.2935631</v>
      </c>
      <c r="N68" s="386">
        <f>N$18*'6-PlantJurisdiction'!$F$44</f>
        <v>3368754770.6071649</v>
      </c>
      <c r="O68" s="386">
        <f>O$18*'6-PlantJurisdiction'!$F$45</f>
        <v>3449235181.849998</v>
      </c>
      <c r="P68" s="386">
        <f>P$18*'6-PlantJurisdiction'!$F$45</f>
        <v>1312358538.2799993</v>
      </c>
      <c r="Q68" s="386">
        <f>Q$18*'6-PlantJurisdiction'!$F$46</f>
        <v>1039415030.4000001</v>
      </c>
      <c r="R68" s="386">
        <f>R$18*'6-PlantJurisdiction'!$F$46</f>
        <v>2802484143.9499998</v>
      </c>
      <c r="S68" s="386">
        <f>S$18*'6-PlantJurisdiction'!$F$47</f>
        <v>0</v>
      </c>
      <c r="T68" s="386">
        <f>T$18*'6-PlantJurisdiction'!$F$47</f>
        <v>0</v>
      </c>
      <c r="U68" s="386">
        <f>U$18*'6-PlantJurisdiction'!$F$48</f>
        <v>0</v>
      </c>
      <c r="V68" s="386">
        <f>V$18*'6-PlantJurisdiction'!$F$48</f>
        <v>0</v>
      </c>
      <c r="W68" s="386">
        <f>W$18*'6-PlantJurisdiction'!$F$48</f>
        <v>0</v>
      </c>
      <c r="X68" s="386">
        <f>X$18*'6-PlantJurisdiction'!$F$49</f>
        <v>0</v>
      </c>
      <c r="Y68" s="386">
        <f>Y$18*'6-PlantJurisdiction'!$F$50</f>
        <v>0</v>
      </c>
      <c r="Z68" s="386">
        <f>Z$18*'6-PlantJurisdiction'!$F$50</f>
        <v>0</v>
      </c>
      <c r="AA68" s="386">
        <f>AA$18*'6-PlantJurisdiction'!$F$50</f>
        <v>0</v>
      </c>
      <c r="AB68" s="386">
        <f>AB$18*'6-PlantJurisdiction'!$F$50</f>
        <v>0</v>
      </c>
      <c r="AC68" s="556">
        <f t="shared" si="10"/>
        <v>16614556517.117535</v>
      </c>
      <c r="AD68" s="320">
        <f t="shared" si="9"/>
        <v>305</v>
      </c>
    </row>
    <row r="69" spans="1:30">
      <c r="A69" s="320">
        <f t="shared" si="11"/>
        <v>306</v>
      </c>
      <c r="B69" s="552" t="s">
        <v>146</v>
      </c>
      <c r="C69" s="197">
        <f>'1-DRR'!$K$2</f>
        <v>2021</v>
      </c>
      <c r="D69" s="386">
        <f>D$19*'6-PlantJurisdiction'!$F$37</f>
        <v>29741109.487650353</v>
      </c>
      <c r="E69" s="386">
        <f>E$19*'6-PlantJurisdiction'!$F$37</f>
        <v>59428082.964269593</v>
      </c>
      <c r="F69" s="386">
        <f>F$19*'6-PlantJurisdiction'!$F$38</f>
        <v>0</v>
      </c>
      <c r="G69" s="386">
        <f>G$19*'6-PlantJurisdiction'!$F$38</f>
        <v>0</v>
      </c>
      <c r="H69" s="386">
        <f>H$19*'6-PlantJurisdiction'!$F$39</f>
        <v>0</v>
      </c>
      <c r="I69" s="386">
        <f>I$19*'6-PlantJurisdiction'!$F$40</f>
        <v>0</v>
      </c>
      <c r="J69" s="386">
        <f>J$19*'6-PlantJurisdiction'!$F$40</f>
        <v>0</v>
      </c>
      <c r="K69" s="386">
        <f>K$19*'6-PlantJurisdiction'!$F$41</f>
        <v>1363500821.7778008</v>
      </c>
      <c r="L69" s="386">
        <f>L$19*'6-PlantJurisdiction'!$F$42</f>
        <v>1120359278.5367482</v>
      </c>
      <c r="M69" s="386">
        <f>M$19*'6-PlantJurisdiction'!$F$43</f>
        <v>2104605183.4356673</v>
      </c>
      <c r="N69" s="386">
        <f>N$19*'6-PlantJurisdiction'!$F$44</f>
        <v>3412754252.4518929</v>
      </c>
      <c r="O69" s="386">
        <f>O$19*'6-PlantJurisdiction'!$F$45</f>
        <v>3481692856.219995</v>
      </c>
      <c r="P69" s="386">
        <f>P$19*'6-PlantJurisdiction'!$F$45</f>
        <v>1335543847.2899995</v>
      </c>
      <c r="Q69" s="386">
        <f>Q$19*'6-PlantJurisdiction'!$F$46</f>
        <v>1043460522.0400001</v>
      </c>
      <c r="R69" s="386">
        <f>R$19*'6-PlantJurisdiction'!$F$46</f>
        <v>2819599366.6799998</v>
      </c>
      <c r="S69" s="386">
        <f>S$19*'6-PlantJurisdiction'!$F$47</f>
        <v>0</v>
      </c>
      <c r="T69" s="386">
        <f>T$19*'6-PlantJurisdiction'!$F$47</f>
        <v>0</v>
      </c>
      <c r="U69" s="386">
        <f>U$19*'6-PlantJurisdiction'!$F$48</f>
        <v>0</v>
      </c>
      <c r="V69" s="386">
        <f>V$19*'6-PlantJurisdiction'!$F$48</f>
        <v>0</v>
      </c>
      <c r="W69" s="386">
        <f>W$19*'6-PlantJurisdiction'!$F$48</f>
        <v>0</v>
      </c>
      <c r="X69" s="386">
        <f>X$19*'6-PlantJurisdiction'!$F$49</f>
        <v>0</v>
      </c>
      <c r="Y69" s="386">
        <f>Y$19*'6-PlantJurisdiction'!$F$50</f>
        <v>0</v>
      </c>
      <c r="Z69" s="386">
        <f>Z$19*'6-PlantJurisdiction'!$F$50</f>
        <v>0</v>
      </c>
      <c r="AA69" s="386">
        <f>AA$19*'6-PlantJurisdiction'!$F$50</f>
        <v>0</v>
      </c>
      <c r="AB69" s="386">
        <f>AB$19*'6-PlantJurisdiction'!$F$50</f>
        <v>0</v>
      </c>
      <c r="AC69" s="556">
        <f t="shared" si="10"/>
        <v>16770685320.884024</v>
      </c>
      <c r="AD69" s="320">
        <f t="shared" si="9"/>
        <v>306</v>
      </c>
    </row>
    <row r="70" spans="1:30">
      <c r="A70" s="320">
        <f t="shared" si="11"/>
        <v>307</v>
      </c>
      <c r="B70" s="552" t="s">
        <v>81</v>
      </c>
      <c r="C70" s="197">
        <f>'1-DRR'!$K$2</f>
        <v>2021</v>
      </c>
      <c r="D70" s="386">
        <f>D$20*'6-PlantJurisdiction'!$F$37</f>
        <v>29799157.65925302</v>
      </c>
      <c r="E70" s="815">
        <f>E20*'6-PlantJurisdiction'!$F$37</f>
        <v>59428082.964269593</v>
      </c>
      <c r="F70" s="386">
        <f>F$20*'6-PlantJurisdiction'!$F$38</f>
        <v>0</v>
      </c>
      <c r="G70" s="386">
        <f>G$20*'6-PlantJurisdiction'!$F$38</f>
        <v>0</v>
      </c>
      <c r="H70" s="386">
        <f>H$20*'6-PlantJurisdiction'!$F$39</f>
        <v>0</v>
      </c>
      <c r="I70" s="386">
        <f>I$20*'6-PlantJurisdiction'!$F$40</f>
        <v>0</v>
      </c>
      <c r="J70" s="386">
        <f>J$20*'6-PlantJurisdiction'!$F$40</f>
        <v>0</v>
      </c>
      <c r="K70" s="386">
        <f>K$20*'6-PlantJurisdiction'!$F$41</f>
        <v>1370924140.099966</v>
      </c>
      <c r="L70" s="386">
        <f>L$20*'6-PlantJurisdiction'!$F$42</f>
        <v>1125674771.133265</v>
      </c>
      <c r="M70" s="386">
        <f>M$20*'6-PlantJurisdiction'!$F$43</f>
        <v>2110262075.4401007</v>
      </c>
      <c r="N70" s="386">
        <f>N$20*'6-PlantJurisdiction'!$F$44</f>
        <v>3430670604.1986809</v>
      </c>
      <c r="O70" s="386">
        <f>O$20*'6-PlantJurisdiction'!$F$45</f>
        <v>3502421999.2099977</v>
      </c>
      <c r="P70" s="386">
        <f>P$20*'6-PlantJurisdiction'!$F$45</f>
        <v>1350841186.8900008</v>
      </c>
      <c r="Q70" s="386">
        <f>Q$20*'6-PlantJurisdiction'!$F$46</f>
        <v>1029665638.9300003</v>
      </c>
      <c r="R70" s="386">
        <f>R$20*'6-PlantJurisdiction'!$F$46</f>
        <v>2825267774.8600001</v>
      </c>
      <c r="S70" s="386">
        <f>S$20*'6-PlantJurisdiction'!$F$47</f>
        <v>0</v>
      </c>
      <c r="T70" s="386">
        <f>T$20*'6-PlantJurisdiction'!$F$47</f>
        <v>0</v>
      </c>
      <c r="U70" s="386">
        <f>U$20*'6-PlantJurisdiction'!$F$48</f>
        <v>0</v>
      </c>
      <c r="V70" s="386">
        <f>V$20*'6-PlantJurisdiction'!$F$48</f>
        <v>0</v>
      </c>
      <c r="W70" s="386">
        <f>W$20*'6-PlantJurisdiction'!$F$48</f>
        <v>0</v>
      </c>
      <c r="X70" s="386">
        <f>X$20*'6-PlantJurisdiction'!$F$49</f>
        <v>0</v>
      </c>
      <c r="Y70" s="386">
        <f>Y$20*'6-PlantJurisdiction'!$F$50</f>
        <v>0</v>
      </c>
      <c r="Z70" s="386">
        <f>Z$20*'6-PlantJurisdiction'!$F$50</f>
        <v>0</v>
      </c>
      <c r="AA70" s="386">
        <f>AA$20*'6-PlantJurisdiction'!$F$50</f>
        <v>0</v>
      </c>
      <c r="AB70" s="386">
        <f>AB$20*'6-PlantJurisdiction'!$F$50</f>
        <v>0</v>
      </c>
      <c r="AC70" s="556">
        <f t="shared" si="10"/>
        <v>16834955431.385534</v>
      </c>
      <c r="AD70" s="320">
        <f t="shared" si="9"/>
        <v>307</v>
      </c>
    </row>
    <row r="71" spans="1:30">
      <c r="A71" s="320">
        <f t="shared" si="11"/>
        <v>308</v>
      </c>
      <c r="B71" s="552" t="s">
        <v>82</v>
      </c>
      <c r="C71" s="197">
        <f>'1-DRR'!$K$2</f>
        <v>2021</v>
      </c>
      <c r="D71" s="386">
        <f>D$21*'6-PlantJurisdiction'!$F$37</f>
        <v>29852867.642173905</v>
      </c>
      <c r="E71" s="386">
        <f>E$21*'6-PlantJurisdiction'!$F$37</f>
        <v>59415933.679707661</v>
      </c>
      <c r="F71" s="386">
        <f>F$21*'6-PlantJurisdiction'!$F$38</f>
        <v>0</v>
      </c>
      <c r="G71" s="386">
        <f>G$21*'6-PlantJurisdiction'!$F$38</f>
        <v>0</v>
      </c>
      <c r="H71" s="386">
        <f>H$21*'6-PlantJurisdiction'!$F$39</f>
        <v>0</v>
      </c>
      <c r="I71" s="386">
        <f>I$21*'6-PlantJurisdiction'!$F$40</f>
        <v>0</v>
      </c>
      <c r="J71" s="386">
        <f>J$21*'6-PlantJurisdiction'!$F$40</f>
        <v>0</v>
      </c>
      <c r="K71" s="386">
        <f>K$21*'6-PlantJurisdiction'!$F$41</f>
        <v>1382664312.7912116</v>
      </c>
      <c r="L71" s="386">
        <f>L$21*'6-PlantJurisdiction'!$F$42</f>
        <v>1130934129.5147154</v>
      </c>
      <c r="M71" s="386">
        <f>M$21*'6-PlantJurisdiction'!$F$43</f>
        <v>2123853493.2956424</v>
      </c>
      <c r="N71" s="386">
        <f>N$21*'6-PlantJurisdiction'!$F$44</f>
        <v>3458267746.070188</v>
      </c>
      <c r="O71" s="386">
        <f>O$21*'6-PlantJurisdiction'!$F$45</f>
        <v>3528512133.4700012</v>
      </c>
      <c r="P71" s="386">
        <f>P$21*'6-PlantJurisdiction'!$F$45</f>
        <v>1367037868.8599992</v>
      </c>
      <c r="Q71" s="386">
        <f>Q$21*'6-PlantJurisdiction'!$F$46</f>
        <v>1035116264.3100004</v>
      </c>
      <c r="R71" s="386">
        <f>R$21*'6-PlantJurisdiction'!$F$46</f>
        <v>2838829850.4099998</v>
      </c>
      <c r="S71" s="386">
        <f>S$21*'6-PlantJurisdiction'!$F$47</f>
        <v>0</v>
      </c>
      <c r="T71" s="386">
        <f>T$21*'6-PlantJurisdiction'!$F$47</f>
        <v>0</v>
      </c>
      <c r="U71" s="386">
        <f>U$21*'6-PlantJurisdiction'!$F$48</f>
        <v>0</v>
      </c>
      <c r="V71" s="386">
        <f>V$21*'6-PlantJurisdiction'!$F$48</f>
        <v>0</v>
      </c>
      <c r="W71" s="386">
        <f>W$21*'6-PlantJurisdiction'!$F$48</f>
        <v>0</v>
      </c>
      <c r="X71" s="386">
        <f>X$21*'6-PlantJurisdiction'!$F$49</f>
        <v>0</v>
      </c>
      <c r="Y71" s="386">
        <f>Y$21*'6-PlantJurisdiction'!$F$50</f>
        <v>0</v>
      </c>
      <c r="Z71" s="386">
        <f>Z$21*'6-PlantJurisdiction'!$F$50</f>
        <v>0</v>
      </c>
      <c r="AA71" s="386">
        <f>AA$21*'6-PlantJurisdiction'!$F$50</f>
        <v>0</v>
      </c>
      <c r="AB71" s="386">
        <f>AB$21*'6-PlantJurisdiction'!$F$50</f>
        <v>0</v>
      </c>
      <c r="AC71" s="556">
        <f t="shared" si="10"/>
        <v>16954484600.04364</v>
      </c>
      <c r="AD71" s="320">
        <f t="shared" si="9"/>
        <v>308</v>
      </c>
    </row>
    <row r="72" spans="1:30">
      <c r="A72" s="320">
        <f t="shared" si="11"/>
        <v>309</v>
      </c>
      <c r="B72" s="552" t="s">
        <v>83</v>
      </c>
      <c r="C72" s="197">
        <f>'1-DRR'!$K$2</f>
        <v>2021</v>
      </c>
      <c r="D72" s="386">
        <f>D$22*'6-PlantJurisdiction'!$F$37</f>
        <v>29858793.662453365</v>
      </c>
      <c r="E72" s="386">
        <f>E$22*'6-PlantJurisdiction'!$F$37</f>
        <v>59415944.973135754</v>
      </c>
      <c r="F72" s="386">
        <f>F$22*'6-PlantJurisdiction'!$F$38</f>
        <v>0</v>
      </c>
      <c r="G72" s="386">
        <f>G$22*'6-PlantJurisdiction'!$F$38</f>
        <v>0</v>
      </c>
      <c r="H72" s="386">
        <f>H$22*'6-PlantJurisdiction'!$F$39</f>
        <v>0</v>
      </c>
      <c r="I72" s="386">
        <f>I$22*'6-PlantJurisdiction'!$F$40</f>
        <v>0</v>
      </c>
      <c r="J72" s="386">
        <f>J$22*'6-PlantJurisdiction'!$F$40</f>
        <v>0</v>
      </c>
      <c r="K72" s="386">
        <f>K$22*'6-PlantJurisdiction'!$F$41</f>
        <v>1398069804.3617682</v>
      </c>
      <c r="L72" s="386">
        <f>L$22*'6-PlantJurisdiction'!$F$42</f>
        <v>1138047063.2267764</v>
      </c>
      <c r="M72" s="386">
        <f>M$22*'6-PlantJurisdiction'!$F$43</f>
        <v>2143273701.6888409</v>
      </c>
      <c r="N72" s="386">
        <f>N$22*'6-PlantJurisdiction'!$F$44</f>
        <v>3494319153.4443598</v>
      </c>
      <c r="O72" s="386">
        <f>O$22*'6-PlantJurisdiction'!$F$45</f>
        <v>3550987710.1700001</v>
      </c>
      <c r="P72" s="386">
        <f>P$22*'6-PlantJurisdiction'!$F$45</f>
        <v>1383512290.9599993</v>
      </c>
      <c r="Q72" s="386">
        <f>Q$22*'6-PlantJurisdiction'!$F$46</f>
        <v>1029418186.6900005</v>
      </c>
      <c r="R72" s="386">
        <f>R$22*'6-PlantJurisdiction'!$F$46</f>
        <v>2851130171.7600017</v>
      </c>
      <c r="S72" s="386">
        <f>S$22*'6-PlantJurisdiction'!$F$47</f>
        <v>0</v>
      </c>
      <c r="T72" s="386">
        <f>T$22*'6-PlantJurisdiction'!$F$47</f>
        <v>0</v>
      </c>
      <c r="U72" s="386">
        <f>U$22*'6-PlantJurisdiction'!$F$48</f>
        <v>0</v>
      </c>
      <c r="V72" s="386">
        <f>V$22*'6-PlantJurisdiction'!$F$48</f>
        <v>0</v>
      </c>
      <c r="W72" s="386">
        <f>W$22*'6-PlantJurisdiction'!$F$48</f>
        <v>0</v>
      </c>
      <c r="X72" s="386">
        <f>X$22*'6-PlantJurisdiction'!$F$49</f>
        <v>0</v>
      </c>
      <c r="Y72" s="386">
        <f>Y$22*'6-PlantJurisdiction'!$F$50</f>
        <v>0</v>
      </c>
      <c r="Z72" s="386">
        <f>Z$22*'6-PlantJurisdiction'!$F$50</f>
        <v>0</v>
      </c>
      <c r="AA72" s="386">
        <f>AA$22*'6-PlantJurisdiction'!$F$50</f>
        <v>0</v>
      </c>
      <c r="AB72" s="386">
        <f>AB$22*'6-PlantJurisdiction'!$F$50</f>
        <v>0</v>
      </c>
      <c r="AC72" s="556">
        <f t="shared" si="10"/>
        <v>17078032820.937336</v>
      </c>
      <c r="AD72" s="320">
        <f t="shared" si="9"/>
        <v>309</v>
      </c>
    </row>
    <row r="73" spans="1:30">
      <c r="A73" s="320">
        <f t="shared" si="11"/>
        <v>310</v>
      </c>
      <c r="B73" s="552" t="s">
        <v>84</v>
      </c>
      <c r="C73" s="197">
        <f>'1-DRR'!$K$2</f>
        <v>2021</v>
      </c>
      <c r="D73" s="386">
        <f>D$23*'6-PlantJurisdiction'!$F$37</f>
        <v>29862440.732362907</v>
      </c>
      <c r="E73" s="386">
        <f>E$23*'6-PlantJurisdiction'!$F$37</f>
        <v>59415946.636660151</v>
      </c>
      <c r="F73" s="386">
        <f>F$23*'6-PlantJurisdiction'!$F$38</f>
        <v>0</v>
      </c>
      <c r="G73" s="386">
        <f>G$23*'6-PlantJurisdiction'!$F$38</f>
        <v>0</v>
      </c>
      <c r="H73" s="386">
        <f>H$23*'6-PlantJurisdiction'!$F$39</f>
        <v>0</v>
      </c>
      <c r="I73" s="386">
        <f>I$23*'6-PlantJurisdiction'!$F$40</f>
        <v>0</v>
      </c>
      <c r="J73" s="386">
        <f>J$23*'6-PlantJurisdiction'!$F$40</f>
        <v>0</v>
      </c>
      <c r="K73" s="386">
        <f>K$23*'6-PlantJurisdiction'!$F$41</f>
        <v>1409465761.6209893</v>
      </c>
      <c r="L73" s="386">
        <f>L$23*'6-PlantJurisdiction'!$F$42</f>
        <v>1141991067.9975801</v>
      </c>
      <c r="M73" s="386">
        <f>M$23*'6-PlantJurisdiction'!$F$43</f>
        <v>2157475301.4922323</v>
      </c>
      <c r="N73" s="386">
        <f>N$23*'6-PlantJurisdiction'!$F$44</f>
        <v>3514958830.0999308</v>
      </c>
      <c r="O73" s="386">
        <f>O$23*'6-PlantJurisdiction'!$F$45</f>
        <v>3574207431.5400014</v>
      </c>
      <c r="P73" s="386">
        <f>P$23*'6-PlantJurisdiction'!$F$45</f>
        <v>1400387754.6299996</v>
      </c>
      <c r="Q73" s="386">
        <f>Q$23*'6-PlantJurisdiction'!$F$46</f>
        <v>1031739810.7699999</v>
      </c>
      <c r="R73" s="386">
        <f>R$23*'6-PlantJurisdiction'!$F$46</f>
        <v>2862068826.4500012</v>
      </c>
      <c r="S73" s="386">
        <f>S$23*'6-PlantJurisdiction'!$F$47</f>
        <v>0</v>
      </c>
      <c r="T73" s="386">
        <f>T$23*'6-PlantJurisdiction'!$F$47</f>
        <v>0</v>
      </c>
      <c r="U73" s="386">
        <f>U$23*'6-PlantJurisdiction'!$F$48</f>
        <v>0</v>
      </c>
      <c r="V73" s="386">
        <f>V$23*'6-PlantJurisdiction'!$F$48</f>
        <v>0</v>
      </c>
      <c r="W73" s="386">
        <f>W$23*'6-PlantJurisdiction'!$F$48</f>
        <v>0</v>
      </c>
      <c r="X73" s="386">
        <f>X$23*'6-PlantJurisdiction'!$F$49</f>
        <v>0</v>
      </c>
      <c r="Y73" s="386">
        <f>Y$23*'6-PlantJurisdiction'!$F$50</f>
        <v>0</v>
      </c>
      <c r="Z73" s="386">
        <f>Z$23*'6-PlantJurisdiction'!$F$50</f>
        <v>0</v>
      </c>
      <c r="AA73" s="386">
        <f>AA$23*'6-PlantJurisdiction'!$F$50</f>
        <v>0</v>
      </c>
      <c r="AB73" s="386">
        <f>AB$23*'6-PlantJurisdiction'!$F$50</f>
        <v>0</v>
      </c>
      <c r="AC73" s="556">
        <f t="shared" si="10"/>
        <v>17181573171.969757</v>
      </c>
      <c r="AD73" s="320">
        <f t="shared" si="9"/>
        <v>310</v>
      </c>
    </row>
    <row r="74" spans="1:30">
      <c r="A74" s="320">
        <f t="shared" si="11"/>
        <v>311</v>
      </c>
      <c r="B74" s="552" t="s">
        <v>85</v>
      </c>
      <c r="C74" s="197">
        <f>'1-DRR'!$K$2</f>
        <v>2021</v>
      </c>
      <c r="D74" s="386">
        <f>D$24*'6-PlantJurisdiction'!$F$37</f>
        <v>29843415.696563628</v>
      </c>
      <c r="E74" s="386">
        <f>E$24*'6-PlantJurisdiction'!$F$37</f>
        <v>59416000.069454044</v>
      </c>
      <c r="F74" s="386">
        <f>F$24*'6-PlantJurisdiction'!$F$38</f>
        <v>0</v>
      </c>
      <c r="G74" s="386">
        <f>G$24*'6-PlantJurisdiction'!$F$38</f>
        <v>0</v>
      </c>
      <c r="H74" s="386">
        <f>H$24*'6-PlantJurisdiction'!$F$39</f>
        <v>0</v>
      </c>
      <c r="I74" s="386">
        <f>I$24*'6-PlantJurisdiction'!$F$40</f>
        <v>0</v>
      </c>
      <c r="J74" s="386">
        <f>J$24*'6-PlantJurisdiction'!$F$40</f>
        <v>0</v>
      </c>
      <c r="K74" s="386">
        <f>K$24*'6-PlantJurisdiction'!$F$41</f>
        <v>1365477469.2265363</v>
      </c>
      <c r="L74" s="386">
        <f>L$24*'6-PlantJurisdiction'!$F$42</f>
        <v>1091171788.3580625</v>
      </c>
      <c r="M74" s="386">
        <f>M$24*'6-PlantJurisdiction'!$F$43</f>
        <v>2143393516.1833994</v>
      </c>
      <c r="N74" s="386">
        <f>N$24*'6-PlantJurisdiction'!$F$44</f>
        <v>3500260080.9359174</v>
      </c>
      <c r="O74" s="386">
        <f>O$24*'6-PlantJurisdiction'!$F$45</f>
        <v>3549512853.6499996</v>
      </c>
      <c r="P74" s="386">
        <f>P$24*'6-PlantJurisdiction'!$F$45</f>
        <v>1410861326.6600001</v>
      </c>
      <c r="Q74" s="386">
        <f>Q$24*'6-PlantJurisdiction'!$F$46</f>
        <v>1027639296.5599998</v>
      </c>
      <c r="R74" s="386">
        <f>R$24*'6-PlantJurisdiction'!$F$46</f>
        <v>2868049189.7500005</v>
      </c>
      <c r="S74" s="386">
        <f>S$24*'6-PlantJurisdiction'!$F$47</f>
        <v>0</v>
      </c>
      <c r="T74" s="386">
        <f>T$24*'6-PlantJurisdiction'!$F$47</f>
        <v>0</v>
      </c>
      <c r="U74" s="386">
        <f>U$24*'6-PlantJurisdiction'!$F$48</f>
        <v>0</v>
      </c>
      <c r="V74" s="386">
        <f>V$24*'6-PlantJurisdiction'!$F$48</f>
        <v>0</v>
      </c>
      <c r="W74" s="386">
        <f>W$24*'6-PlantJurisdiction'!$F$48</f>
        <v>0</v>
      </c>
      <c r="X74" s="386">
        <f>X$24*'6-PlantJurisdiction'!$F$49</f>
        <v>0</v>
      </c>
      <c r="Y74" s="386">
        <f>Y$24*'6-PlantJurisdiction'!$F$50</f>
        <v>0</v>
      </c>
      <c r="Z74" s="386">
        <f>Z$24*'6-PlantJurisdiction'!$F$50</f>
        <v>0</v>
      </c>
      <c r="AA74" s="386">
        <f>AA$24*'6-PlantJurisdiction'!$F$50</f>
        <v>0</v>
      </c>
      <c r="AB74" s="386">
        <f>AB$24*'6-PlantJurisdiction'!$F$50</f>
        <v>0</v>
      </c>
      <c r="AC74" s="556">
        <f t="shared" si="10"/>
        <v>17045624937.089931</v>
      </c>
      <c r="AD74" s="320">
        <f t="shared" si="9"/>
        <v>311</v>
      </c>
    </row>
    <row r="75" spans="1:30">
      <c r="A75" s="320">
        <f t="shared" si="11"/>
        <v>312</v>
      </c>
      <c r="B75" s="552" t="s">
        <v>75</v>
      </c>
      <c r="C75" s="197">
        <f>'1-DRR'!$K$2</f>
        <v>2021</v>
      </c>
      <c r="D75" s="386">
        <f>D$25*'6-PlantJurisdiction'!$F$37</f>
        <v>29233349.345554478</v>
      </c>
      <c r="E75" s="386">
        <f>E$25*'6-PlantJurisdiction'!$F$37</f>
        <v>59637745.671422288</v>
      </c>
      <c r="F75" s="386">
        <f>F$25*'6-PlantJurisdiction'!$F$38</f>
        <v>0</v>
      </c>
      <c r="G75" s="386">
        <f>G$25*'6-PlantJurisdiction'!$F$38</f>
        <v>0</v>
      </c>
      <c r="H75" s="386">
        <f>H$25*'6-PlantJurisdiction'!$F$39</f>
        <v>0</v>
      </c>
      <c r="I75" s="386">
        <f>I$25*'6-PlantJurisdiction'!$F$40</f>
        <v>0</v>
      </c>
      <c r="J75" s="386">
        <f>J$25*'6-PlantJurisdiction'!$F$40</f>
        <v>0</v>
      </c>
      <c r="K75" s="386">
        <f>K$25*'6-PlantJurisdiction'!$F$41</f>
        <v>1399754015.0963581</v>
      </c>
      <c r="L75" s="386">
        <f>L$25*'6-PlantJurisdiction'!$F$42</f>
        <v>1101565878.6856079</v>
      </c>
      <c r="M75" s="386">
        <f>M$25*'6-PlantJurisdiction'!$F$43</f>
        <v>2159483539.7283602</v>
      </c>
      <c r="N75" s="386">
        <f>N$25*'6-PlantJurisdiction'!$F$44</f>
        <v>3521802801.9171085</v>
      </c>
      <c r="O75" s="386">
        <f>O$25*'6-PlantJurisdiction'!$F$45</f>
        <v>3576791953.1699986</v>
      </c>
      <c r="P75" s="386">
        <f>P$25*'6-PlantJurisdiction'!$F$45</f>
        <v>1431524018.4900002</v>
      </c>
      <c r="Q75" s="386">
        <f>Q$25*'6-PlantJurisdiction'!$F$46</f>
        <v>1033469206.8400004</v>
      </c>
      <c r="R75" s="386">
        <f>R$25*'6-PlantJurisdiction'!$F$46</f>
        <v>2881464613.9700017</v>
      </c>
      <c r="S75" s="386">
        <f>S$25*'6-PlantJurisdiction'!$F$47</f>
        <v>0</v>
      </c>
      <c r="T75" s="386">
        <f>T$25*'6-PlantJurisdiction'!$F$47</f>
        <v>0</v>
      </c>
      <c r="U75" s="386">
        <f>U$25*'6-PlantJurisdiction'!$F$48</f>
        <v>0</v>
      </c>
      <c r="V75" s="386">
        <f>V$25*'6-PlantJurisdiction'!$F$48</f>
        <v>0</v>
      </c>
      <c r="W75" s="386">
        <f>W$25*'6-PlantJurisdiction'!$F$48</f>
        <v>0</v>
      </c>
      <c r="X75" s="386">
        <f>X$25*'6-PlantJurisdiction'!$F$49</f>
        <v>0</v>
      </c>
      <c r="Y75" s="386">
        <f>Y$25*'6-PlantJurisdiction'!$F$50</f>
        <v>0</v>
      </c>
      <c r="Z75" s="386">
        <f>Z$25*'6-PlantJurisdiction'!$F$50</f>
        <v>0</v>
      </c>
      <c r="AA75" s="386">
        <f>AA$25*'6-PlantJurisdiction'!$F$50</f>
        <v>0</v>
      </c>
      <c r="AB75" s="386">
        <f>AB$25*'6-PlantJurisdiction'!$F$50</f>
        <v>0</v>
      </c>
      <c r="AC75" s="556">
        <f t="shared" si="10"/>
        <v>17194727122.914413</v>
      </c>
      <c r="AD75" s="320">
        <f t="shared" si="9"/>
        <v>312</v>
      </c>
    </row>
    <row r="76" spans="1:30">
      <c r="A76" s="320">
        <f t="shared" si="11"/>
        <v>313</v>
      </c>
      <c r="B76" s="557" t="s">
        <v>197</v>
      </c>
      <c r="C76" s="558"/>
      <c r="D76" s="549">
        <f>SUM(D63:D75)/13</f>
        <v>29961505.522522587</v>
      </c>
      <c r="E76" s="549">
        <f t="shared" ref="E76:AC76" si="12">SUM(E63:E75)/13</f>
        <v>59437276.972785577</v>
      </c>
      <c r="F76" s="549">
        <f t="shared" si="12"/>
        <v>0</v>
      </c>
      <c r="G76" s="549">
        <f t="shared" si="12"/>
        <v>0</v>
      </c>
      <c r="H76" s="549">
        <f t="shared" si="12"/>
        <v>0</v>
      </c>
      <c r="I76" s="549">
        <f t="shared" si="12"/>
        <v>0</v>
      </c>
      <c r="J76" s="549">
        <f t="shared" si="12"/>
        <v>0</v>
      </c>
      <c r="K76" s="549">
        <f t="shared" si="12"/>
        <v>1360702400.5791488</v>
      </c>
      <c r="L76" s="549">
        <f t="shared" si="12"/>
        <v>1111470133.012912</v>
      </c>
      <c r="M76" s="549">
        <f t="shared" si="12"/>
        <v>2094125612.8263497</v>
      </c>
      <c r="N76" s="549">
        <f t="shared" si="12"/>
        <v>3399028697.1058993</v>
      </c>
      <c r="O76" s="549">
        <f t="shared" si="12"/>
        <v>3456293264.927691</v>
      </c>
      <c r="P76" s="549">
        <f t="shared" si="12"/>
        <v>1330255838.4346151</v>
      </c>
      <c r="Q76" s="549">
        <f t="shared" si="12"/>
        <v>1030981000.77</v>
      </c>
      <c r="R76" s="549">
        <f t="shared" si="12"/>
        <v>2813169648.3053861</v>
      </c>
      <c r="S76" s="549">
        <f t="shared" si="12"/>
        <v>0</v>
      </c>
      <c r="T76" s="549">
        <f t="shared" si="12"/>
        <v>0</v>
      </c>
      <c r="U76" s="549">
        <f t="shared" si="12"/>
        <v>0</v>
      </c>
      <c r="V76" s="549">
        <f t="shared" si="12"/>
        <v>0</v>
      </c>
      <c r="W76" s="549">
        <f t="shared" si="12"/>
        <v>0</v>
      </c>
      <c r="X76" s="549">
        <f t="shared" si="12"/>
        <v>0</v>
      </c>
      <c r="Y76" s="549">
        <f t="shared" si="12"/>
        <v>0</v>
      </c>
      <c r="Z76" s="549">
        <f t="shared" si="12"/>
        <v>0</v>
      </c>
      <c r="AA76" s="549">
        <f t="shared" si="12"/>
        <v>0</v>
      </c>
      <c r="AB76" s="549">
        <f t="shared" si="12"/>
        <v>0</v>
      </c>
      <c r="AC76" s="549">
        <f t="shared" si="12"/>
        <v>16685425378.457308</v>
      </c>
      <c r="AD76" s="320">
        <f t="shared" si="9"/>
        <v>313</v>
      </c>
    </row>
    <row r="77" spans="1:30">
      <c r="A77" s="320"/>
      <c r="B77" s="559"/>
      <c r="C77" s="559"/>
      <c r="D77" s="560"/>
      <c r="E77" s="560"/>
      <c r="F77" s="560"/>
      <c r="G77" s="560"/>
      <c r="H77" s="560"/>
      <c r="I77" s="560"/>
      <c r="J77" s="560"/>
      <c r="K77" s="560"/>
      <c r="L77" s="560"/>
      <c r="M77" s="560"/>
      <c r="N77" s="560"/>
      <c r="O77" s="560"/>
      <c r="P77" s="560"/>
      <c r="Q77" s="560"/>
      <c r="R77" s="560"/>
      <c r="S77" s="560"/>
      <c r="T77" s="560"/>
      <c r="U77" s="560"/>
      <c r="V77" s="560"/>
      <c r="W77" s="560"/>
      <c r="X77" s="560"/>
      <c r="Y77" s="560"/>
      <c r="Z77" s="560"/>
      <c r="AA77" s="560"/>
      <c r="AB77" s="560"/>
      <c r="AD77" s="320"/>
    </row>
    <row r="78" spans="1:30">
      <c r="A78" s="320"/>
      <c r="B78" s="559"/>
      <c r="C78" s="559"/>
      <c r="D78" s="560"/>
      <c r="E78" s="560"/>
      <c r="F78" s="560"/>
      <c r="G78" s="560"/>
      <c r="H78" s="560"/>
      <c r="I78" s="560"/>
      <c r="J78" s="560"/>
      <c r="K78" s="560"/>
      <c r="L78" s="560"/>
      <c r="M78" s="560"/>
      <c r="N78" s="560"/>
      <c r="O78" s="560"/>
      <c r="P78" s="560"/>
      <c r="Q78" s="560"/>
      <c r="R78" s="560"/>
      <c r="S78" s="560"/>
      <c r="T78" s="560"/>
      <c r="U78" s="560"/>
      <c r="V78" s="560"/>
      <c r="W78" s="560"/>
      <c r="X78" s="560"/>
      <c r="Y78" s="560"/>
      <c r="Z78" s="560"/>
      <c r="AA78" s="560"/>
      <c r="AB78" s="560"/>
      <c r="AD78" s="320"/>
    </row>
    <row r="79" spans="1:30">
      <c r="B79" s="65" t="s">
        <v>1049</v>
      </c>
      <c r="C79" s="65"/>
      <c r="D79" s="138"/>
      <c r="E79" s="138"/>
      <c r="F79" s="138"/>
      <c r="G79" s="138"/>
      <c r="H79" s="138"/>
      <c r="I79" s="551"/>
      <c r="J79" s="551"/>
      <c r="K79" s="551"/>
      <c r="L79" s="138"/>
      <c r="M79" s="138"/>
      <c r="N79" s="138"/>
      <c r="O79" s="138"/>
      <c r="P79" s="138"/>
      <c r="Q79" s="138"/>
      <c r="R79" s="551"/>
      <c r="S79" s="551"/>
      <c r="T79" s="551"/>
      <c r="U79" s="551"/>
      <c r="V79" s="551"/>
      <c r="W79" s="551"/>
      <c r="X79" s="551"/>
      <c r="Y79" s="551"/>
      <c r="Z79" s="551"/>
      <c r="AA79" s="551"/>
      <c r="AB79" s="551"/>
      <c r="AC79" s="551"/>
    </row>
    <row r="80" spans="1:30">
      <c r="B80" s="552" t="s">
        <v>1050</v>
      </c>
      <c r="C80" s="552"/>
      <c r="D80" s="552"/>
      <c r="E80" s="552"/>
      <c r="F80" s="552"/>
      <c r="G80" s="552"/>
      <c r="H80" s="552"/>
      <c r="I80" s="552"/>
      <c r="J80" s="552"/>
      <c r="K80" s="552"/>
      <c r="L80" s="552"/>
      <c r="M80" s="552"/>
      <c r="N80" s="552"/>
      <c r="O80" s="552"/>
      <c r="P80" s="552"/>
      <c r="Q80" s="552"/>
      <c r="R80" s="552"/>
      <c r="S80" s="552"/>
      <c r="T80" s="552"/>
      <c r="U80" s="552"/>
      <c r="V80" s="552"/>
      <c r="W80" s="552"/>
      <c r="X80" s="552"/>
      <c r="Y80" s="552"/>
      <c r="Z80" s="552"/>
      <c r="AA80" s="552"/>
      <c r="AB80" s="552"/>
      <c r="AC80" s="552"/>
    </row>
    <row r="81" spans="1:30">
      <c r="B81" s="552"/>
      <c r="C81" s="552"/>
      <c r="D81" s="552"/>
      <c r="E81" s="552"/>
      <c r="F81" s="552"/>
      <c r="G81" s="552"/>
      <c r="H81" s="552"/>
      <c r="I81" s="552"/>
      <c r="J81" s="552"/>
      <c r="K81" s="552"/>
      <c r="L81" s="552"/>
      <c r="M81" s="552"/>
      <c r="N81" s="552"/>
      <c r="O81" s="552"/>
      <c r="P81" s="552"/>
      <c r="Q81" s="552"/>
      <c r="R81" s="552"/>
      <c r="S81" s="552"/>
      <c r="T81" s="552"/>
      <c r="U81" s="552"/>
      <c r="V81" s="552"/>
      <c r="W81" s="552"/>
      <c r="X81" s="552"/>
      <c r="Y81" s="552"/>
      <c r="Z81" s="552"/>
      <c r="AA81" s="552"/>
      <c r="AB81" s="552"/>
      <c r="AC81" s="552"/>
    </row>
    <row r="82" spans="1:30">
      <c r="A82" s="639"/>
      <c r="D82" s="394" t="s">
        <v>62</v>
      </c>
      <c r="E82" s="394" t="s">
        <v>63</v>
      </c>
      <c r="F82" s="394" t="s">
        <v>64</v>
      </c>
      <c r="G82" s="394"/>
      <c r="H82" s="394"/>
      <c r="I82" s="394"/>
      <c r="J82" s="394"/>
      <c r="K82" s="394"/>
      <c r="L82" s="394"/>
      <c r="M82" s="394"/>
      <c r="N82" s="394"/>
      <c r="O82" s="394"/>
      <c r="P82" s="394"/>
      <c r="AC82" s="320"/>
      <c r="AD82"/>
    </row>
    <row r="83" spans="1:30" ht="45">
      <c r="B83" s="320"/>
      <c r="C83" s="320"/>
      <c r="D83" s="326" t="s">
        <v>87</v>
      </c>
      <c r="E83" s="661" t="s">
        <v>1101</v>
      </c>
      <c r="F83" s="661" t="s">
        <v>1102</v>
      </c>
      <c r="AC83" s="320"/>
      <c r="AD83"/>
    </row>
    <row r="84" spans="1:30">
      <c r="B84" s="320"/>
      <c r="C84" s="320"/>
      <c r="D84" s="326"/>
      <c r="E84" s="326"/>
      <c r="AC84" s="320"/>
      <c r="AD84"/>
    </row>
    <row r="85" spans="1:30">
      <c r="B85" s="320"/>
      <c r="C85" s="320"/>
      <c r="D85" s="115" t="s">
        <v>198</v>
      </c>
      <c r="E85" s="708" t="s">
        <v>926</v>
      </c>
      <c r="F85" s="708" t="s">
        <v>927</v>
      </c>
      <c r="AC85" s="320"/>
      <c r="AD85"/>
    </row>
    <row r="86" spans="1:30" ht="30">
      <c r="A86" s="324" t="s">
        <v>86</v>
      </c>
      <c r="B86" s="324" t="s">
        <v>58</v>
      </c>
      <c r="C86" s="324" t="s">
        <v>73</v>
      </c>
      <c r="D86" s="847" t="s">
        <v>1601</v>
      </c>
      <c r="E86" s="3" t="s">
        <v>59</v>
      </c>
      <c r="F86" s="3" t="s">
        <v>59</v>
      </c>
      <c r="G86" s="394"/>
      <c r="H86" s="394"/>
      <c r="I86" s="394"/>
      <c r="J86" s="394"/>
      <c r="K86" s="394"/>
      <c r="L86" s="394"/>
      <c r="M86" s="394"/>
      <c r="N86" s="394"/>
      <c r="O86" s="394"/>
      <c r="P86" s="324"/>
      <c r="AD86" s="324" t="str">
        <f>A86</f>
        <v>Line</v>
      </c>
    </row>
    <row r="87" spans="1:30">
      <c r="A87" s="320">
        <v>400</v>
      </c>
      <c r="B87" s="552" t="s">
        <v>75</v>
      </c>
      <c r="C87" s="197">
        <f>'1-DRR'!$K$2-1</f>
        <v>2020</v>
      </c>
      <c r="D87" s="383">
        <v>1027405415.9300002</v>
      </c>
      <c r="E87" s="165">
        <f>$D87*'6-PlantJurisdiction'!E$85</f>
        <v>501752981.41567934</v>
      </c>
      <c r="F87" s="165">
        <f>$D87*'6-PlantJurisdiction'!F$85</f>
        <v>477921549.18722939</v>
      </c>
      <c r="G87" s="662" t="str">
        <f>"See RY"&amp;'1-DRR'!K1-1&amp;" Model, 7-PlantInService, L. 401, col 1"</f>
        <v>See RY2022 Model, 7-PlantInService, L. 401, col 1</v>
      </c>
      <c r="H87" s="562"/>
      <c r="I87" s="562"/>
      <c r="J87" s="562"/>
      <c r="K87" s="562"/>
      <c r="L87" s="562"/>
      <c r="M87" s="562"/>
      <c r="N87" s="562"/>
      <c r="O87" s="562"/>
      <c r="P87" s="560"/>
      <c r="AD87" s="320">
        <f>A87</f>
        <v>400</v>
      </c>
    </row>
    <row r="88" spans="1:30">
      <c r="A88" s="320">
        <f>+A87+1</f>
        <v>401</v>
      </c>
      <c r="B88" s="563" t="s">
        <v>75</v>
      </c>
      <c r="C88" s="197">
        <f>'1-DRR'!$K$2</f>
        <v>2021</v>
      </c>
      <c r="D88" s="384">
        <v>1048285668.3300002</v>
      </c>
      <c r="E88" s="165">
        <f>$D88*'6-PlantJurisdiction'!E$85</f>
        <v>511950249.92523688</v>
      </c>
      <c r="F88" s="165">
        <f>$D88*'6-PlantJurisdiction'!F$85</f>
        <v>487634484.72338802</v>
      </c>
      <c r="G88" s="662" t="s">
        <v>1380</v>
      </c>
      <c r="H88" s="564"/>
      <c r="I88" s="564"/>
      <c r="J88" s="564"/>
      <c r="K88" s="564"/>
      <c r="L88" s="564"/>
      <c r="M88" s="564"/>
      <c r="N88" s="564"/>
      <c r="O88" s="564"/>
      <c r="P88" s="564"/>
      <c r="AD88" s="320">
        <f>A88</f>
        <v>401</v>
      </c>
    </row>
    <row r="89" spans="1:30">
      <c r="A89" s="320">
        <f t="shared" ref="A89" si="13">A88+1</f>
        <v>402</v>
      </c>
      <c r="B89" s="565" t="s">
        <v>200</v>
      </c>
      <c r="C89" s="747"/>
      <c r="D89" s="566">
        <f>AVERAGE(D87:D88)</f>
        <v>1037845542.1300001</v>
      </c>
      <c r="E89" s="570">
        <f>AVERAGE(E87:E88)</f>
        <v>506851615.67045808</v>
      </c>
      <c r="F89" s="570">
        <f>AVERAGE(F87:F88)</f>
        <v>482778016.95530868</v>
      </c>
      <c r="G89" s="560" t="str">
        <f>"(Line "&amp;$A87&amp;" + Line "&amp;$A88&amp;")/2"</f>
        <v>(Line 400 + Line 401)/2</v>
      </c>
      <c r="H89" s="560"/>
      <c r="I89" s="560"/>
      <c r="J89" s="560"/>
      <c r="K89" s="560"/>
      <c r="L89" s="560"/>
      <c r="M89" s="560"/>
      <c r="N89" s="560"/>
      <c r="O89" s="560"/>
      <c r="P89" s="560"/>
      <c r="AD89" s="320">
        <f>A89</f>
        <v>402</v>
      </c>
    </row>
    <row r="90" spans="1:30">
      <c r="A90" s="320"/>
      <c r="B90" s="559"/>
      <c r="C90" s="559"/>
      <c r="D90" s="560"/>
      <c r="E90" s="560"/>
      <c r="F90" s="560"/>
      <c r="G90" s="560"/>
      <c r="H90" s="560"/>
      <c r="I90" s="560"/>
      <c r="J90" s="560"/>
      <c r="K90" s="560"/>
      <c r="L90" s="560"/>
      <c r="M90" s="560"/>
      <c r="N90" s="560"/>
      <c r="O90" s="560"/>
      <c r="P90" s="560"/>
      <c r="Q90" s="560"/>
      <c r="R90" s="560"/>
      <c r="S90" s="560"/>
      <c r="T90" s="560"/>
      <c r="U90" s="560"/>
      <c r="V90" s="560"/>
      <c r="W90" s="560"/>
      <c r="X90" s="560"/>
      <c r="Y90" s="560"/>
      <c r="Z90" s="560"/>
      <c r="AA90" s="560"/>
      <c r="AB90" s="560"/>
      <c r="AD90" s="320"/>
    </row>
    <row r="91" spans="1:30">
      <c r="A91" s="320"/>
      <c r="B91" s="559"/>
      <c r="C91" s="559"/>
      <c r="D91" s="560"/>
      <c r="E91" s="560"/>
      <c r="F91" s="560"/>
      <c r="G91" s="560"/>
      <c r="H91" s="560"/>
      <c r="I91" s="560"/>
      <c r="J91" s="560"/>
      <c r="K91" s="560"/>
      <c r="L91" s="560"/>
      <c r="M91" s="560"/>
      <c r="N91" s="560"/>
      <c r="O91" s="560"/>
      <c r="P91" s="560"/>
      <c r="Q91" s="560"/>
      <c r="R91" s="560"/>
      <c r="S91" s="560"/>
      <c r="T91" s="560"/>
      <c r="U91" s="560"/>
      <c r="V91" s="560"/>
      <c r="W91" s="560"/>
      <c r="X91" s="560"/>
      <c r="Y91" s="560"/>
      <c r="Z91" s="560"/>
      <c r="AA91" s="560"/>
      <c r="AB91" s="560"/>
      <c r="AD91" s="320"/>
    </row>
    <row r="92" spans="1:30">
      <c r="B92" s="65" t="s">
        <v>1364</v>
      </c>
      <c r="C92" s="65"/>
      <c r="D92" s="138"/>
      <c r="E92" s="138"/>
      <c r="F92" s="138"/>
      <c r="G92" s="138"/>
      <c r="H92" s="138"/>
      <c r="I92" s="138"/>
      <c r="J92" s="138"/>
      <c r="K92" s="138"/>
      <c r="L92" s="138"/>
      <c r="M92" s="551"/>
      <c r="N92" s="138"/>
      <c r="O92" s="138"/>
      <c r="P92" s="138"/>
      <c r="Q92" s="138"/>
      <c r="R92" s="551"/>
      <c r="S92" s="551"/>
      <c r="T92" s="551"/>
      <c r="U92" s="551"/>
      <c r="V92" s="551"/>
      <c r="W92" s="551"/>
      <c r="X92" s="551"/>
      <c r="Y92" s="551"/>
      <c r="Z92" s="551"/>
      <c r="AA92" s="551"/>
      <c r="AB92" s="551"/>
      <c r="AC92" s="551"/>
    </row>
    <row r="93" spans="1:30">
      <c r="A93" s="318"/>
      <c r="B93" s="967" t="s">
        <v>1104</v>
      </c>
      <c r="C93" s="967"/>
      <c r="D93" s="967"/>
      <c r="E93" s="967"/>
      <c r="F93" s="967"/>
      <c r="G93" s="967"/>
      <c r="H93" s="967"/>
      <c r="I93" s="967"/>
      <c r="J93" s="967"/>
      <c r="K93" s="967"/>
      <c r="L93" s="967"/>
      <c r="M93" s="967"/>
      <c r="N93" s="967"/>
      <c r="O93" s="552"/>
      <c r="P93" s="552"/>
      <c r="Q93" s="552"/>
      <c r="R93" s="552"/>
      <c r="S93" s="552"/>
      <c r="T93" s="552"/>
      <c r="U93" s="552"/>
      <c r="V93" s="552"/>
      <c r="W93" s="552"/>
      <c r="X93" s="552"/>
      <c r="Y93" s="552"/>
      <c r="Z93" s="552"/>
      <c r="AA93" s="552"/>
      <c r="AB93" s="552"/>
      <c r="AC93" s="552"/>
      <c r="AD93" s="320"/>
    </row>
    <row r="94" spans="1:30">
      <c r="A94" s="318"/>
      <c r="B94" s="967"/>
      <c r="C94" s="967"/>
      <c r="D94" s="967"/>
      <c r="E94" s="967"/>
      <c r="F94" s="967"/>
      <c r="G94" s="967"/>
      <c r="H94" s="967"/>
      <c r="I94" s="967"/>
      <c r="J94" s="967"/>
      <c r="K94" s="967"/>
      <c r="L94" s="967"/>
      <c r="M94" s="967"/>
      <c r="N94" s="967"/>
      <c r="O94" s="317"/>
      <c r="AC94" s="320"/>
      <c r="AD94"/>
    </row>
    <row r="95" spans="1:30">
      <c r="A95" s="639"/>
      <c r="D95" s="394" t="s">
        <v>62</v>
      </c>
      <c r="E95" s="394" t="s">
        <v>63</v>
      </c>
      <c r="F95" s="394" t="s">
        <v>64</v>
      </c>
      <c r="G95" s="394" t="s">
        <v>65</v>
      </c>
      <c r="H95" s="394" t="s">
        <v>66</v>
      </c>
      <c r="J95" s="394"/>
      <c r="K95" s="394"/>
      <c r="L95" s="394"/>
      <c r="M95" s="394"/>
      <c r="N95" s="394"/>
      <c r="O95" s="394"/>
      <c r="P95" s="394"/>
      <c r="AC95" s="320"/>
      <c r="AD95"/>
    </row>
    <row r="96" spans="1:30" ht="45">
      <c r="B96" s="320"/>
      <c r="C96" s="320"/>
      <c r="D96" s="555" t="s">
        <v>88</v>
      </c>
      <c r="E96" s="567" t="str">
        <f>"24-Allocators, Line " &amp; '24-Allocators'!$A$24</f>
        <v>24-Allocators, Line 113</v>
      </c>
      <c r="F96" s="567" t="s">
        <v>201</v>
      </c>
      <c r="G96" s="661" t="s">
        <v>1378</v>
      </c>
      <c r="H96" s="661" t="s">
        <v>1379</v>
      </c>
      <c r="AC96" s="320"/>
      <c r="AD96"/>
    </row>
    <row r="97" spans="1:30">
      <c r="B97" s="320"/>
      <c r="C97" s="320"/>
      <c r="D97" s="394"/>
      <c r="F97" s="326"/>
      <c r="AC97" s="320"/>
      <c r="AD97"/>
    </row>
    <row r="98" spans="1:30">
      <c r="B98" s="320"/>
      <c r="C98" s="320"/>
      <c r="D98" s="115"/>
      <c r="E98" s="639" t="s">
        <v>1009</v>
      </c>
      <c r="F98" s="708" t="s">
        <v>1363</v>
      </c>
      <c r="AC98" s="320"/>
      <c r="AD98"/>
    </row>
    <row r="99" spans="1:30">
      <c r="B99" s="320"/>
      <c r="C99" s="320"/>
      <c r="D99" s="115" t="s">
        <v>202</v>
      </c>
      <c r="E99" s="639" t="s">
        <v>59</v>
      </c>
      <c r="F99" s="639" t="s">
        <v>59</v>
      </c>
      <c r="G99" s="708" t="s">
        <v>926</v>
      </c>
      <c r="H99" s="708" t="s">
        <v>927</v>
      </c>
      <c r="AC99" s="320"/>
      <c r="AD99"/>
    </row>
    <row r="100" spans="1:30">
      <c r="A100" s="324" t="s">
        <v>86</v>
      </c>
      <c r="B100" s="324" t="s">
        <v>58</v>
      </c>
      <c r="C100" s="324" t="s">
        <v>73</v>
      </c>
      <c r="D100" s="178" t="s">
        <v>203</v>
      </c>
      <c r="E100" s="178" t="s">
        <v>204</v>
      </c>
      <c r="F100" s="561" t="s">
        <v>205</v>
      </c>
      <c r="G100" s="3" t="s">
        <v>59</v>
      </c>
      <c r="H100" s="3" t="s">
        <v>59</v>
      </c>
      <c r="J100" s="394"/>
      <c r="K100" s="394"/>
      <c r="L100" s="394"/>
      <c r="M100" s="394"/>
      <c r="N100" s="394"/>
      <c r="O100" s="394"/>
      <c r="P100" s="324"/>
      <c r="AD100" s="324" t="str">
        <f>A100</f>
        <v>Line</v>
      </c>
    </row>
    <row r="101" spans="1:30">
      <c r="A101" s="320">
        <v>500</v>
      </c>
      <c r="B101" s="552" t="s">
        <v>75</v>
      </c>
      <c r="C101" s="197">
        <f>'1-DRR'!$K$2-1</f>
        <v>2020</v>
      </c>
      <c r="D101" s="383">
        <v>3477057482.2699981</v>
      </c>
      <c r="E101" s="123">
        <f>'24-Allocators'!$C$24</f>
        <v>0.30680154907006396</v>
      </c>
      <c r="F101" s="376">
        <f>+E101*D101</f>
        <v>1066766621.7660918</v>
      </c>
      <c r="G101" s="165">
        <f>$F101*'6-PlantJurisdiction'!E$85</f>
        <v>520975775.13873756</v>
      </c>
      <c r="H101" s="165">
        <f>$F101*'6-PlantJurisdiction'!F$85</f>
        <v>496231330.48620594</v>
      </c>
      <c r="J101" s="562"/>
      <c r="K101" s="562"/>
      <c r="L101" s="562"/>
      <c r="M101" s="562"/>
      <c r="N101" s="562"/>
      <c r="O101" s="562"/>
      <c r="P101" s="560"/>
      <c r="AD101" s="320">
        <f>A101</f>
        <v>500</v>
      </c>
    </row>
    <row r="102" spans="1:30">
      <c r="A102" s="320">
        <f>+A101+1</f>
        <v>501</v>
      </c>
      <c r="B102" s="563" t="s">
        <v>75</v>
      </c>
      <c r="C102" s="197">
        <f>'1-DRR'!$K$2</f>
        <v>2021</v>
      </c>
      <c r="D102" s="384">
        <v>3180271854.7399983</v>
      </c>
      <c r="E102" s="123">
        <f>'24-Allocators'!$C$24</f>
        <v>0.30680154907006396</v>
      </c>
      <c r="F102" s="568">
        <f>+E102*D102</f>
        <v>975712331.49815691</v>
      </c>
      <c r="G102" s="165">
        <f>$F102*'6-PlantJurisdiction'!E$85</f>
        <v>476507680.16449636</v>
      </c>
      <c r="H102" s="165">
        <f>$F102*'6-PlantJurisdiction'!F$85</f>
        <v>453875307.44966781</v>
      </c>
      <c r="I102" s="662"/>
      <c r="J102" s="562"/>
      <c r="K102" s="562"/>
      <c r="L102" s="564"/>
      <c r="M102" s="564"/>
      <c r="N102" s="564"/>
      <c r="O102" s="564"/>
      <c r="P102" s="564"/>
      <c r="AD102" s="320">
        <f>A102</f>
        <v>501</v>
      </c>
    </row>
    <row r="103" spans="1:30">
      <c r="A103" s="320">
        <f t="shared" ref="A103" si="14">A102+1</f>
        <v>502</v>
      </c>
      <c r="B103" s="565" t="s">
        <v>200</v>
      </c>
      <c r="C103" s="747"/>
      <c r="D103" s="566">
        <f>AVERAGE(D101:D102)</f>
        <v>3328664668.5049982</v>
      </c>
      <c r="E103" s="629"/>
      <c r="F103" s="566">
        <f>AVERAGE(F101:F102)</f>
        <v>1021239476.6321244</v>
      </c>
      <c r="G103" s="570">
        <f>AVERAGE(G101:G102)</f>
        <v>498741727.65161693</v>
      </c>
      <c r="H103" s="570">
        <f>AVERAGE(H101:H102)</f>
        <v>475053318.96793687</v>
      </c>
      <c r="I103" s="560" t="str">
        <f>"(Line "&amp;$A101&amp;" + Line "&amp;$A102&amp;")/2"</f>
        <v>(Line 500 + Line 501)/2</v>
      </c>
      <c r="J103" s="560"/>
      <c r="K103" s="560"/>
      <c r="L103" s="560"/>
      <c r="M103" s="560"/>
      <c r="N103" s="560"/>
      <c r="O103" s="560"/>
      <c r="P103" s="560"/>
      <c r="AD103" s="320">
        <f>A103</f>
        <v>502</v>
      </c>
    </row>
    <row r="104" spans="1:30">
      <c r="A104" s="320"/>
      <c r="B104" s="552"/>
      <c r="C104" s="552"/>
      <c r="D104" s="560"/>
      <c r="E104" s="123"/>
      <c r="F104" s="560"/>
      <c r="G104" s="560"/>
      <c r="H104" s="560"/>
      <c r="I104" s="560"/>
      <c r="J104" s="560"/>
      <c r="K104" s="560"/>
      <c r="L104" s="560"/>
      <c r="M104" s="560"/>
      <c r="N104" s="560"/>
      <c r="O104" s="560"/>
      <c r="P104" s="560"/>
      <c r="Q104" s="560"/>
      <c r="R104" s="560"/>
      <c r="S104" s="560"/>
      <c r="T104" s="560"/>
      <c r="U104" s="560"/>
      <c r="V104" s="560"/>
      <c r="W104" s="560"/>
      <c r="X104" s="560"/>
      <c r="Y104" s="560"/>
      <c r="Z104" s="560"/>
      <c r="AA104" s="560"/>
      <c r="AB104" s="560"/>
      <c r="AD104" s="320"/>
    </row>
    <row r="105" spans="1:30">
      <c r="A105" s="320"/>
      <c r="B105" s="552"/>
      <c r="C105" s="552"/>
      <c r="D105" s="560"/>
      <c r="E105" s="560"/>
      <c r="F105" s="560"/>
      <c r="G105" s="560"/>
      <c r="H105" s="560"/>
      <c r="I105" s="560"/>
      <c r="J105" s="560"/>
      <c r="K105" s="560"/>
      <c r="L105" s="560"/>
      <c r="M105" s="560"/>
      <c r="N105" s="560"/>
      <c r="O105" s="560"/>
      <c r="P105" s="560"/>
      <c r="Q105" s="560"/>
      <c r="R105" s="560"/>
      <c r="S105" s="560"/>
      <c r="T105" s="560"/>
      <c r="U105" s="560"/>
      <c r="V105" s="560"/>
      <c r="W105" s="560"/>
      <c r="X105" s="560"/>
      <c r="Y105" s="560"/>
      <c r="Z105" s="560"/>
      <c r="AA105" s="560"/>
      <c r="AB105" s="560"/>
      <c r="AD105" s="320"/>
    </row>
    <row r="106" spans="1:30">
      <c r="B106" s="65" t="s">
        <v>1365</v>
      </c>
      <c r="C106" s="65"/>
      <c r="D106" s="138"/>
      <c r="E106" s="138"/>
      <c r="F106" s="138"/>
      <c r="G106" s="138"/>
      <c r="H106" s="138"/>
      <c r="I106" s="138"/>
      <c r="J106" s="138"/>
      <c r="K106" s="138"/>
      <c r="L106" s="138"/>
      <c r="M106" s="551"/>
      <c r="N106" s="569"/>
      <c r="O106" s="569"/>
      <c r="P106" s="569"/>
      <c r="Q106" s="569"/>
      <c r="R106" s="569"/>
      <c r="S106" s="569"/>
      <c r="T106" s="569"/>
      <c r="U106" s="569"/>
      <c r="V106" s="569"/>
      <c r="W106" s="569"/>
      <c r="X106" s="569"/>
      <c r="Y106" s="569"/>
      <c r="Z106" s="569"/>
      <c r="AA106" s="569"/>
      <c r="AB106" s="569"/>
      <c r="AC106" s="551"/>
    </row>
    <row r="107" spans="1:30">
      <c r="A107" s="318"/>
      <c r="B107" s="967" t="s">
        <v>1105</v>
      </c>
      <c r="C107" s="967"/>
      <c r="D107" s="967"/>
      <c r="E107" s="967"/>
      <c r="F107" s="967"/>
      <c r="G107" s="967"/>
      <c r="H107" s="967"/>
      <c r="I107" s="967"/>
      <c r="J107" s="967"/>
      <c r="K107" s="967"/>
      <c r="L107" s="967"/>
      <c r="M107" s="967"/>
      <c r="N107" s="967"/>
      <c r="O107" s="552"/>
      <c r="P107" s="552"/>
      <c r="Q107" s="552"/>
      <c r="R107" s="552"/>
      <c r="S107" s="552"/>
      <c r="T107" s="552"/>
      <c r="U107" s="552"/>
      <c r="V107" s="552"/>
      <c r="W107" s="552"/>
      <c r="X107" s="552"/>
      <c r="Y107" s="552"/>
      <c r="Z107" s="552"/>
      <c r="AA107" s="552"/>
      <c r="AB107" s="552"/>
      <c r="AC107" s="552"/>
      <c r="AD107" s="320"/>
    </row>
    <row r="108" spans="1:30">
      <c r="A108" s="318"/>
      <c r="B108" s="967"/>
      <c r="C108" s="967"/>
      <c r="D108" s="967"/>
      <c r="E108" s="967"/>
      <c r="F108" s="967"/>
      <c r="G108" s="967"/>
      <c r="H108" s="967"/>
      <c r="I108" s="967"/>
      <c r="J108" s="967"/>
      <c r="K108" s="967"/>
      <c r="L108" s="967"/>
      <c r="M108" s="967"/>
      <c r="N108" s="967"/>
      <c r="O108" s="552"/>
      <c r="P108" s="552"/>
      <c r="Q108" s="552"/>
      <c r="R108" s="552"/>
      <c r="S108" s="552"/>
      <c r="T108" s="552"/>
      <c r="U108" s="552"/>
      <c r="V108" s="552"/>
      <c r="W108" s="552"/>
      <c r="X108" s="552"/>
      <c r="Y108" s="552"/>
      <c r="Z108" s="552"/>
      <c r="AA108" s="552"/>
      <c r="AB108" s="552"/>
      <c r="AC108" s="320"/>
      <c r="AD108"/>
    </row>
    <row r="109" spans="1:30">
      <c r="A109" s="639"/>
      <c r="D109" s="394" t="s">
        <v>62</v>
      </c>
      <c r="E109" s="394" t="s">
        <v>63</v>
      </c>
      <c r="F109" s="394" t="s">
        <v>64</v>
      </c>
      <c r="G109" s="394" t="s">
        <v>65</v>
      </c>
      <c r="H109" s="394" t="s">
        <v>66</v>
      </c>
      <c r="I109" s="560"/>
      <c r="J109" s="560"/>
      <c r="K109" s="560"/>
      <c r="L109" s="560"/>
      <c r="M109" s="560"/>
      <c r="N109" s="560"/>
      <c r="O109" s="560"/>
      <c r="P109" s="560"/>
      <c r="AC109" s="320"/>
      <c r="AD109"/>
    </row>
    <row r="110" spans="1:30" ht="45">
      <c r="B110" s="320"/>
      <c r="C110" s="320"/>
      <c r="D110" s="555" t="s">
        <v>112</v>
      </c>
      <c r="E110" s="567" t="str">
        <f>"24-Allocators, Line " &amp; '24-Allocators'!$A$23</f>
        <v>24-Allocators, Line 112</v>
      </c>
      <c r="F110" s="567" t="s">
        <v>201</v>
      </c>
      <c r="G110" s="661" t="s">
        <v>1378</v>
      </c>
      <c r="H110" s="661" t="s">
        <v>1379</v>
      </c>
      <c r="I110" s="560"/>
      <c r="J110" s="560"/>
      <c r="K110" s="560"/>
      <c r="L110" s="560"/>
      <c r="M110" s="560"/>
      <c r="N110" s="560"/>
      <c r="O110" s="560"/>
      <c r="P110" s="560"/>
      <c r="AC110" s="320"/>
      <c r="AD110"/>
    </row>
    <row r="111" spans="1:30">
      <c r="B111" s="320"/>
      <c r="C111" s="320"/>
      <c r="D111" s="394"/>
      <c r="F111" s="326"/>
      <c r="H111" s="560"/>
      <c r="I111" s="560"/>
      <c r="J111" s="560"/>
      <c r="K111" s="560"/>
      <c r="L111" s="560"/>
      <c r="M111" s="560"/>
      <c r="N111" s="560"/>
      <c r="O111" s="560"/>
      <c r="P111" s="560"/>
      <c r="AC111" s="320"/>
      <c r="AD111"/>
    </row>
    <row r="112" spans="1:30">
      <c r="B112" s="320"/>
      <c r="C112" s="320"/>
      <c r="D112" s="394"/>
      <c r="E112" s="639" t="s">
        <v>1009</v>
      </c>
      <c r="F112" s="639" t="s">
        <v>1363</v>
      </c>
      <c r="H112" s="560"/>
      <c r="I112" s="560"/>
      <c r="J112" s="560"/>
      <c r="K112" s="560"/>
      <c r="L112" s="560"/>
      <c r="M112" s="560"/>
      <c r="N112" s="560"/>
      <c r="O112" s="560"/>
      <c r="P112" s="560"/>
      <c r="AC112" s="320"/>
      <c r="AD112"/>
    </row>
    <row r="113" spans="1:30">
      <c r="B113" s="320"/>
      <c r="C113" s="320"/>
      <c r="D113" s="115" t="s">
        <v>206</v>
      </c>
      <c r="E113" s="639" t="s">
        <v>59</v>
      </c>
      <c r="F113" s="639" t="s">
        <v>59</v>
      </c>
      <c r="G113" s="708" t="s">
        <v>926</v>
      </c>
      <c r="H113" s="708" t="s">
        <v>927</v>
      </c>
      <c r="I113" s="560"/>
      <c r="J113" s="560"/>
      <c r="K113" s="560"/>
      <c r="L113" s="560"/>
      <c r="M113" s="560"/>
      <c r="N113" s="560"/>
      <c r="O113" s="560"/>
      <c r="P113" s="560"/>
      <c r="AC113" s="320"/>
      <c r="AD113"/>
    </row>
    <row r="114" spans="1:30">
      <c r="A114" s="324" t="s">
        <v>86</v>
      </c>
      <c r="B114" s="324" t="s">
        <v>58</v>
      </c>
      <c r="C114" s="324" t="s">
        <v>73</v>
      </c>
      <c r="D114" s="178" t="s">
        <v>203</v>
      </c>
      <c r="E114" s="178" t="s">
        <v>204</v>
      </c>
      <c r="F114" s="561" t="s">
        <v>205</v>
      </c>
      <c r="G114" s="3" t="s">
        <v>59</v>
      </c>
      <c r="H114" s="3" t="s">
        <v>59</v>
      </c>
      <c r="I114" s="560"/>
      <c r="J114" s="560"/>
      <c r="K114" s="560"/>
      <c r="L114" s="560"/>
      <c r="M114" s="560"/>
      <c r="N114" s="560"/>
      <c r="O114" s="560"/>
      <c r="P114" s="560"/>
      <c r="AD114" s="324" t="str">
        <f>A114</f>
        <v>Line</v>
      </c>
    </row>
    <row r="115" spans="1:30">
      <c r="A115" s="320">
        <v>600</v>
      </c>
      <c r="B115" s="552" t="s">
        <v>75</v>
      </c>
      <c r="C115" s="197">
        <f>'1-DRR'!$K$2-1</f>
        <v>2020</v>
      </c>
      <c r="D115" s="383">
        <v>208887972.33999997</v>
      </c>
      <c r="E115" s="123">
        <f>'24-Allocators'!$C$23</f>
        <v>0.43638724816634106</v>
      </c>
      <c r="F115" s="376">
        <f>+E115*D115</f>
        <v>91156047.424499348</v>
      </c>
      <c r="G115" s="165">
        <f>$F115*'6-PlantJurisdiction'!E$85</f>
        <v>44517790.017595001</v>
      </c>
      <c r="H115" s="165">
        <f>$F115*'6-PlantJurisdiction'!F$85</f>
        <v>42403357.747015715</v>
      </c>
      <c r="I115" s="560"/>
      <c r="J115" s="562"/>
      <c r="K115" s="562"/>
      <c r="L115" s="560"/>
      <c r="M115" s="560"/>
      <c r="N115" s="560"/>
      <c r="O115" s="560"/>
      <c r="P115" s="560"/>
      <c r="AD115" s="320">
        <f>A115</f>
        <v>600</v>
      </c>
    </row>
    <row r="116" spans="1:30">
      <c r="A116" s="320">
        <f>+A115+1</f>
        <v>601</v>
      </c>
      <c r="B116" s="563" t="s">
        <v>75</v>
      </c>
      <c r="C116" s="197">
        <f>'1-DRR'!$K$2</f>
        <v>2021</v>
      </c>
      <c r="D116" s="384">
        <v>228511816.55000004</v>
      </c>
      <c r="E116" s="123">
        <f>'24-Allocators'!$C$23</f>
        <v>0.43638724816634106</v>
      </c>
      <c r="F116" s="568">
        <f>+E116*D116</f>
        <v>99719642.797746271</v>
      </c>
      <c r="G116" s="165">
        <f>$F116*'6-PlantJurisdiction'!E$85</f>
        <v>48699984.741840951</v>
      </c>
      <c r="H116" s="165">
        <f>$F116*'6-PlantJurisdiction'!F$85</f>
        <v>46386913.511796318</v>
      </c>
      <c r="I116" s="662"/>
      <c r="J116" s="562"/>
      <c r="K116" s="562"/>
      <c r="L116" s="560"/>
      <c r="M116" s="560"/>
      <c r="N116" s="560"/>
      <c r="O116" s="560"/>
      <c r="P116" s="560"/>
      <c r="AD116" s="320">
        <f>A116</f>
        <v>601</v>
      </c>
    </row>
    <row r="117" spans="1:30">
      <c r="A117" s="320">
        <f t="shared" ref="A117" si="15">A116+1</f>
        <v>602</v>
      </c>
      <c r="B117" s="565" t="s">
        <v>200</v>
      </c>
      <c r="C117" s="747"/>
      <c r="D117" s="566">
        <f>AVERAGE(D115:D116)</f>
        <v>218699894.44499999</v>
      </c>
      <c r="E117" s="629"/>
      <c r="F117" s="566">
        <f>AVERAGE(F115:F116)</f>
        <v>95437845.111122817</v>
      </c>
      <c r="G117" s="570">
        <f>AVERAGE(G115:G116)</f>
        <v>46608887.379717976</v>
      </c>
      <c r="H117" s="570">
        <f>AVERAGE(H115:H116)</f>
        <v>44395135.62940602</v>
      </c>
      <c r="I117" s="560" t="str">
        <f>"(Line "&amp;$A115&amp;" + Line "&amp;$A116&amp;")/2"</f>
        <v>(Line 600 + Line 601)/2</v>
      </c>
      <c r="J117" s="560"/>
      <c r="K117" s="560"/>
      <c r="L117" s="560"/>
      <c r="M117" s="560"/>
      <c r="N117" s="560"/>
      <c r="O117" s="560"/>
      <c r="P117" s="560"/>
      <c r="AD117" s="320">
        <f>A117</f>
        <v>602</v>
      </c>
    </row>
    <row r="118" spans="1:30">
      <c r="A118" s="320"/>
      <c r="B118" s="552"/>
      <c r="C118" s="552"/>
      <c r="D118" s="560"/>
      <c r="E118" s="123"/>
      <c r="F118" s="560"/>
      <c r="G118" s="560"/>
      <c r="H118" s="560"/>
      <c r="I118" s="560"/>
      <c r="J118" s="560"/>
      <c r="K118" s="560"/>
      <c r="L118" s="560"/>
      <c r="M118" s="560"/>
      <c r="N118" s="560"/>
      <c r="O118" s="560"/>
      <c r="P118" s="560"/>
      <c r="Q118" s="560"/>
      <c r="R118" s="560"/>
      <c r="S118" s="560"/>
      <c r="T118" s="560"/>
      <c r="U118" s="560"/>
      <c r="V118" s="560"/>
      <c r="W118" s="560"/>
      <c r="X118" s="560"/>
      <c r="Y118" s="560"/>
      <c r="Z118" s="560"/>
      <c r="AA118" s="560"/>
      <c r="AB118" s="560"/>
      <c r="AD118" s="320"/>
    </row>
    <row r="119" spans="1:30">
      <c r="A119" s="320"/>
      <c r="B119" s="552"/>
      <c r="C119" s="552"/>
      <c r="D119" s="560"/>
      <c r="E119" s="560"/>
      <c r="F119" s="560"/>
      <c r="G119" s="560"/>
      <c r="H119" s="560"/>
      <c r="I119" s="560"/>
      <c r="J119" s="560"/>
      <c r="K119" s="560"/>
      <c r="L119" s="560"/>
      <c r="M119" s="560"/>
      <c r="N119" s="560"/>
      <c r="O119" s="560"/>
      <c r="P119" s="560"/>
      <c r="Q119" s="560"/>
      <c r="R119" s="560"/>
      <c r="S119" s="560"/>
      <c r="T119" s="560"/>
      <c r="U119" s="560"/>
      <c r="V119" s="560"/>
      <c r="W119" s="560"/>
      <c r="X119" s="560"/>
      <c r="Y119" s="560"/>
      <c r="Z119" s="560"/>
      <c r="AA119" s="560"/>
      <c r="AB119" s="560"/>
      <c r="AD119" s="320"/>
    </row>
    <row r="120" spans="1:30">
      <c r="B120" s="65" t="s">
        <v>1366</v>
      </c>
      <c r="C120" s="65"/>
      <c r="D120" s="138"/>
      <c r="E120" s="138"/>
      <c r="F120" s="138"/>
      <c r="G120" s="138"/>
      <c r="H120" s="138"/>
      <c r="I120" s="138"/>
      <c r="J120" s="138"/>
      <c r="K120" s="138"/>
      <c r="L120" s="138"/>
      <c r="M120" s="551"/>
      <c r="N120" s="551"/>
      <c r="O120" s="138"/>
      <c r="P120" s="138"/>
      <c r="Q120" s="138"/>
      <c r="R120" s="551"/>
      <c r="S120" s="551"/>
      <c r="T120" s="551"/>
      <c r="U120" s="551"/>
      <c r="V120" s="551"/>
      <c r="W120" s="551"/>
      <c r="X120" s="551"/>
      <c r="Y120" s="551"/>
      <c r="Z120" s="551"/>
      <c r="AA120" s="551"/>
      <c r="AB120" s="551"/>
      <c r="AC120" s="551"/>
    </row>
    <row r="121" spans="1:30">
      <c r="A121" s="318"/>
      <c r="B121" s="552" t="s">
        <v>1371</v>
      </c>
      <c r="C121" s="552"/>
      <c r="D121" s="552"/>
      <c r="E121" s="552"/>
      <c r="F121" s="552"/>
      <c r="G121" s="552"/>
      <c r="H121" s="552"/>
      <c r="I121" s="552"/>
      <c r="J121" s="552"/>
      <c r="K121" s="552"/>
      <c r="L121" s="552"/>
      <c r="M121" s="552"/>
      <c r="N121" s="552"/>
      <c r="O121" s="552"/>
      <c r="P121" s="552"/>
      <c r="Q121" s="552"/>
      <c r="R121" s="552"/>
      <c r="S121" s="552"/>
      <c r="T121" s="552"/>
      <c r="U121" s="552"/>
      <c r="V121" s="552"/>
      <c r="W121" s="552"/>
      <c r="X121" s="552"/>
      <c r="Y121" s="552"/>
      <c r="Z121" s="552"/>
      <c r="AA121" s="552"/>
      <c r="AB121" s="552"/>
      <c r="AC121" s="552"/>
      <c r="AD121" s="320"/>
    </row>
    <row r="122" spans="1:30">
      <c r="A122" s="318"/>
      <c r="C122" s="317"/>
      <c r="D122" s="317"/>
      <c r="E122" s="317"/>
      <c r="F122" s="317"/>
      <c r="G122" s="317"/>
      <c r="H122" s="317"/>
      <c r="I122" s="317"/>
      <c r="J122" s="317"/>
      <c r="K122" s="317"/>
      <c r="L122" s="317"/>
      <c r="M122" s="317"/>
      <c r="N122" s="317"/>
      <c r="O122" s="317"/>
      <c r="P122" s="317"/>
      <c r="Q122" s="317"/>
      <c r="AD122" s="320"/>
    </row>
    <row r="123" spans="1:30">
      <c r="A123" s="639"/>
      <c r="D123" s="394" t="s">
        <v>62</v>
      </c>
      <c r="E123" s="394" t="s">
        <v>63</v>
      </c>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D123" s="320"/>
    </row>
    <row r="124" spans="1:30" ht="30">
      <c r="B124" s="320"/>
      <c r="C124" s="320"/>
      <c r="D124" s="555" t="s">
        <v>1377</v>
      </c>
      <c r="E124" s="555" t="s">
        <v>1377</v>
      </c>
      <c r="AC124" s="320"/>
      <c r="AD124"/>
    </row>
    <row r="125" spans="1:30">
      <c r="B125" s="320"/>
      <c r="C125" s="320"/>
      <c r="D125" s="115"/>
      <c r="AC125" s="320"/>
      <c r="AD125"/>
    </row>
    <row r="126" spans="1:30">
      <c r="B126" s="320"/>
      <c r="C126" s="320"/>
      <c r="D126" s="639" t="s">
        <v>926</v>
      </c>
      <c r="E126" s="639" t="s">
        <v>927</v>
      </c>
      <c r="AC126" s="320"/>
      <c r="AD126"/>
    </row>
    <row r="127" spans="1:30">
      <c r="A127" s="324" t="s">
        <v>86</v>
      </c>
      <c r="B127" s="324" t="s">
        <v>58</v>
      </c>
      <c r="C127" s="324" t="s">
        <v>73</v>
      </c>
      <c r="D127" s="3" t="s">
        <v>59</v>
      </c>
      <c r="E127" s="3" t="s">
        <v>59</v>
      </c>
      <c r="F127" s="394"/>
      <c r="G127" s="394"/>
      <c r="H127" s="394"/>
      <c r="I127" s="394"/>
      <c r="J127" s="394"/>
      <c r="K127" s="394"/>
      <c r="L127" s="394"/>
      <c r="M127" s="394"/>
      <c r="N127" s="394"/>
      <c r="O127" s="394"/>
      <c r="P127" s="394"/>
      <c r="Q127" s="324"/>
      <c r="R127" s="324"/>
      <c r="S127" s="324"/>
      <c r="T127" s="324"/>
      <c r="U127" s="324"/>
      <c r="V127" s="324"/>
      <c r="W127" s="324"/>
      <c r="X127" s="324"/>
      <c r="Y127" s="324"/>
      <c r="Z127" s="324"/>
      <c r="AA127" s="324"/>
      <c r="AD127" s="324" t="str">
        <f>A127</f>
        <v>Line</v>
      </c>
    </row>
    <row r="128" spans="1:30">
      <c r="A128" s="320">
        <v>700</v>
      </c>
      <c r="B128" s="552" t="s">
        <v>75</v>
      </c>
      <c r="C128" s="197">
        <f>'1-DRR'!$K$2-1</f>
        <v>2020</v>
      </c>
      <c r="D128" s="165">
        <f>E87+G101+G115</f>
        <v>1067246546.5720119</v>
      </c>
      <c r="E128" s="165">
        <f>F87+H101+H115</f>
        <v>1016556237.420451</v>
      </c>
      <c r="F128" s="562"/>
      <c r="G128" s="562"/>
      <c r="H128" s="562"/>
      <c r="I128" s="562"/>
      <c r="J128" s="562"/>
      <c r="K128" s="562"/>
      <c r="L128" s="562"/>
      <c r="M128" s="562"/>
      <c r="N128" s="562"/>
      <c r="O128" s="562"/>
      <c r="P128" s="562"/>
      <c r="Q128" s="560"/>
      <c r="R128" s="560"/>
      <c r="S128" s="560"/>
      <c r="T128" s="560"/>
      <c r="U128" s="560"/>
      <c r="V128" s="560"/>
      <c r="W128" s="560"/>
      <c r="X128" s="560"/>
      <c r="Y128" s="560"/>
      <c r="Z128" s="560"/>
      <c r="AA128" s="560"/>
      <c r="AD128" s="320">
        <f>A128</f>
        <v>700</v>
      </c>
    </row>
    <row r="129" spans="1:30">
      <c r="A129" s="320">
        <f>+A128+1</f>
        <v>701</v>
      </c>
      <c r="B129" s="552" t="s">
        <v>75</v>
      </c>
      <c r="C129" s="197">
        <f>'1-DRR'!$K$2</f>
        <v>2021</v>
      </c>
      <c r="D129" s="165">
        <f>E88+G102+G116</f>
        <v>1037157914.8315742</v>
      </c>
      <c r="E129" s="165">
        <f>F88+H102+H116</f>
        <v>987896705.68485224</v>
      </c>
      <c r="F129" s="662" t="s">
        <v>1381</v>
      </c>
      <c r="G129" s="564"/>
      <c r="H129" s="564"/>
      <c r="I129" s="564"/>
      <c r="J129" s="564"/>
      <c r="K129" s="564"/>
      <c r="L129" s="564"/>
      <c r="M129" s="564"/>
      <c r="N129" s="564"/>
      <c r="O129" s="564"/>
      <c r="P129" s="564"/>
      <c r="Q129" s="564"/>
      <c r="R129" s="564"/>
      <c r="S129" s="564"/>
      <c r="T129" s="564"/>
      <c r="U129" s="564"/>
      <c r="V129" s="564"/>
      <c r="W129" s="564"/>
      <c r="X129" s="564"/>
      <c r="Y129" s="564"/>
      <c r="Z129" s="564"/>
      <c r="AA129" s="564"/>
      <c r="AD129" s="320">
        <f>A129</f>
        <v>701</v>
      </c>
    </row>
    <row r="130" spans="1:30">
      <c r="A130" s="320">
        <f t="shared" ref="A130" si="16">A129+1</f>
        <v>702</v>
      </c>
      <c r="B130" s="558" t="s">
        <v>200</v>
      </c>
      <c r="C130" s="558"/>
      <c r="D130" s="570">
        <f>AVERAGE(D128:D129)</f>
        <v>1052202230.7017931</v>
      </c>
      <c r="E130" s="570">
        <f>AVERAGE(E128:E129)</f>
        <v>1002226471.5526516</v>
      </c>
      <c r="F130" s="662" t="str">
        <f>"(Line "&amp;$A128&amp;" + Line "&amp;$A129&amp;")/2"</f>
        <v>(Line 700 + Line 701)/2</v>
      </c>
      <c r="G130" s="560"/>
      <c r="H130" s="560"/>
      <c r="I130" s="560"/>
      <c r="J130" s="560"/>
      <c r="K130" s="560"/>
      <c r="L130" s="560"/>
      <c r="M130" s="560"/>
      <c r="N130" s="560"/>
      <c r="O130" s="560"/>
      <c r="P130" s="560"/>
      <c r="Q130" s="560"/>
      <c r="R130" s="560"/>
      <c r="S130" s="560"/>
      <c r="T130" s="560"/>
      <c r="U130" s="560"/>
      <c r="V130" s="560"/>
      <c r="W130" s="560"/>
      <c r="X130" s="560"/>
      <c r="Y130" s="560"/>
      <c r="Z130" s="560"/>
      <c r="AA130" s="560"/>
      <c r="AD130" s="320">
        <f>A130</f>
        <v>702</v>
      </c>
    </row>
    <row r="131" spans="1:30">
      <c r="A131" s="320"/>
      <c r="B131" s="559"/>
      <c r="C131" s="559"/>
      <c r="D131" s="560"/>
      <c r="E131" s="560"/>
      <c r="F131" s="560"/>
      <c r="G131" s="560"/>
      <c r="H131" s="560"/>
      <c r="I131" s="560"/>
      <c r="J131" s="560"/>
      <c r="K131" s="560"/>
      <c r="L131" s="560"/>
      <c r="M131" s="560"/>
      <c r="N131" s="560"/>
      <c r="O131" s="560"/>
      <c r="P131" s="560"/>
      <c r="Q131" s="560"/>
      <c r="R131" s="560"/>
      <c r="S131" s="560"/>
      <c r="T131" s="560"/>
      <c r="U131" s="560"/>
      <c r="V131" s="560"/>
      <c r="W131" s="560"/>
      <c r="X131" s="560"/>
      <c r="Y131" s="560"/>
      <c r="Z131" s="560"/>
      <c r="AA131" s="560"/>
      <c r="AB131" s="560"/>
    </row>
    <row r="132" spans="1:30">
      <c r="A132" s="320"/>
      <c r="C132" s="559"/>
      <c r="D132" s="560"/>
      <c r="E132" s="560"/>
      <c r="F132" s="560"/>
      <c r="G132" s="560"/>
      <c r="H132" s="560"/>
      <c r="I132" s="560"/>
      <c r="J132" s="560"/>
      <c r="K132" s="560"/>
      <c r="L132" s="560"/>
      <c r="M132" s="560"/>
      <c r="N132" s="560"/>
      <c r="O132" s="560"/>
      <c r="P132" s="560"/>
      <c r="Q132" s="560"/>
      <c r="R132" s="560"/>
      <c r="S132" s="560"/>
      <c r="T132" s="560"/>
      <c r="U132" s="560"/>
      <c r="V132" s="560"/>
      <c r="W132" s="560"/>
      <c r="X132" s="560"/>
      <c r="Y132" s="560"/>
      <c r="Z132" s="560"/>
      <c r="AA132" s="560"/>
      <c r="AB132" s="560"/>
    </row>
    <row r="133" spans="1:30">
      <c r="B133" s="9" t="s">
        <v>89</v>
      </c>
      <c r="C133" s="565"/>
      <c r="D133" s="560"/>
      <c r="E133" s="560"/>
      <c r="F133" s="560"/>
      <c r="G133" s="560"/>
      <c r="H133" s="560"/>
      <c r="I133" s="560"/>
      <c r="J133" s="560"/>
      <c r="K133" s="560"/>
      <c r="L133" s="560"/>
      <c r="M133" s="560"/>
      <c r="N133" s="560"/>
      <c r="O133" s="560"/>
      <c r="P133" s="560"/>
      <c r="Q133" s="560"/>
      <c r="R133" s="560"/>
      <c r="S133" s="560"/>
      <c r="T133" s="560"/>
      <c r="U133" s="560"/>
      <c r="V133" s="560"/>
      <c r="W133" s="560"/>
      <c r="X133" s="560"/>
      <c r="Y133" s="560"/>
      <c r="Z133" s="560"/>
      <c r="AA133" s="560"/>
      <c r="AB133" s="560"/>
    </row>
    <row r="134" spans="1:30">
      <c r="B134" s="319" t="s">
        <v>1386</v>
      </c>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row>
    <row r="135" spans="1:30">
      <c r="A135" s="320"/>
      <c r="B135" s="319" t="s">
        <v>1387</v>
      </c>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row>
    <row r="136" spans="1:30">
      <c r="B136" s="319" t="s">
        <v>1388</v>
      </c>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row>
    <row r="137" spans="1:30">
      <c r="B137" s="319" t="s">
        <v>638</v>
      </c>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row>
    <row r="138" spans="1:30">
      <c r="B138" s="320"/>
      <c r="C138" s="320"/>
      <c r="D138" s="560"/>
      <c r="E138" s="560"/>
      <c r="F138" s="394"/>
      <c r="G138" s="394"/>
      <c r="L138" s="317"/>
      <c r="M138" s="317"/>
      <c r="P138" s="317"/>
      <c r="Q138" s="317"/>
    </row>
  </sheetData>
  <mergeCells count="2">
    <mergeCell ref="B93:N94"/>
    <mergeCell ref="B107:N108"/>
  </mergeCells>
  <phoneticPr fontId="104" type="noConversion"/>
  <printOptions horizontalCentered="1"/>
  <pageMargins left="1" right="1" top="1" bottom="1" header="0.5" footer="0.5"/>
  <pageSetup scale="20" fitToHeight="0" orientation="landscape" r:id="rId1"/>
  <headerFooter>
    <oddHeader>&amp;C&amp;"-,Bold"&amp;12Pacific Gas and Electric Company
Formula Rate Model
Schedule 7-PlantInService</oddHeader>
    <oddFooter>&amp;C&amp;1#&amp;"Calibri"&amp;12&amp;K000000Internal</oddFooter>
  </headerFooter>
  <rowBreaks count="2" manualBreakCount="2">
    <brk id="52" max="16383" man="1"/>
    <brk id="90" max="16383" man="1"/>
  </row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09CF4-2504-4F2B-B6B2-05DB6CA30421}">
  <sheetPr codeName="Sheet14">
    <pageSetUpPr fitToPage="1"/>
  </sheetPr>
  <dimension ref="A1:O49"/>
  <sheetViews>
    <sheetView view="pageBreakPreview" zoomScale="115" zoomScaleNormal="100" zoomScaleSheetLayoutView="115" workbookViewId="0">
      <selection activeCell="G13" sqref="G13"/>
    </sheetView>
  </sheetViews>
  <sheetFormatPr defaultRowHeight="15"/>
  <cols>
    <col min="1" max="1" width="4.7109375" bestFit="1" customWidth="1"/>
    <col min="2" max="2" width="43" customWidth="1"/>
    <col min="3" max="3" width="15.5703125" customWidth="1"/>
    <col min="4" max="4" width="14.42578125" bestFit="1" customWidth="1"/>
    <col min="5" max="5" width="15.5703125" bestFit="1" customWidth="1"/>
    <col min="6" max="6" width="15.28515625" customWidth="1"/>
    <col min="7" max="7" width="14.85546875" bestFit="1" customWidth="1"/>
    <col min="8" max="9" width="14.42578125" bestFit="1" customWidth="1"/>
    <col min="10" max="10" width="16.28515625" customWidth="1"/>
    <col min="11" max="12" width="14.42578125" bestFit="1" customWidth="1"/>
    <col min="13" max="13" width="9.28515625" customWidth="1"/>
    <col min="15" max="15" width="4.7109375" bestFit="1" customWidth="1"/>
  </cols>
  <sheetData>
    <row r="1" spans="1:15">
      <c r="B1" s="2" t="s">
        <v>883</v>
      </c>
      <c r="C1" s="45"/>
      <c r="M1" s="8" t="str">
        <f>CONCATENATE("Prior Year: ",'1-DRR'!$K$2)</f>
        <v>Prior Year: 2021</v>
      </c>
    </row>
    <row r="2" spans="1:15">
      <c r="B2" s="54" t="s">
        <v>122</v>
      </c>
      <c r="C2" s="45"/>
    </row>
    <row r="4" spans="1:15">
      <c r="B4" s="60" t="s">
        <v>903</v>
      </c>
      <c r="C4" s="60"/>
      <c r="D4" s="60"/>
      <c r="E4" s="60"/>
      <c r="F4" s="60"/>
      <c r="G4" s="60"/>
      <c r="H4" s="60"/>
      <c r="I4" s="60"/>
      <c r="J4" s="60"/>
      <c r="K4" s="60"/>
      <c r="L4" s="60"/>
      <c r="M4" s="60"/>
      <c r="O4" s="467"/>
    </row>
    <row r="5" spans="1:15" s="163" customFormat="1">
      <c r="B5" s="968" t="s">
        <v>1630</v>
      </c>
      <c r="C5" s="968"/>
      <c r="D5" s="968"/>
      <c r="E5" s="968"/>
      <c r="F5" s="968"/>
      <c r="G5" s="968"/>
      <c r="H5" s="968"/>
      <c r="I5" s="968"/>
      <c r="J5" s="968"/>
      <c r="K5" s="968"/>
      <c r="L5" s="968"/>
      <c r="M5" s="968"/>
      <c r="O5" s="741"/>
    </row>
    <row r="6" spans="1:15" s="163" customFormat="1">
      <c r="B6" s="968"/>
      <c r="C6" s="968"/>
      <c r="D6" s="968"/>
      <c r="E6" s="968"/>
      <c r="F6" s="968"/>
      <c r="G6" s="968"/>
      <c r="H6" s="968"/>
      <c r="I6" s="968"/>
      <c r="J6" s="968"/>
      <c r="K6" s="968"/>
      <c r="L6" s="968"/>
      <c r="M6" s="968"/>
      <c r="O6" s="741"/>
    </row>
    <row r="7" spans="1:15" s="163" customFormat="1">
      <c r="B7" s="968" t="s">
        <v>1631</v>
      </c>
      <c r="C7" s="968"/>
      <c r="D7" s="968"/>
      <c r="E7" s="968"/>
      <c r="F7" s="968"/>
      <c r="G7" s="968"/>
      <c r="H7" s="968"/>
      <c r="I7" s="968"/>
      <c r="J7" s="968"/>
      <c r="K7" s="968"/>
      <c r="L7" s="968"/>
      <c r="M7" s="968"/>
      <c r="O7" s="741"/>
    </row>
    <row r="8" spans="1:15" s="163" customFormat="1">
      <c r="B8" s="968"/>
      <c r="C8" s="968"/>
      <c r="D8" s="968"/>
      <c r="E8" s="968"/>
      <c r="F8" s="968"/>
      <c r="G8" s="968"/>
      <c r="H8" s="968"/>
      <c r="I8" s="968"/>
      <c r="J8" s="968"/>
      <c r="K8" s="968"/>
      <c r="L8" s="968"/>
      <c r="M8" s="968"/>
      <c r="O8" s="741"/>
    </row>
    <row r="9" spans="1:15">
      <c r="B9" s="466" t="s">
        <v>596</v>
      </c>
    </row>
    <row r="10" spans="1:15" ht="30">
      <c r="C10" s="970" t="s">
        <v>1674</v>
      </c>
      <c r="D10" s="971"/>
      <c r="E10" s="936" t="s">
        <v>1680</v>
      </c>
      <c r="F10" s="970" t="s">
        <v>1681</v>
      </c>
      <c r="G10" s="971"/>
      <c r="H10" s="936" t="s">
        <v>1676</v>
      </c>
      <c r="I10" s="936" t="s">
        <v>1682</v>
      </c>
      <c r="J10" s="970" t="s">
        <v>1678</v>
      </c>
      <c r="K10" s="971"/>
      <c r="L10" s="936" t="s">
        <v>1679</v>
      </c>
      <c r="M10" s="475" t="s">
        <v>370</v>
      </c>
    </row>
    <row r="11" spans="1:15" ht="65.25" customHeight="1">
      <c r="A11" s="469" t="s">
        <v>86</v>
      </c>
      <c r="B11" s="472" t="s">
        <v>58</v>
      </c>
      <c r="C11" s="937" t="s">
        <v>1683</v>
      </c>
      <c r="D11" s="809" t="s">
        <v>1684</v>
      </c>
      <c r="E11" s="937" t="s">
        <v>1685</v>
      </c>
      <c r="F11" s="937" t="s">
        <v>1683</v>
      </c>
      <c r="G11" s="809" t="s">
        <v>1684</v>
      </c>
      <c r="H11" s="937" t="s">
        <v>1685</v>
      </c>
      <c r="I11" s="937" t="s">
        <v>1685</v>
      </c>
      <c r="J11" s="937" t="s">
        <v>1683</v>
      </c>
      <c r="K11" s="809" t="s">
        <v>1684</v>
      </c>
      <c r="L11" s="937" t="s">
        <v>1685</v>
      </c>
      <c r="M11" s="937"/>
      <c r="N11" s="468" t="s">
        <v>86</v>
      </c>
    </row>
    <row r="12" spans="1:15">
      <c r="A12" s="469">
        <v>100</v>
      </c>
      <c r="B12" s="734" t="s">
        <v>76</v>
      </c>
      <c r="C12" s="507">
        <f>('9-WholesaleRevenues'!C82*'15-LossFactors'!$C$23/'15-LossFactors'!$C$21)+'9-WholesaleRevenues'!D30</f>
        <v>78378.146971723065</v>
      </c>
      <c r="D12" s="508">
        <f>'9-WholesaleRevenues'!C66</f>
        <v>62993.097468757886</v>
      </c>
      <c r="E12" s="507">
        <f>'9-WholesaleRevenues'!C30</f>
        <v>5314</v>
      </c>
      <c r="F12" s="507">
        <f>('9-WholesaleRevenues'!D82*'15-LossFactors'!$C$23/'15-LossFactors'!$C$21)+'9-WholesaleRevenues'!E30</f>
        <v>984.96592622935555</v>
      </c>
      <c r="G12" s="509">
        <f>'9-WholesaleRevenues'!D66</f>
        <v>947</v>
      </c>
      <c r="H12" s="507">
        <f>'9-WholesaleRevenues'!F30</f>
        <v>1997</v>
      </c>
      <c r="I12" s="507">
        <f>'9-WholesaleRevenues'!G30</f>
        <v>916</v>
      </c>
      <c r="J12" s="507">
        <f>('9-WholesaleRevenues'!E82*'15-LossFactors'!$C$23/'15-LossFactors'!$C$21)+'9-WholesaleRevenues'!H30</f>
        <v>74489.278063379446</v>
      </c>
      <c r="K12" s="509">
        <f>'9-WholesaleRevenues'!E66</f>
        <v>46523.22436</v>
      </c>
      <c r="L12" s="507">
        <f>'9-WholesaleRevenues'!I30</f>
        <v>72</v>
      </c>
      <c r="M12" s="507"/>
      <c r="N12" s="469">
        <f>A12</f>
        <v>100</v>
      </c>
    </row>
    <row r="13" spans="1:15">
      <c r="A13" s="469">
        <f>A12+1</f>
        <v>101</v>
      </c>
      <c r="B13" s="735" t="s">
        <v>77</v>
      </c>
      <c r="C13" s="507">
        <f>('9-WholesaleRevenues'!C83*'15-LossFactors'!$C$23/'15-LossFactors'!$C$21)+'9-WholesaleRevenues'!D31</f>
        <v>76504.304024946701</v>
      </c>
      <c r="D13" s="507">
        <f>'9-WholesaleRevenues'!C67</f>
        <v>53535.032153222346</v>
      </c>
      <c r="E13" s="507">
        <f>'9-WholesaleRevenues'!C31</f>
        <v>5159</v>
      </c>
      <c r="F13" s="507">
        <f>('9-WholesaleRevenues'!D83*'15-LossFactors'!$C$23/'15-LossFactors'!$C$21)+'9-WholesaleRevenues'!E31</f>
        <v>1311.1935315694413</v>
      </c>
      <c r="G13" s="509">
        <f>'9-WholesaleRevenues'!D67</f>
        <v>1059</v>
      </c>
      <c r="H13" s="507">
        <f>'9-WholesaleRevenues'!F31</f>
        <v>2254</v>
      </c>
      <c r="I13" s="507">
        <f>'9-WholesaleRevenues'!G31</f>
        <v>894</v>
      </c>
      <c r="J13" s="507">
        <f>('9-WholesaleRevenues'!E83*'15-LossFactors'!$C$23/'15-LossFactors'!$C$21)+'9-WholesaleRevenues'!H31</f>
        <v>92079.283465404515</v>
      </c>
      <c r="K13" s="509">
        <f>'9-WholesaleRevenues'!E67</f>
        <v>47853.89352000002</v>
      </c>
      <c r="L13" s="507">
        <f>'9-WholesaleRevenues'!I31</f>
        <v>69</v>
      </c>
      <c r="M13" s="507"/>
      <c r="N13" s="469">
        <f t="shared" ref="N13:N26" si="0">A13</f>
        <v>101</v>
      </c>
    </row>
    <row r="14" spans="1:15">
      <c r="A14" s="469">
        <f t="shared" ref="A14:A24" si="1">A13+1</f>
        <v>102</v>
      </c>
      <c r="B14" s="735" t="s">
        <v>78</v>
      </c>
      <c r="C14" s="507">
        <f>('9-WholesaleRevenues'!C84*'15-LossFactors'!$C$23/'15-LossFactors'!$C$21)+'9-WholesaleRevenues'!D32</f>
        <v>105288.6561089888</v>
      </c>
      <c r="D14" s="507">
        <f>'9-WholesaleRevenues'!C68</f>
        <v>83883.034416807684</v>
      </c>
      <c r="E14" s="507">
        <f>'9-WholesaleRevenues'!C32</f>
        <v>5269</v>
      </c>
      <c r="F14" s="507">
        <f>('9-WholesaleRevenues'!D84*'15-LossFactors'!$C$23/'15-LossFactors'!$C$21)+'9-WholesaleRevenues'!E32</f>
        <v>1026.2521831418621</v>
      </c>
      <c r="G14" s="509">
        <f>'9-WholesaleRevenues'!D68</f>
        <v>416</v>
      </c>
      <c r="H14" s="507">
        <f>'9-WholesaleRevenues'!F32</f>
        <v>2238</v>
      </c>
      <c r="I14" s="507">
        <f>'9-WholesaleRevenues'!G32</f>
        <v>882</v>
      </c>
      <c r="J14" s="507">
        <f>('9-WholesaleRevenues'!E84*'15-LossFactors'!$C$23/'15-LossFactors'!$C$21)+'9-WholesaleRevenues'!H32</f>
        <v>104457.15046300556</v>
      </c>
      <c r="K14" s="509">
        <f>'9-WholesaleRevenues'!E68</f>
        <v>62370.631799999981</v>
      </c>
      <c r="L14" s="507">
        <f>'9-WholesaleRevenues'!I32</f>
        <v>74</v>
      </c>
      <c r="M14" s="507"/>
      <c r="N14" s="469">
        <f t="shared" si="0"/>
        <v>102</v>
      </c>
    </row>
    <row r="15" spans="1:15">
      <c r="A15" s="469">
        <f t="shared" si="1"/>
        <v>103</v>
      </c>
      <c r="B15" s="735" t="s">
        <v>79</v>
      </c>
      <c r="C15" s="507">
        <f>('9-WholesaleRevenues'!C85*'15-LossFactors'!$C$23/'15-LossFactors'!$C$21)+'9-WholesaleRevenues'!D33</f>
        <v>78049.681526856642</v>
      </c>
      <c r="D15" s="507">
        <f>'9-WholesaleRevenues'!C69</f>
        <v>54924.744330569869</v>
      </c>
      <c r="E15" s="507">
        <f>'9-WholesaleRevenues'!C33</f>
        <v>5166</v>
      </c>
      <c r="F15" s="507">
        <f>('9-WholesaleRevenues'!D85*'15-LossFactors'!$C$23/'15-LossFactors'!$C$21)+'9-WholesaleRevenues'!E33</f>
        <v>868.8114584691009</v>
      </c>
      <c r="G15" s="509">
        <f>'9-WholesaleRevenues'!D69</f>
        <v>481</v>
      </c>
      <c r="H15" s="507">
        <f>'9-WholesaleRevenues'!F33</f>
        <v>2828</v>
      </c>
      <c r="I15" s="507">
        <f>'9-WholesaleRevenues'!G33</f>
        <v>790</v>
      </c>
      <c r="J15" s="507">
        <f>('9-WholesaleRevenues'!E85*'15-LossFactors'!$C$23/'15-LossFactors'!$C$21)+'9-WholesaleRevenues'!H33</f>
        <v>125483.66758435809</v>
      </c>
      <c r="K15" s="509">
        <f>'9-WholesaleRevenues'!E69</f>
        <v>57439.274640000003</v>
      </c>
      <c r="L15" s="507">
        <f>'9-WholesaleRevenues'!I33</f>
        <v>55</v>
      </c>
      <c r="M15" s="507"/>
      <c r="N15" s="469">
        <f t="shared" si="0"/>
        <v>103</v>
      </c>
    </row>
    <row r="16" spans="1:15">
      <c r="A16" s="469">
        <f t="shared" si="1"/>
        <v>104</v>
      </c>
      <c r="B16" s="735" t="s">
        <v>61</v>
      </c>
      <c r="C16" s="507">
        <f>('9-WholesaleRevenues'!C86*'15-LossFactors'!$C$23/'15-LossFactors'!$C$21)+'9-WholesaleRevenues'!D34</f>
        <v>83132.54020202352</v>
      </c>
      <c r="D16" s="507">
        <f>'9-WholesaleRevenues'!C70</f>
        <v>55319.179288325409</v>
      </c>
      <c r="E16" s="507">
        <f>'9-WholesaleRevenues'!C34</f>
        <v>5138</v>
      </c>
      <c r="F16" s="507">
        <f>('9-WholesaleRevenues'!D86*'15-LossFactors'!$C$23/'15-LossFactors'!$C$21)+'9-WholesaleRevenues'!E34</f>
        <v>1262.4816876757218</v>
      </c>
      <c r="G16" s="509">
        <f>'9-WholesaleRevenues'!D70</f>
        <v>776</v>
      </c>
      <c r="H16" s="507">
        <f>'9-WholesaleRevenues'!F34</f>
        <v>3415</v>
      </c>
      <c r="I16" s="507">
        <f>'9-WholesaleRevenues'!G34</f>
        <v>758</v>
      </c>
      <c r="J16" s="507">
        <f>('9-WholesaleRevenues'!E86*'15-LossFactors'!$C$23/'15-LossFactors'!$C$21)+'9-WholesaleRevenues'!H34</f>
        <v>139605.90645323106</v>
      </c>
      <c r="K16" s="509">
        <f>'9-WholesaleRevenues'!E70</f>
        <v>59454.491599999994</v>
      </c>
      <c r="L16" s="507">
        <f>'9-WholesaleRevenues'!I34</f>
        <v>73</v>
      </c>
      <c r="M16" s="507"/>
      <c r="N16" s="469">
        <f t="shared" si="0"/>
        <v>104</v>
      </c>
    </row>
    <row r="17" spans="1:14">
      <c r="A17" s="469">
        <f t="shared" si="1"/>
        <v>105</v>
      </c>
      <c r="B17" s="735" t="s">
        <v>146</v>
      </c>
      <c r="C17" s="507">
        <f>('9-WholesaleRevenues'!C87*'15-LossFactors'!$C$23/'15-LossFactors'!$C$21)+'9-WholesaleRevenues'!D35</f>
        <v>81123.004269958998</v>
      </c>
      <c r="D17" s="507">
        <f>'9-WholesaleRevenues'!C71</f>
        <v>54153.929175064673</v>
      </c>
      <c r="E17" s="507">
        <f>'9-WholesaleRevenues'!C35</f>
        <v>5381</v>
      </c>
      <c r="F17" s="507">
        <f>('9-WholesaleRevenues'!D87*'15-LossFactors'!$C$23/'15-LossFactors'!$C$21)+'9-WholesaleRevenues'!E35</f>
        <v>1240.7496601932708</v>
      </c>
      <c r="G17" s="509">
        <f>'9-WholesaleRevenues'!D71</f>
        <v>697</v>
      </c>
      <c r="H17" s="507">
        <f>'9-WholesaleRevenues'!F35</f>
        <v>3869</v>
      </c>
      <c r="I17" s="507">
        <f>'9-WholesaleRevenues'!G35</f>
        <v>687</v>
      </c>
      <c r="J17" s="507">
        <f>('9-WholesaleRevenues'!E87*'15-LossFactors'!$C$23/'15-LossFactors'!$C$21)+'9-WholesaleRevenues'!H35</f>
        <v>146587.81253329062</v>
      </c>
      <c r="K17" s="509">
        <f>'9-WholesaleRevenues'!E71</f>
        <v>64202.987319999993</v>
      </c>
      <c r="L17" s="507">
        <f>'9-WholesaleRevenues'!I35</f>
        <v>57</v>
      </c>
      <c r="M17" s="507"/>
      <c r="N17" s="469">
        <f t="shared" si="0"/>
        <v>105</v>
      </c>
    </row>
    <row r="18" spans="1:14">
      <c r="A18" s="469">
        <f t="shared" si="1"/>
        <v>106</v>
      </c>
      <c r="B18" s="735" t="s">
        <v>81</v>
      </c>
      <c r="C18" s="507">
        <f>('9-WholesaleRevenues'!C88*'15-LossFactors'!$C$23/'15-LossFactors'!$C$21)+'9-WholesaleRevenues'!D36</f>
        <v>76825.021583381007</v>
      </c>
      <c r="D18" s="507">
        <f>'9-WholesaleRevenues'!C72</f>
        <v>52794.81975319497</v>
      </c>
      <c r="E18" s="507">
        <f>'9-WholesaleRevenues'!C36</f>
        <v>5278</v>
      </c>
      <c r="F18" s="507">
        <f>('9-WholesaleRevenues'!D88*'15-LossFactors'!$C$23/'15-LossFactors'!$C$21)+'9-WholesaleRevenues'!E36</f>
        <v>1048.2622749362281</v>
      </c>
      <c r="G18" s="509">
        <f>'9-WholesaleRevenues'!D72</f>
        <v>572</v>
      </c>
      <c r="H18" s="507">
        <f>'9-WholesaleRevenues'!F36</f>
        <v>4036</v>
      </c>
      <c r="I18" s="507">
        <f>'9-WholesaleRevenues'!G36</f>
        <v>730</v>
      </c>
      <c r="J18" s="507">
        <f>('9-WholesaleRevenues'!E88*'15-LossFactors'!$C$23/'15-LossFactors'!$C$21)+'9-WholesaleRevenues'!H36</f>
        <v>143989.68246005324</v>
      </c>
      <c r="K18" s="509">
        <f>'9-WholesaleRevenues'!E72</f>
        <v>62311.87739999999</v>
      </c>
      <c r="L18" s="507">
        <f>'9-WholesaleRevenues'!I36</f>
        <v>62</v>
      </c>
      <c r="M18" s="507"/>
      <c r="N18" s="469">
        <f t="shared" si="0"/>
        <v>106</v>
      </c>
    </row>
    <row r="19" spans="1:14">
      <c r="A19" s="469">
        <f t="shared" si="1"/>
        <v>107</v>
      </c>
      <c r="B19" s="735" t="s">
        <v>82</v>
      </c>
      <c r="C19" s="507">
        <f>('9-WholesaleRevenues'!C89*'15-LossFactors'!$C$23/'15-LossFactors'!$C$21)+'9-WholesaleRevenues'!D37</f>
        <v>84415.819434476434</v>
      </c>
      <c r="D19" s="507">
        <f>'9-WholesaleRevenues'!C73</f>
        <v>57665.804431317578</v>
      </c>
      <c r="E19" s="507">
        <f>'9-WholesaleRevenues'!C37</f>
        <v>5444</v>
      </c>
      <c r="F19" s="507">
        <f>('9-WholesaleRevenues'!D89*'15-LossFactors'!$C$23/'15-LossFactors'!$C$21)+'9-WholesaleRevenues'!E37</f>
        <v>887.43377958180486</v>
      </c>
      <c r="G19" s="509">
        <f>'9-WholesaleRevenues'!D73</f>
        <v>458</v>
      </c>
      <c r="H19" s="507">
        <f>'9-WholesaleRevenues'!F37</f>
        <v>4034</v>
      </c>
      <c r="I19" s="507">
        <f>'9-WholesaleRevenues'!G37</f>
        <v>676</v>
      </c>
      <c r="J19" s="507">
        <f>('9-WholesaleRevenues'!E89*'15-LossFactors'!$C$23/'15-LossFactors'!$C$21)+'9-WholesaleRevenues'!H37</f>
        <v>131371.88378700431</v>
      </c>
      <c r="K19" s="509">
        <f>'9-WholesaleRevenues'!E73</f>
        <v>58365.566280000006</v>
      </c>
      <c r="L19" s="507">
        <f>'9-WholesaleRevenues'!I37</f>
        <v>65</v>
      </c>
      <c r="M19" s="507"/>
      <c r="N19" s="469">
        <f t="shared" si="0"/>
        <v>107</v>
      </c>
    </row>
    <row r="20" spans="1:14">
      <c r="A20" s="469">
        <f t="shared" si="1"/>
        <v>108</v>
      </c>
      <c r="B20" s="735" t="s">
        <v>83</v>
      </c>
      <c r="C20" s="507">
        <f>('9-WholesaleRevenues'!C90*'15-LossFactors'!$C$23/'15-LossFactors'!$C$21)+'9-WholesaleRevenues'!D38</f>
        <v>86519.858881972395</v>
      </c>
      <c r="D20" s="507">
        <f>'9-WholesaleRevenues'!C74</f>
        <v>59583.443556686572</v>
      </c>
      <c r="E20" s="507">
        <f>'9-WholesaleRevenues'!C38</f>
        <v>5589</v>
      </c>
      <c r="F20" s="507">
        <f>('9-WholesaleRevenues'!D90*'15-LossFactors'!$C$23/'15-LossFactors'!$C$21)+'9-WholesaleRevenues'!E38</f>
        <v>440.32597240583164</v>
      </c>
      <c r="G20" s="509">
        <f>'9-WholesaleRevenues'!D74</f>
        <v>139</v>
      </c>
      <c r="H20" s="507">
        <f>'9-WholesaleRevenues'!F38</f>
        <v>3141</v>
      </c>
      <c r="I20" s="507">
        <f>'9-WholesaleRevenues'!G38</f>
        <v>702</v>
      </c>
      <c r="J20" s="507">
        <f>('9-WholesaleRevenues'!E90*'15-LossFactors'!$C$23/'15-LossFactors'!$C$21)+'9-WholesaleRevenues'!H38</f>
        <v>110090.1556602007</v>
      </c>
      <c r="K20" s="509">
        <f>'9-WholesaleRevenues'!E74</f>
        <v>56273.062080000003</v>
      </c>
      <c r="L20" s="507">
        <f>'9-WholesaleRevenues'!I38</f>
        <v>51</v>
      </c>
      <c r="M20" s="507"/>
      <c r="N20" s="469">
        <f t="shared" si="0"/>
        <v>108</v>
      </c>
    </row>
    <row r="21" spans="1:14">
      <c r="A21" s="469">
        <f t="shared" si="1"/>
        <v>109</v>
      </c>
      <c r="B21" s="735" t="s">
        <v>84</v>
      </c>
      <c r="C21" s="507">
        <f>('9-WholesaleRevenues'!C91*'15-LossFactors'!$C$23/'15-LossFactors'!$C$21)+'9-WholesaleRevenues'!D39</f>
        <v>106680.25451122319</v>
      </c>
      <c r="D21" s="507">
        <f>'9-WholesaleRevenues'!C75</f>
        <v>62311.616086285772</v>
      </c>
      <c r="E21" s="507">
        <f>'9-WholesaleRevenues'!C39</f>
        <v>5525</v>
      </c>
      <c r="F21" s="507">
        <f>('9-WholesaleRevenues'!D91*'15-LossFactors'!$C$23/'15-LossFactors'!$C$21)+'9-WholesaleRevenues'!E39</f>
        <v>390.20617424171894</v>
      </c>
      <c r="G21" s="509">
        <f>'9-WholesaleRevenues'!D75</f>
        <v>137</v>
      </c>
      <c r="H21" s="507">
        <f>'9-WholesaleRevenues'!F39</f>
        <v>2957</v>
      </c>
      <c r="I21" s="507">
        <f>'9-WholesaleRevenues'!G39</f>
        <v>675</v>
      </c>
      <c r="J21" s="507">
        <f>('9-WholesaleRevenues'!E91*'15-LossFactors'!$C$23/'15-LossFactors'!$C$21)+'9-WholesaleRevenues'!H39</f>
        <v>96157.490514964535</v>
      </c>
      <c r="K21" s="509">
        <f>'9-WholesaleRevenues'!E75</f>
        <v>48906.04127999999</v>
      </c>
      <c r="L21" s="507">
        <f>'9-WholesaleRevenues'!I39</f>
        <v>54</v>
      </c>
      <c r="M21" s="507"/>
      <c r="N21" s="469">
        <f t="shared" si="0"/>
        <v>109</v>
      </c>
    </row>
    <row r="22" spans="1:14">
      <c r="A22" s="469">
        <f t="shared" si="1"/>
        <v>110</v>
      </c>
      <c r="B22" s="735" t="s">
        <v>85</v>
      </c>
      <c r="C22" s="507">
        <f>('9-WholesaleRevenues'!C92*'15-LossFactors'!$C$23/'15-LossFactors'!$C$21)+'9-WholesaleRevenues'!D40</f>
        <v>94883.012455908829</v>
      </c>
      <c r="D22" s="507">
        <f>'9-WholesaleRevenues'!C76</f>
        <v>61333.689176848748</v>
      </c>
      <c r="E22" s="507">
        <f>'9-WholesaleRevenues'!C40</f>
        <v>5198</v>
      </c>
      <c r="F22" s="507">
        <f>('9-WholesaleRevenues'!D92*'15-LossFactors'!$C$23/'15-LossFactors'!$C$21)+'9-WholesaleRevenues'!E40</f>
        <v>548.68346770439598</v>
      </c>
      <c r="G22" s="509">
        <f>'9-WholesaleRevenues'!D76</f>
        <v>362</v>
      </c>
      <c r="H22" s="507">
        <f>'9-WholesaleRevenues'!F40</f>
        <v>1921</v>
      </c>
      <c r="I22" s="507">
        <f>'9-WholesaleRevenues'!G40</f>
        <v>766</v>
      </c>
      <c r="J22" s="507">
        <f>('9-WholesaleRevenues'!E92*'15-LossFactors'!$C$23/'15-LossFactors'!$C$21)+'9-WholesaleRevenues'!H40</f>
        <v>54843.202895637442</v>
      </c>
      <c r="K22" s="509">
        <f>'9-WholesaleRevenues'!E76</f>
        <v>39271.132120000002</v>
      </c>
      <c r="L22" s="507">
        <f>'9-WholesaleRevenues'!I40</f>
        <v>65</v>
      </c>
      <c r="M22" s="507"/>
      <c r="N22" s="469">
        <f t="shared" si="0"/>
        <v>110</v>
      </c>
    </row>
    <row r="23" spans="1:14">
      <c r="A23" s="469">
        <f t="shared" si="1"/>
        <v>111</v>
      </c>
      <c r="B23" s="736" t="s">
        <v>75</v>
      </c>
      <c r="C23" s="510">
        <f>('9-WholesaleRevenues'!C93*'15-LossFactors'!$C$23/'15-LossFactors'!$C$21)+'9-WholesaleRevenues'!D41</f>
        <v>96807.50477690206</v>
      </c>
      <c r="D23" s="510">
        <f>'9-WholesaleRevenues'!C77</f>
        <v>64338.200147213152</v>
      </c>
      <c r="E23" s="510">
        <f>'9-WholesaleRevenues'!C41</f>
        <v>5654</v>
      </c>
      <c r="F23" s="510">
        <f>('9-WholesaleRevenues'!D93*'15-LossFactors'!$C$23/'15-LossFactors'!$C$21)+'9-WholesaleRevenues'!E41</f>
        <v>0</v>
      </c>
      <c r="G23" s="511">
        <f>'9-WholesaleRevenues'!D77</f>
        <v>0</v>
      </c>
      <c r="H23" s="510">
        <f>'9-WholesaleRevenues'!F41</f>
        <v>1827</v>
      </c>
      <c r="I23" s="510">
        <f>'9-WholesaleRevenues'!G41</f>
        <v>811</v>
      </c>
      <c r="J23" s="510">
        <f>('9-WholesaleRevenues'!E93*'15-LossFactors'!$C$23/'15-LossFactors'!$C$21)+'9-WholesaleRevenues'!H41</f>
        <v>51587.097062645829</v>
      </c>
      <c r="K23" s="511">
        <f>'9-WholesaleRevenues'!E77</f>
        <v>39771.938039999994</v>
      </c>
      <c r="L23" s="510">
        <f>'9-WholesaleRevenues'!I41</f>
        <v>89</v>
      </c>
      <c r="M23" s="510"/>
      <c r="N23" s="469">
        <f t="shared" si="0"/>
        <v>111</v>
      </c>
    </row>
    <row r="24" spans="1:14">
      <c r="A24" s="469">
        <f t="shared" si="1"/>
        <v>112</v>
      </c>
      <c r="B24" s="6" t="s">
        <v>196</v>
      </c>
      <c r="C24" s="713">
        <f>SUM(C12:C23)</f>
        <v>1048607.8047483617</v>
      </c>
      <c r="D24" s="713">
        <f t="shared" ref="D24:M24" si="2">SUM(D12:D23)</f>
        <v>722836.58998429461</v>
      </c>
      <c r="E24" s="713">
        <f t="shared" si="2"/>
        <v>64115</v>
      </c>
      <c r="F24" s="713">
        <f t="shared" si="2"/>
        <v>10009.366116148733</v>
      </c>
      <c r="G24" s="713">
        <f t="shared" si="2"/>
        <v>6044</v>
      </c>
      <c r="H24" s="713">
        <f t="shared" si="2"/>
        <v>34517</v>
      </c>
      <c r="I24" s="713">
        <f t="shared" si="2"/>
        <v>9287</v>
      </c>
      <c r="J24" s="713">
        <f t="shared" si="2"/>
        <v>1270742.6109431754</v>
      </c>
      <c r="K24" s="713">
        <f t="shared" si="2"/>
        <v>642744.12044000009</v>
      </c>
      <c r="L24" s="713">
        <f t="shared" si="2"/>
        <v>786</v>
      </c>
      <c r="M24" s="713">
        <f t="shared" si="2"/>
        <v>0</v>
      </c>
      <c r="N24" s="469">
        <f t="shared" si="0"/>
        <v>112</v>
      </c>
    </row>
    <row r="25" spans="1:14">
      <c r="A25" s="469"/>
      <c r="C25" s="512"/>
      <c r="D25" s="512"/>
      <c r="E25" s="512"/>
      <c r="F25" s="512"/>
      <c r="G25" s="512"/>
      <c r="H25" s="512"/>
      <c r="I25" s="512"/>
      <c r="J25" s="512"/>
      <c r="K25" s="512"/>
      <c r="L25" s="512"/>
      <c r="M25" s="512"/>
    </row>
    <row r="26" spans="1:14">
      <c r="A26" s="469">
        <f>A24+1</f>
        <v>113</v>
      </c>
      <c r="B26" s="6" t="s">
        <v>888</v>
      </c>
      <c r="C26" s="713">
        <f>MAX(C12:C23)</f>
        <v>106680.25451122319</v>
      </c>
      <c r="D26" s="713">
        <f t="shared" ref="D26:M26" si="3">MAX(D12:D23)</f>
        <v>83883.034416807684</v>
      </c>
      <c r="E26" s="713">
        <f t="shared" si="3"/>
        <v>5654</v>
      </c>
      <c r="F26" s="713">
        <f t="shared" si="3"/>
        <v>1311.1935315694413</v>
      </c>
      <c r="G26" s="713">
        <f t="shared" si="3"/>
        <v>1059</v>
      </c>
      <c r="H26" s="713">
        <f t="shared" si="3"/>
        <v>4036</v>
      </c>
      <c r="I26" s="713">
        <f t="shared" si="3"/>
        <v>916</v>
      </c>
      <c r="J26" s="713">
        <f t="shared" si="3"/>
        <v>146587.81253329062</v>
      </c>
      <c r="K26" s="713">
        <f t="shared" si="3"/>
        <v>64202.987319999993</v>
      </c>
      <c r="L26" s="713">
        <f t="shared" si="3"/>
        <v>89</v>
      </c>
      <c r="M26" s="713">
        <f t="shared" si="3"/>
        <v>0</v>
      </c>
      <c r="N26" s="469">
        <f t="shared" si="0"/>
        <v>113</v>
      </c>
    </row>
    <row r="27" spans="1:14">
      <c r="A27" s="467"/>
    </row>
    <row r="28" spans="1:14">
      <c r="B28" s="60" t="s">
        <v>904</v>
      </c>
      <c r="C28" s="60"/>
      <c r="D28" s="60"/>
      <c r="E28" s="60"/>
      <c r="F28" s="60"/>
      <c r="G28" s="60"/>
      <c r="H28" s="60"/>
      <c r="I28" s="60"/>
      <c r="J28" s="60"/>
      <c r="K28" s="60"/>
      <c r="L28" s="60"/>
      <c r="M28" s="60"/>
    </row>
    <row r="29" spans="1:14">
      <c r="B29" s="2"/>
    </row>
    <row r="30" spans="1:14" ht="30">
      <c r="C30" s="479" t="s">
        <v>885</v>
      </c>
      <c r="D30" s="479" t="s">
        <v>905</v>
      </c>
      <c r="E30" s="474" t="s">
        <v>886</v>
      </c>
      <c r="F30" s="479" t="s">
        <v>906</v>
      </c>
      <c r="G30" s="479" t="s">
        <v>907</v>
      </c>
      <c r="H30" s="479" t="s">
        <v>908</v>
      </c>
      <c r="I30" s="479" t="s">
        <v>909</v>
      </c>
      <c r="J30" s="479" t="s">
        <v>910</v>
      </c>
      <c r="K30" s="479" t="s">
        <v>911</v>
      </c>
      <c r="L30" s="479" t="s">
        <v>912</v>
      </c>
      <c r="M30" s="479"/>
      <c r="N30" s="468"/>
    </row>
    <row r="31" spans="1:14">
      <c r="A31" s="465" t="s">
        <v>86</v>
      </c>
      <c r="B31" s="477" t="s">
        <v>884</v>
      </c>
      <c r="C31" s="479" t="s">
        <v>206</v>
      </c>
      <c r="D31" s="479" t="s">
        <v>889</v>
      </c>
      <c r="E31" s="479" t="s">
        <v>890</v>
      </c>
      <c r="F31" s="936" t="s">
        <v>1686</v>
      </c>
      <c r="G31" s="936" t="s">
        <v>1687</v>
      </c>
      <c r="H31" s="936" t="s">
        <v>1688</v>
      </c>
      <c r="I31" s="936" t="s">
        <v>1689</v>
      </c>
      <c r="J31" s="936" t="s">
        <v>1690</v>
      </c>
      <c r="K31" s="936" t="s">
        <v>1691</v>
      </c>
      <c r="L31" s="936" t="s">
        <v>1692</v>
      </c>
      <c r="M31" s="474" t="s">
        <v>370</v>
      </c>
      <c r="N31" s="468" t="s">
        <v>86</v>
      </c>
    </row>
    <row r="32" spans="1:14">
      <c r="A32" s="465">
        <f>A12+100</f>
        <v>200</v>
      </c>
      <c r="B32" s="829" t="s">
        <v>1632</v>
      </c>
      <c r="C32" s="496">
        <f t="shared" ref="C32:C41" si="4">SUM(D32:E32)</f>
        <v>192124458</v>
      </c>
      <c r="D32" s="490">
        <v>192124458</v>
      </c>
      <c r="E32" s="499">
        <f t="shared" ref="E32:E41" si="5">SUM(F32:L32)</f>
        <v>0</v>
      </c>
      <c r="F32" s="491">
        <v>0</v>
      </c>
      <c r="G32" s="502">
        <v>0</v>
      </c>
      <c r="H32" s="491">
        <v>0</v>
      </c>
      <c r="I32" s="502">
        <v>0</v>
      </c>
      <c r="J32" s="491">
        <v>0</v>
      </c>
      <c r="K32" s="502">
        <v>0</v>
      </c>
      <c r="L32" s="491">
        <v>0</v>
      </c>
      <c r="M32" s="502"/>
      <c r="N32" s="465">
        <f>A32</f>
        <v>200</v>
      </c>
    </row>
    <row r="33" spans="1:15">
      <c r="A33" s="465">
        <f>A32+1</f>
        <v>201</v>
      </c>
      <c r="B33" s="848" t="s">
        <v>1633</v>
      </c>
      <c r="C33" s="497">
        <f t="shared" si="4"/>
        <v>184113777</v>
      </c>
      <c r="D33" s="492">
        <v>184113777</v>
      </c>
      <c r="E33" s="500">
        <f t="shared" si="5"/>
        <v>0</v>
      </c>
      <c r="F33" s="493">
        <v>0</v>
      </c>
      <c r="G33" s="503">
        <v>0</v>
      </c>
      <c r="H33" s="493">
        <v>0</v>
      </c>
      <c r="I33" s="503">
        <v>0</v>
      </c>
      <c r="J33" s="493">
        <v>0</v>
      </c>
      <c r="K33" s="503">
        <v>0</v>
      </c>
      <c r="L33" s="493">
        <v>0</v>
      </c>
      <c r="M33" s="503"/>
      <c r="N33" s="465">
        <f t="shared" ref="N33:N41" si="6">A33</f>
        <v>201</v>
      </c>
    </row>
    <row r="34" spans="1:15">
      <c r="A34" s="465">
        <f t="shared" ref="A34:A41" si="7">A33+1</f>
        <v>202</v>
      </c>
      <c r="B34" s="848" t="s">
        <v>1634</v>
      </c>
      <c r="C34" s="497">
        <f t="shared" si="4"/>
        <v>184113777</v>
      </c>
      <c r="D34" s="492">
        <v>184113777</v>
      </c>
      <c r="E34" s="500">
        <f t="shared" si="5"/>
        <v>0</v>
      </c>
      <c r="F34" s="493">
        <v>0</v>
      </c>
      <c r="G34" s="503">
        <v>0</v>
      </c>
      <c r="H34" s="493">
        <v>0</v>
      </c>
      <c r="I34" s="503">
        <v>0</v>
      </c>
      <c r="J34" s="493">
        <v>0</v>
      </c>
      <c r="K34" s="503">
        <v>0</v>
      </c>
      <c r="L34" s="493">
        <v>0</v>
      </c>
      <c r="M34" s="503"/>
      <c r="N34" s="465">
        <f t="shared" si="6"/>
        <v>202</v>
      </c>
    </row>
    <row r="35" spans="1:15">
      <c r="A35" s="465">
        <f t="shared" si="7"/>
        <v>203</v>
      </c>
      <c r="B35" s="849" t="s">
        <v>1635</v>
      </c>
      <c r="C35" s="497">
        <f t="shared" si="4"/>
        <v>21100594.260576084</v>
      </c>
      <c r="D35" s="492">
        <v>20835320</v>
      </c>
      <c r="E35" s="500">
        <f t="shared" si="5"/>
        <v>265274.26057608327</v>
      </c>
      <c r="F35" s="493">
        <f>$C$26</f>
        <v>106680.25451122319</v>
      </c>
      <c r="G35" s="503">
        <f>$E$26</f>
        <v>5654</v>
      </c>
      <c r="H35" s="493">
        <f>$F$26</f>
        <v>1311.1935315694413</v>
      </c>
      <c r="I35" s="503">
        <f>$H$26</f>
        <v>4036</v>
      </c>
      <c r="J35" s="493">
        <f>$I$26</f>
        <v>916</v>
      </c>
      <c r="K35" s="503">
        <f>$J$26</f>
        <v>146587.81253329062</v>
      </c>
      <c r="L35" s="493">
        <f>$L$26</f>
        <v>89</v>
      </c>
      <c r="M35" s="503"/>
      <c r="N35" s="465">
        <f t="shared" si="6"/>
        <v>203</v>
      </c>
    </row>
    <row r="36" spans="1:15">
      <c r="A36" s="465">
        <f t="shared" si="7"/>
        <v>204</v>
      </c>
      <c r="B36" s="849" t="s">
        <v>1636</v>
      </c>
      <c r="C36" s="497">
        <f t="shared" si="4"/>
        <v>21100594.260576084</v>
      </c>
      <c r="D36" s="492">
        <v>20835320</v>
      </c>
      <c r="E36" s="500">
        <f t="shared" si="5"/>
        <v>265274.26057608327</v>
      </c>
      <c r="F36" s="493">
        <f>$C$26</f>
        <v>106680.25451122319</v>
      </c>
      <c r="G36" s="503">
        <f>$E$26</f>
        <v>5654</v>
      </c>
      <c r="H36" s="493">
        <f>$F$26</f>
        <v>1311.1935315694413</v>
      </c>
      <c r="I36" s="503">
        <f>$H$26</f>
        <v>4036</v>
      </c>
      <c r="J36" s="493">
        <f>$I$26</f>
        <v>916</v>
      </c>
      <c r="K36" s="503">
        <f>$J$26</f>
        <v>146587.81253329062</v>
      </c>
      <c r="L36" s="493">
        <f>$L$26</f>
        <v>89</v>
      </c>
      <c r="M36" s="503"/>
      <c r="N36" s="465">
        <f t="shared" si="6"/>
        <v>204</v>
      </c>
    </row>
    <row r="37" spans="1:15">
      <c r="A37" s="465">
        <f t="shared" si="7"/>
        <v>205</v>
      </c>
      <c r="B37" s="849" t="s">
        <v>1637</v>
      </c>
      <c r="C37" s="497">
        <f t="shared" si="4"/>
        <v>21100594.260576084</v>
      </c>
      <c r="D37" s="492">
        <v>20835320</v>
      </c>
      <c r="E37" s="500">
        <f t="shared" si="5"/>
        <v>265274.26057608327</v>
      </c>
      <c r="F37" s="493">
        <f>$C$26</f>
        <v>106680.25451122319</v>
      </c>
      <c r="G37" s="503">
        <f>$E$26</f>
        <v>5654</v>
      </c>
      <c r="H37" s="493">
        <f>$F$26</f>
        <v>1311.1935315694413</v>
      </c>
      <c r="I37" s="503">
        <f>$H$26</f>
        <v>4036</v>
      </c>
      <c r="J37" s="493">
        <f>$I$26</f>
        <v>916</v>
      </c>
      <c r="K37" s="830">
        <f>$J$26</f>
        <v>146587.81253329062</v>
      </c>
      <c r="L37" s="493">
        <f>$L$26</f>
        <v>89</v>
      </c>
      <c r="M37" s="503"/>
      <c r="N37" s="465">
        <f t="shared" si="6"/>
        <v>205</v>
      </c>
    </row>
    <row r="38" spans="1:15">
      <c r="A38" s="465">
        <f t="shared" si="7"/>
        <v>206</v>
      </c>
      <c r="B38" s="849" t="s">
        <v>1638</v>
      </c>
      <c r="C38" s="497">
        <f t="shared" si="4"/>
        <v>39375245.021736808</v>
      </c>
      <c r="D38" s="492">
        <v>39226100</v>
      </c>
      <c r="E38" s="500">
        <f t="shared" si="5"/>
        <v>149145.02173680768</v>
      </c>
      <c r="F38" s="493">
        <f>$D$26</f>
        <v>83883.034416807684</v>
      </c>
      <c r="G38" s="503">
        <v>0</v>
      </c>
      <c r="H38" s="493">
        <f>$G$26</f>
        <v>1059</v>
      </c>
      <c r="I38" s="503">
        <v>0</v>
      </c>
      <c r="J38" s="493">
        <v>0</v>
      </c>
      <c r="K38" s="503">
        <f>$K$26</f>
        <v>64202.987319999993</v>
      </c>
      <c r="L38" s="493">
        <v>0</v>
      </c>
      <c r="M38" s="503"/>
      <c r="N38" s="465">
        <f t="shared" si="6"/>
        <v>206</v>
      </c>
    </row>
    <row r="39" spans="1:15">
      <c r="A39" s="465">
        <f t="shared" si="7"/>
        <v>207</v>
      </c>
      <c r="B39" s="849" t="s">
        <v>1639</v>
      </c>
      <c r="C39" s="497">
        <f t="shared" si="4"/>
        <v>39375245.021736808</v>
      </c>
      <c r="D39" s="492">
        <v>39226100</v>
      </c>
      <c r="E39" s="500">
        <f t="shared" si="5"/>
        <v>149145.02173680768</v>
      </c>
      <c r="F39" s="493">
        <f>$D$26</f>
        <v>83883.034416807684</v>
      </c>
      <c r="G39" s="503">
        <v>0</v>
      </c>
      <c r="H39" s="493">
        <f>$G$26</f>
        <v>1059</v>
      </c>
      <c r="I39" s="503">
        <v>0</v>
      </c>
      <c r="J39" s="493">
        <v>0</v>
      </c>
      <c r="K39" s="503">
        <f>$K$26</f>
        <v>64202.987319999993</v>
      </c>
      <c r="L39" s="493">
        <v>0</v>
      </c>
      <c r="M39" s="503"/>
      <c r="N39" s="465">
        <f t="shared" si="6"/>
        <v>207</v>
      </c>
    </row>
    <row r="40" spans="1:15">
      <c r="A40" s="465">
        <f t="shared" si="7"/>
        <v>208</v>
      </c>
      <c r="B40" s="849" t="s">
        <v>1640</v>
      </c>
      <c r="C40" s="497">
        <f t="shared" si="4"/>
        <v>39375245.021736808</v>
      </c>
      <c r="D40" s="492">
        <v>39226100</v>
      </c>
      <c r="E40" s="500">
        <f t="shared" si="5"/>
        <v>149145.02173680768</v>
      </c>
      <c r="F40" s="493">
        <f>$D$26</f>
        <v>83883.034416807684</v>
      </c>
      <c r="G40" s="503">
        <v>0</v>
      </c>
      <c r="H40" s="493">
        <f>$G$26</f>
        <v>1059</v>
      </c>
      <c r="I40" s="503">
        <v>0</v>
      </c>
      <c r="J40" s="493">
        <v>0</v>
      </c>
      <c r="K40" s="503">
        <f>$K$26</f>
        <v>64202.987319999993</v>
      </c>
      <c r="L40" s="493">
        <v>0</v>
      </c>
      <c r="M40" s="503"/>
      <c r="N40" s="465">
        <f t="shared" si="6"/>
        <v>208</v>
      </c>
    </row>
    <row r="41" spans="1:15">
      <c r="A41" s="465">
        <f t="shared" si="7"/>
        <v>209</v>
      </c>
      <c r="B41" s="850" t="s">
        <v>1641</v>
      </c>
      <c r="C41" s="498">
        <f t="shared" si="4"/>
        <v>39375245.021736808</v>
      </c>
      <c r="D41" s="494">
        <v>39226100</v>
      </c>
      <c r="E41" s="501">
        <f t="shared" si="5"/>
        <v>149145.02173680768</v>
      </c>
      <c r="F41" s="495">
        <f>$D$26</f>
        <v>83883.034416807684</v>
      </c>
      <c r="G41" s="504">
        <v>0</v>
      </c>
      <c r="H41" s="495">
        <f>$G$26</f>
        <v>1059</v>
      </c>
      <c r="I41" s="504">
        <v>0</v>
      </c>
      <c r="J41" s="495">
        <v>0</v>
      </c>
      <c r="K41" s="504">
        <f>$K$26</f>
        <v>64202.987319999993</v>
      </c>
      <c r="L41" s="495">
        <v>0</v>
      </c>
      <c r="M41" s="504"/>
      <c r="N41" s="465">
        <f t="shared" si="6"/>
        <v>209</v>
      </c>
    </row>
    <row r="42" spans="1:15">
      <c r="O42" s="467"/>
    </row>
    <row r="43" spans="1:15">
      <c r="B43" s="851" t="s">
        <v>1650</v>
      </c>
      <c r="C43" s="163"/>
      <c r="D43" s="163"/>
      <c r="E43" s="163"/>
      <c r="F43" s="163"/>
      <c r="G43" s="163"/>
      <c r="H43" s="163"/>
      <c r="I43" s="163"/>
      <c r="J43" s="163"/>
      <c r="K43" s="163"/>
      <c r="L43" s="163"/>
      <c r="M43" s="163"/>
    </row>
    <row r="44" spans="1:15">
      <c r="B44" s="972" t="s">
        <v>1643</v>
      </c>
      <c r="C44" s="972"/>
      <c r="D44" s="972"/>
      <c r="E44" s="972"/>
      <c r="F44" s="972"/>
      <c r="G44" s="972"/>
      <c r="H44" s="972"/>
      <c r="I44" s="972"/>
      <c r="J44" s="972"/>
      <c r="K44" s="972"/>
      <c r="L44" s="972"/>
      <c r="M44" s="972"/>
    </row>
    <row r="45" spans="1:15">
      <c r="B45" s="972"/>
      <c r="C45" s="972"/>
      <c r="D45" s="972"/>
      <c r="E45" s="972"/>
      <c r="F45" s="972"/>
      <c r="G45" s="972"/>
      <c r="H45" s="972"/>
      <c r="I45" s="972"/>
      <c r="J45" s="972"/>
      <c r="K45" s="972"/>
      <c r="L45" s="972"/>
      <c r="M45" s="972"/>
    </row>
    <row r="46" spans="1:15">
      <c r="B46" s="851" t="s">
        <v>1642</v>
      </c>
      <c r="C46" s="163"/>
      <c r="D46" s="163"/>
      <c r="E46" s="163"/>
      <c r="F46" s="163"/>
      <c r="G46" s="163"/>
      <c r="H46" s="163"/>
      <c r="I46" s="163"/>
      <c r="J46" s="163"/>
      <c r="K46" s="163"/>
      <c r="L46" s="163"/>
      <c r="M46" s="163"/>
    </row>
    <row r="47" spans="1:15">
      <c r="B47" s="828" t="s">
        <v>1450</v>
      </c>
      <c r="C47" s="163"/>
      <c r="D47" s="163"/>
      <c r="E47" s="163"/>
      <c r="F47" s="163"/>
      <c r="G47" s="163"/>
      <c r="H47" s="163"/>
      <c r="I47" s="163"/>
      <c r="J47" s="163"/>
      <c r="K47" s="163"/>
      <c r="L47" s="163"/>
      <c r="M47" s="163"/>
    </row>
    <row r="48" spans="1:15">
      <c r="B48" s="969"/>
      <c r="C48" s="969"/>
      <c r="D48" s="969"/>
      <c r="E48" s="969"/>
      <c r="F48" s="969"/>
      <c r="G48" s="969"/>
      <c r="H48" s="969"/>
      <c r="I48" s="969"/>
      <c r="J48" s="969"/>
      <c r="K48" s="969"/>
      <c r="L48" s="969"/>
      <c r="M48" s="969"/>
    </row>
    <row r="49" spans="2:13">
      <c r="B49" s="969"/>
      <c r="C49" s="969"/>
      <c r="D49" s="969"/>
      <c r="E49" s="969"/>
      <c r="F49" s="969"/>
      <c r="G49" s="969"/>
      <c r="H49" s="969"/>
      <c r="I49" s="969"/>
      <c r="J49" s="969"/>
      <c r="K49" s="969"/>
      <c r="L49" s="969"/>
      <c r="M49" s="969"/>
    </row>
  </sheetData>
  <mergeCells count="7">
    <mergeCell ref="B5:M6"/>
    <mergeCell ref="B7:M8"/>
    <mergeCell ref="B48:M49"/>
    <mergeCell ref="C10:D10"/>
    <mergeCell ref="F10:G10"/>
    <mergeCell ref="J10:K10"/>
    <mergeCell ref="B44:M45"/>
  </mergeCells>
  <phoneticPr fontId="104" type="noConversion"/>
  <printOptions horizontalCentered="1"/>
  <pageMargins left="1" right="1" top="1" bottom="1" header="0.5" footer="0.5"/>
  <pageSetup scale="52" fitToHeight="0" orientation="landscape" r:id="rId1"/>
  <headerFooter>
    <oddHeader>&amp;C&amp;"-,Bold"&amp;12Pacific Gas and Electric Company
Formula Rate Model
Schedule 8-DemandForAllocation</oddHeader>
    <oddFooter>&amp;C&amp;1#&amp;"Calibri"&amp;12&amp;K000000Internal</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8B042-7DCF-4CE4-AB19-6AB19413777E}">
  <sheetPr codeName="Sheet15">
    <pageSetUpPr fitToPage="1"/>
  </sheetPr>
  <dimension ref="A1:O116"/>
  <sheetViews>
    <sheetView view="pageBreakPreview" topLeftCell="A15" zoomScaleNormal="100" zoomScaleSheetLayoutView="100" workbookViewId="0">
      <selection activeCell="G13" sqref="G13"/>
    </sheetView>
  </sheetViews>
  <sheetFormatPr defaultRowHeight="15"/>
  <cols>
    <col min="1" max="1" width="4.7109375" style="469" bestFit="1" customWidth="1"/>
    <col min="2" max="2" width="25" bestFit="1" customWidth="1"/>
    <col min="3" max="3" width="15.140625" bestFit="1" customWidth="1"/>
    <col min="4" max="4" width="14.5703125" bestFit="1" customWidth="1"/>
    <col min="5" max="5" width="13.5703125" bestFit="1" customWidth="1"/>
    <col min="6" max="6" width="18.140625" bestFit="1" customWidth="1"/>
    <col min="7" max="7" width="12.28515625" bestFit="1" customWidth="1"/>
    <col min="8" max="8" width="13.5703125" bestFit="1" customWidth="1"/>
    <col min="9" max="9" width="10.7109375" bestFit="1" customWidth="1"/>
    <col min="11" max="11" width="4.7109375" style="469" bestFit="1" customWidth="1"/>
    <col min="12" max="12" width="11.5703125" bestFit="1" customWidth="1"/>
  </cols>
  <sheetData>
    <row r="1" spans="1:15">
      <c r="B1" s="2" t="s">
        <v>891</v>
      </c>
      <c r="C1" s="2"/>
      <c r="D1" s="2"/>
      <c r="E1" s="45"/>
      <c r="J1" s="8" t="str">
        <f>CONCATENATE("Prior Year: ",'1-DRR'!$K$2)</f>
        <v>Prior Year: 2021</v>
      </c>
    </row>
    <row r="2" spans="1:15">
      <c r="B2" s="54" t="s">
        <v>122</v>
      </c>
      <c r="C2" s="7"/>
      <c r="D2" s="7"/>
      <c r="E2" s="45"/>
    </row>
    <row r="4" spans="1:15">
      <c r="B4" s="60" t="s">
        <v>920</v>
      </c>
      <c r="C4" s="60"/>
      <c r="D4" s="60"/>
      <c r="E4" s="60"/>
      <c r="F4" s="60"/>
      <c r="G4" s="60"/>
      <c r="H4" s="60"/>
      <c r="I4" s="60"/>
      <c r="J4" s="60"/>
    </row>
    <row r="5" spans="1:15">
      <c r="A5" s="723"/>
      <c r="B5" s="23" t="s">
        <v>1449</v>
      </c>
      <c r="C5" s="23"/>
      <c r="D5" s="23"/>
      <c r="E5" s="23"/>
      <c r="F5" s="23"/>
      <c r="G5" s="23"/>
      <c r="H5" s="23"/>
      <c r="I5" s="23"/>
      <c r="J5" s="23"/>
      <c r="K5" s="723"/>
    </row>
    <row r="6" spans="1:15" s="163" customFormat="1" ht="15" customHeight="1">
      <c r="B6" s="968" t="s">
        <v>1630</v>
      </c>
      <c r="C6" s="968"/>
      <c r="D6" s="968"/>
      <c r="E6" s="968"/>
      <c r="F6" s="968"/>
      <c r="G6" s="968"/>
      <c r="H6" s="968"/>
      <c r="I6" s="968"/>
      <c r="J6" s="968"/>
      <c r="K6" s="814"/>
      <c r="L6" s="814"/>
      <c r="M6" s="814"/>
      <c r="O6" s="741"/>
    </row>
    <row r="7" spans="1:15" s="163" customFormat="1" ht="15" customHeight="1">
      <c r="B7" s="968"/>
      <c r="C7" s="968"/>
      <c r="D7" s="968"/>
      <c r="E7" s="968"/>
      <c r="F7" s="968"/>
      <c r="G7" s="968"/>
      <c r="H7" s="968"/>
      <c r="I7" s="968"/>
      <c r="J7" s="968"/>
      <c r="K7" s="814"/>
      <c r="L7" s="814"/>
      <c r="M7" s="814"/>
      <c r="O7" s="741"/>
    </row>
    <row r="8" spans="1:15" s="163" customFormat="1">
      <c r="B8" s="968"/>
      <c r="C8" s="968"/>
      <c r="D8" s="968"/>
      <c r="E8" s="968"/>
      <c r="F8" s="968"/>
      <c r="G8" s="968"/>
      <c r="H8" s="968"/>
      <c r="I8" s="968"/>
      <c r="J8" s="968"/>
      <c r="K8" s="814"/>
      <c r="L8" s="814"/>
      <c r="M8" s="814"/>
      <c r="O8" s="741"/>
    </row>
    <row r="9" spans="1:15" s="163" customFormat="1" ht="15" customHeight="1">
      <c r="B9" s="968" t="s">
        <v>1631</v>
      </c>
      <c r="C9" s="968"/>
      <c r="D9" s="968"/>
      <c r="E9" s="968"/>
      <c r="F9" s="968"/>
      <c r="G9" s="968"/>
      <c r="H9" s="968"/>
      <c r="I9" s="968"/>
      <c r="J9" s="968"/>
      <c r="K9" s="814"/>
      <c r="L9" s="814"/>
      <c r="M9" s="814"/>
      <c r="O9" s="741"/>
    </row>
    <row r="10" spans="1:15" s="163" customFormat="1">
      <c r="B10" s="968"/>
      <c r="C10" s="968"/>
      <c r="D10" s="968"/>
      <c r="E10" s="968"/>
      <c r="F10" s="968"/>
      <c r="G10" s="968"/>
      <c r="H10" s="968"/>
      <c r="I10" s="968"/>
      <c r="J10" s="968"/>
      <c r="K10" s="814"/>
      <c r="L10" s="814"/>
      <c r="M10" s="814"/>
      <c r="O10" s="741"/>
    </row>
    <row r="11" spans="1:15" s="732" customFormat="1">
      <c r="A11" s="798"/>
      <c r="B11" s="846"/>
      <c r="C11" s="846"/>
      <c r="D11" s="846"/>
      <c r="E11" s="846"/>
      <c r="F11" s="846"/>
      <c r="G11" s="846"/>
      <c r="H11" s="846"/>
      <c r="I11" s="846"/>
      <c r="J11" s="846"/>
      <c r="K11" s="798"/>
    </row>
    <row r="12" spans="1:15" s="163" customFormat="1">
      <c r="A12" s="11"/>
      <c r="B12" s="168" t="s">
        <v>1506</v>
      </c>
      <c r="C12" s="319"/>
      <c r="D12" s="319"/>
      <c r="E12" s="319"/>
      <c r="F12" s="319"/>
      <c r="G12" s="319"/>
      <c r="H12" s="319"/>
      <c r="I12" s="319"/>
      <c r="J12" s="319"/>
      <c r="K12" s="11"/>
    </row>
    <row r="13" spans="1:15" ht="30">
      <c r="A13" s="3" t="s">
        <v>86</v>
      </c>
      <c r="B13" s="582" t="s">
        <v>58</v>
      </c>
      <c r="C13" s="936" t="s">
        <v>1680</v>
      </c>
      <c r="D13" s="936" t="s">
        <v>1674</v>
      </c>
      <c r="E13" s="936" t="s">
        <v>1675</v>
      </c>
      <c r="F13" s="936" t="s">
        <v>1676</v>
      </c>
      <c r="G13" s="936" t="s">
        <v>1682</v>
      </c>
      <c r="H13" s="936" t="s">
        <v>1678</v>
      </c>
      <c r="I13" s="936" t="s">
        <v>1679</v>
      </c>
      <c r="J13" s="935" t="s">
        <v>370</v>
      </c>
      <c r="K13" s="3" t="s">
        <v>86</v>
      </c>
    </row>
    <row r="14" spans="1:15">
      <c r="A14" s="469">
        <v>100</v>
      </c>
      <c r="B14" s="343" t="s">
        <v>76</v>
      </c>
      <c r="C14" s="527">
        <v>5822</v>
      </c>
      <c r="D14" s="527">
        <v>62309.84</v>
      </c>
      <c r="E14" s="528">
        <v>207</v>
      </c>
      <c r="F14" s="529">
        <v>2308</v>
      </c>
      <c r="G14" s="530">
        <v>916</v>
      </c>
      <c r="H14" s="527">
        <v>80207.516000000003</v>
      </c>
      <c r="I14" s="527">
        <v>72</v>
      </c>
      <c r="J14" s="527"/>
      <c r="K14" s="11">
        <f>A14</f>
        <v>100</v>
      </c>
      <c r="M14" s="163"/>
    </row>
    <row r="15" spans="1:15">
      <c r="A15" s="469">
        <f>A14+1</f>
        <v>101</v>
      </c>
      <c r="B15" s="341" t="s">
        <v>77</v>
      </c>
      <c r="C15" s="527">
        <v>5628</v>
      </c>
      <c r="D15" s="527">
        <v>62532.88</v>
      </c>
      <c r="E15" s="531">
        <v>193</v>
      </c>
      <c r="F15" s="529">
        <v>2909</v>
      </c>
      <c r="G15" s="532">
        <v>894</v>
      </c>
      <c r="H15" s="527">
        <v>104398.788</v>
      </c>
      <c r="I15" s="527">
        <v>69</v>
      </c>
      <c r="J15" s="527"/>
      <c r="K15" s="11">
        <f t="shared" ref="K15:K25" si="0">A15</f>
        <v>101</v>
      </c>
      <c r="M15" s="163"/>
    </row>
    <row r="16" spans="1:15">
      <c r="A16" s="469">
        <f t="shared" ref="A16:A26" si="1">A15+1</f>
        <v>102</v>
      </c>
      <c r="B16" s="341" t="s">
        <v>78</v>
      </c>
      <c r="C16" s="527">
        <v>5790</v>
      </c>
      <c r="D16" s="527">
        <v>64398.92</v>
      </c>
      <c r="E16" s="531">
        <v>314</v>
      </c>
      <c r="F16" s="529">
        <v>2430</v>
      </c>
      <c r="G16" s="532">
        <v>882</v>
      </c>
      <c r="H16" s="527">
        <v>111335.45999999999</v>
      </c>
      <c r="I16" s="527">
        <v>74</v>
      </c>
      <c r="J16" s="527"/>
      <c r="K16" s="11">
        <f t="shared" si="0"/>
        <v>102</v>
      </c>
      <c r="M16" s="163"/>
    </row>
    <row r="17" spans="1:13">
      <c r="A17" s="469">
        <f t="shared" si="1"/>
        <v>103</v>
      </c>
      <c r="B17" s="341" t="s">
        <v>79</v>
      </c>
      <c r="C17" s="527">
        <v>5748</v>
      </c>
      <c r="D17" s="527">
        <v>60724.959999999999</v>
      </c>
      <c r="E17" s="531">
        <v>359</v>
      </c>
      <c r="F17" s="529">
        <v>2990</v>
      </c>
      <c r="G17" s="532">
        <v>790</v>
      </c>
      <c r="H17" s="527">
        <v>132506.636</v>
      </c>
      <c r="I17" s="527">
        <v>55</v>
      </c>
      <c r="J17" s="527"/>
      <c r="K17" s="11">
        <f t="shared" si="0"/>
        <v>103</v>
      </c>
      <c r="M17" s="163"/>
    </row>
    <row r="18" spans="1:13">
      <c r="A18" s="469">
        <f t="shared" si="1"/>
        <v>104</v>
      </c>
      <c r="B18" s="341" t="s">
        <v>61</v>
      </c>
      <c r="C18" s="527">
        <v>5760</v>
      </c>
      <c r="D18" s="527">
        <v>62478.76</v>
      </c>
      <c r="E18" s="531">
        <v>440</v>
      </c>
      <c r="F18" s="529">
        <v>3770</v>
      </c>
      <c r="G18" s="532">
        <v>758</v>
      </c>
      <c r="H18" s="527">
        <v>143853.03599999999</v>
      </c>
      <c r="I18" s="527">
        <v>73</v>
      </c>
      <c r="J18" s="527"/>
      <c r="K18" s="11">
        <f t="shared" si="0"/>
        <v>104</v>
      </c>
      <c r="M18" s="163"/>
    </row>
    <row r="19" spans="1:13">
      <c r="A19" s="469">
        <f t="shared" si="1"/>
        <v>105</v>
      </c>
      <c r="B19" s="341" t="s">
        <v>146</v>
      </c>
      <c r="C19" s="527">
        <v>5700</v>
      </c>
      <c r="D19" s="527">
        <v>64663.72</v>
      </c>
      <c r="E19" s="531">
        <v>502</v>
      </c>
      <c r="F19" s="529">
        <v>4641</v>
      </c>
      <c r="G19" s="532">
        <v>687</v>
      </c>
      <c r="H19" s="527">
        <v>153662.32399999999</v>
      </c>
      <c r="I19" s="527">
        <v>57</v>
      </c>
      <c r="J19" s="527"/>
      <c r="K19" s="11">
        <f t="shared" si="0"/>
        <v>105</v>
      </c>
      <c r="M19" s="163"/>
    </row>
    <row r="20" spans="1:13">
      <c r="A20" s="469">
        <f t="shared" si="1"/>
        <v>106</v>
      </c>
      <c r="B20" s="341" t="s">
        <v>81</v>
      </c>
      <c r="C20" s="527">
        <v>5645</v>
      </c>
      <c r="D20" s="527">
        <v>61040.415999999997</v>
      </c>
      <c r="E20" s="531">
        <v>442</v>
      </c>
      <c r="F20" s="529">
        <v>4361</v>
      </c>
      <c r="G20" s="532">
        <v>730</v>
      </c>
      <c r="H20" s="527">
        <v>150448.62000000002</v>
      </c>
      <c r="I20" s="527">
        <v>62</v>
      </c>
      <c r="J20" s="527"/>
      <c r="K20" s="11">
        <f t="shared" si="0"/>
        <v>106</v>
      </c>
      <c r="M20" s="163"/>
    </row>
    <row r="21" spans="1:13">
      <c r="A21" s="469">
        <f t="shared" si="1"/>
        <v>107</v>
      </c>
      <c r="B21" s="341" t="s">
        <v>82</v>
      </c>
      <c r="C21" s="527">
        <v>5991</v>
      </c>
      <c r="D21" s="527">
        <v>64241.887999999999</v>
      </c>
      <c r="E21" s="531">
        <v>402</v>
      </c>
      <c r="F21" s="529">
        <v>4647</v>
      </c>
      <c r="G21" s="532">
        <v>676</v>
      </c>
      <c r="H21" s="527">
        <v>140035.86399999997</v>
      </c>
      <c r="I21" s="527">
        <v>65</v>
      </c>
      <c r="J21" s="527"/>
      <c r="K21" s="11">
        <f t="shared" si="0"/>
        <v>107</v>
      </c>
      <c r="M21" s="163"/>
    </row>
    <row r="22" spans="1:13">
      <c r="A22" s="469">
        <f t="shared" si="1"/>
        <v>108</v>
      </c>
      <c r="B22" s="341" t="s">
        <v>83</v>
      </c>
      <c r="C22" s="527">
        <v>5840</v>
      </c>
      <c r="D22" s="527">
        <v>65910.915999999997</v>
      </c>
      <c r="E22" s="531">
        <v>293</v>
      </c>
      <c r="F22" s="529">
        <v>3321</v>
      </c>
      <c r="G22" s="532">
        <v>702</v>
      </c>
      <c r="H22" s="527">
        <v>126946.36799999997</v>
      </c>
      <c r="I22" s="527">
        <v>51</v>
      </c>
      <c r="J22" s="527"/>
      <c r="K22" s="11">
        <f t="shared" si="0"/>
        <v>108</v>
      </c>
      <c r="M22" s="163"/>
    </row>
    <row r="23" spans="1:13">
      <c r="A23" s="469">
        <f t="shared" si="1"/>
        <v>109</v>
      </c>
      <c r="B23" s="341" t="s">
        <v>84</v>
      </c>
      <c r="C23" s="527">
        <v>5856</v>
      </c>
      <c r="D23" s="527">
        <v>79349.547999999995</v>
      </c>
      <c r="E23" s="531">
        <v>245</v>
      </c>
      <c r="F23" s="529">
        <v>3332</v>
      </c>
      <c r="G23" s="532">
        <v>675</v>
      </c>
      <c r="H23" s="527">
        <v>120593.284</v>
      </c>
      <c r="I23" s="527">
        <v>54</v>
      </c>
      <c r="J23" s="527"/>
      <c r="K23" s="11">
        <f t="shared" si="0"/>
        <v>109</v>
      </c>
      <c r="M23" s="163"/>
    </row>
    <row r="24" spans="1:13">
      <c r="A24" s="469">
        <f t="shared" si="1"/>
        <v>110</v>
      </c>
      <c r="B24" s="341" t="s">
        <v>85</v>
      </c>
      <c r="C24" s="527">
        <v>6679</v>
      </c>
      <c r="D24" s="527">
        <v>77047.164000000004</v>
      </c>
      <c r="E24" s="531">
        <v>165</v>
      </c>
      <c r="F24" s="529">
        <v>2631</v>
      </c>
      <c r="G24" s="532">
        <v>766</v>
      </c>
      <c r="H24" s="527">
        <v>70501.592000000004</v>
      </c>
      <c r="I24" s="527">
        <v>65</v>
      </c>
      <c r="J24" s="527"/>
      <c r="K24" s="11">
        <f t="shared" si="0"/>
        <v>110</v>
      </c>
      <c r="M24" s="163"/>
    </row>
    <row r="25" spans="1:13">
      <c r="A25" s="469">
        <f t="shared" si="1"/>
        <v>111</v>
      </c>
      <c r="B25" s="341" t="s">
        <v>75</v>
      </c>
      <c r="C25" s="533">
        <v>6211</v>
      </c>
      <c r="D25" s="533">
        <v>79285.16</v>
      </c>
      <c r="E25" s="534">
        <v>0</v>
      </c>
      <c r="F25" s="529">
        <v>2301</v>
      </c>
      <c r="G25" s="535">
        <v>811</v>
      </c>
      <c r="H25" s="533">
        <v>65347.640000000007</v>
      </c>
      <c r="I25" s="533">
        <v>89</v>
      </c>
      <c r="J25" s="533"/>
      <c r="K25" s="11">
        <f t="shared" si="0"/>
        <v>111</v>
      </c>
      <c r="M25" s="163"/>
    </row>
    <row r="26" spans="1:13">
      <c r="A26" s="469">
        <f t="shared" si="1"/>
        <v>112</v>
      </c>
      <c r="B26" s="476" t="s">
        <v>196</v>
      </c>
      <c r="C26" s="536">
        <f>SUM(C14:C25)</f>
        <v>70670</v>
      </c>
      <c r="D26" s="536">
        <f>SUM(D14:D25)</f>
        <v>803984.1719999999</v>
      </c>
      <c r="E26" s="536">
        <f t="shared" ref="E26:J26" si="2">SUM(E14:E25)</f>
        <v>3562</v>
      </c>
      <c r="F26" s="536">
        <f t="shared" si="2"/>
        <v>39641</v>
      </c>
      <c r="G26" s="536">
        <f t="shared" si="2"/>
        <v>9287</v>
      </c>
      <c r="H26" s="536">
        <f t="shared" si="2"/>
        <v>1399837.1279999998</v>
      </c>
      <c r="I26" s="536">
        <f t="shared" si="2"/>
        <v>786</v>
      </c>
      <c r="J26" s="536">
        <f t="shared" si="2"/>
        <v>0</v>
      </c>
      <c r="K26" s="11">
        <f>A26</f>
        <v>112</v>
      </c>
      <c r="M26" s="163"/>
    </row>
    <row r="27" spans="1:13">
      <c r="A27" s="723"/>
      <c r="B27" s="729"/>
      <c r="C27" s="730"/>
      <c r="D27" s="730"/>
      <c r="E27" s="730"/>
      <c r="F27" s="730"/>
      <c r="G27" s="730"/>
      <c r="H27" s="730"/>
      <c r="I27" s="730"/>
      <c r="J27" s="730"/>
      <c r="K27" s="723"/>
      <c r="M27" s="163"/>
    </row>
    <row r="28" spans="1:13" s="805" customFormat="1">
      <c r="A28" s="804"/>
      <c r="B28" s="852" t="s">
        <v>1582</v>
      </c>
      <c r="K28" s="804"/>
    </row>
    <row r="29" spans="1:13" s="806" customFormat="1" ht="30">
      <c r="A29" s="853" t="s">
        <v>86</v>
      </c>
      <c r="B29" s="854" t="s">
        <v>58</v>
      </c>
      <c r="C29" s="869" t="str">
        <f>C13</f>
        <v>Port Of Oakland
(SA No. 3)</v>
      </c>
      <c r="D29" s="869" t="str">
        <f t="shared" ref="D29:J29" si="3">D13</f>
        <v>CCSF
(SA No. 275)</v>
      </c>
      <c r="E29" s="869" t="str">
        <f t="shared" si="3"/>
        <v>PWRPA 1 
(SA No. 30)</v>
      </c>
      <c r="F29" s="869" t="str">
        <f t="shared" si="3"/>
        <v>PWRPA 2
(SA No. 56)</v>
      </c>
      <c r="G29" s="869" t="str">
        <f t="shared" si="3"/>
        <v>Shelter Cove
(SA No. 382)</v>
      </c>
      <c r="H29" s="869" t="str">
        <f t="shared" si="3"/>
        <v>WAPA
(SA No. 17)</v>
      </c>
      <c r="I29" s="869" t="str">
        <f t="shared" si="3"/>
        <v>Westside
(SA No. 15)</v>
      </c>
      <c r="J29" s="869" t="str">
        <f t="shared" si="3"/>
        <v>…</v>
      </c>
      <c r="K29" s="853" t="s">
        <v>86</v>
      </c>
    </row>
    <row r="30" spans="1:13" s="806" customFormat="1">
      <c r="A30" s="855">
        <f>A26+1</f>
        <v>113</v>
      </c>
      <c r="B30" s="856" t="s">
        <v>76</v>
      </c>
      <c r="C30" s="857">
        <v>5314</v>
      </c>
      <c r="D30" s="857">
        <v>42571.24</v>
      </c>
      <c r="E30" s="858">
        <v>207</v>
      </c>
      <c r="F30" s="859">
        <v>1997</v>
      </c>
      <c r="G30" s="860">
        <v>916</v>
      </c>
      <c r="H30" s="857">
        <v>47242.411999999997</v>
      </c>
      <c r="I30" s="857">
        <v>72</v>
      </c>
      <c r="J30" s="857"/>
      <c r="K30" s="855">
        <f>A30</f>
        <v>113</v>
      </c>
      <c r="L30" s="950"/>
    </row>
    <row r="31" spans="1:13" s="806" customFormat="1">
      <c r="A31" s="855">
        <f>A30+1</f>
        <v>114</v>
      </c>
      <c r="B31" s="861" t="s">
        <v>77</v>
      </c>
      <c r="C31" s="857">
        <v>5159</v>
      </c>
      <c r="D31" s="857">
        <v>41975.76</v>
      </c>
      <c r="E31" s="857">
        <v>193</v>
      </c>
      <c r="F31" s="859">
        <v>2254</v>
      </c>
      <c r="G31" s="862">
        <v>894</v>
      </c>
      <c r="H31" s="857">
        <v>63427.756000000001</v>
      </c>
      <c r="I31" s="857">
        <v>69</v>
      </c>
      <c r="J31" s="857"/>
      <c r="K31" s="855">
        <f t="shared" ref="K31:K41" si="4">A31</f>
        <v>114</v>
      </c>
      <c r="L31" s="950"/>
    </row>
    <row r="32" spans="1:13" s="806" customFormat="1">
      <c r="A32" s="855">
        <f t="shared" ref="A32:A42" si="5">A31+1</f>
        <v>115</v>
      </c>
      <c r="B32" s="861" t="s">
        <v>78</v>
      </c>
      <c r="C32" s="857">
        <v>5269</v>
      </c>
      <c r="D32" s="857">
        <v>42165.120000000003</v>
      </c>
      <c r="E32" s="857">
        <v>314</v>
      </c>
      <c r="F32" s="859">
        <v>2238</v>
      </c>
      <c r="G32" s="862">
        <v>882</v>
      </c>
      <c r="H32" s="857">
        <v>73038.267999999996</v>
      </c>
      <c r="I32" s="857">
        <v>74</v>
      </c>
      <c r="J32" s="857"/>
      <c r="K32" s="855">
        <f t="shared" si="4"/>
        <v>115</v>
      </c>
      <c r="L32" s="950"/>
    </row>
    <row r="33" spans="1:12" s="806" customFormat="1">
      <c r="A33" s="855">
        <f t="shared" si="5"/>
        <v>116</v>
      </c>
      <c r="B33" s="861" t="s">
        <v>79</v>
      </c>
      <c r="C33" s="857">
        <v>5166</v>
      </c>
      <c r="D33" s="857">
        <v>43456.479999999996</v>
      </c>
      <c r="E33" s="857">
        <v>359</v>
      </c>
      <c r="F33" s="859">
        <v>2828</v>
      </c>
      <c r="G33" s="862">
        <v>790</v>
      </c>
      <c r="H33" s="857">
        <v>87714.82</v>
      </c>
      <c r="I33" s="857">
        <v>55</v>
      </c>
      <c r="J33" s="857"/>
      <c r="K33" s="855">
        <f t="shared" si="4"/>
        <v>116</v>
      </c>
      <c r="L33" s="950"/>
    </row>
    <row r="34" spans="1:12" s="806" customFormat="1">
      <c r="A34" s="855">
        <f t="shared" si="5"/>
        <v>117</v>
      </c>
      <c r="B34" s="861" t="s">
        <v>61</v>
      </c>
      <c r="C34" s="857">
        <v>5138</v>
      </c>
      <c r="D34" s="857">
        <v>47380.88</v>
      </c>
      <c r="E34" s="857">
        <v>440</v>
      </c>
      <c r="F34" s="859">
        <v>3415</v>
      </c>
      <c r="G34" s="862">
        <v>758</v>
      </c>
      <c r="H34" s="857">
        <v>97499.308000000005</v>
      </c>
      <c r="I34" s="857">
        <v>73</v>
      </c>
      <c r="J34" s="857"/>
      <c r="K34" s="855">
        <f t="shared" si="4"/>
        <v>117</v>
      </c>
      <c r="L34" s="950"/>
    </row>
    <row r="35" spans="1:12" s="806" customFormat="1">
      <c r="A35" s="855">
        <f t="shared" si="5"/>
        <v>118</v>
      </c>
      <c r="B35" s="861" t="s">
        <v>146</v>
      </c>
      <c r="C35" s="857">
        <v>5381</v>
      </c>
      <c r="D35" s="857">
        <v>45128.56</v>
      </c>
      <c r="E35" s="857">
        <v>502</v>
      </c>
      <c r="F35" s="859">
        <v>3869</v>
      </c>
      <c r="G35" s="862">
        <v>687</v>
      </c>
      <c r="H35" s="857">
        <v>99709.739999999991</v>
      </c>
      <c r="I35" s="857">
        <v>57</v>
      </c>
      <c r="J35" s="857"/>
      <c r="K35" s="855">
        <f t="shared" si="4"/>
        <v>118</v>
      </c>
      <c r="L35" s="950"/>
    </row>
    <row r="36" spans="1:12" s="806" customFormat="1">
      <c r="A36" s="855">
        <f t="shared" si="5"/>
        <v>119</v>
      </c>
      <c r="B36" s="861" t="s">
        <v>81</v>
      </c>
      <c r="C36" s="857">
        <v>5278</v>
      </c>
      <c r="D36" s="857">
        <v>42742.267999999996</v>
      </c>
      <c r="E36" s="857">
        <v>442</v>
      </c>
      <c r="F36" s="859">
        <v>4036</v>
      </c>
      <c r="G36" s="862">
        <v>730</v>
      </c>
      <c r="H36" s="857">
        <v>97940.528000000006</v>
      </c>
      <c r="I36" s="857">
        <v>62</v>
      </c>
      <c r="J36" s="857"/>
      <c r="K36" s="855">
        <f t="shared" si="4"/>
        <v>119</v>
      </c>
      <c r="L36" s="950"/>
    </row>
    <row r="37" spans="1:12" s="806" customFormat="1">
      <c r="A37" s="855">
        <f t="shared" si="5"/>
        <v>120</v>
      </c>
      <c r="B37" s="861" t="s">
        <v>82</v>
      </c>
      <c r="C37" s="857">
        <v>5444</v>
      </c>
      <c r="D37" s="857">
        <v>46471.644</v>
      </c>
      <c r="E37" s="857">
        <v>402</v>
      </c>
      <c r="F37" s="859">
        <v>4034</v>
      </c>
      <c r="G37" s="862">
        <v>676</v>
      </c>
      <c r="H37" s="857">
        <v>89286.62</v>
      </c>
      <c r="I37" s="857">
        <v>65</v>
      </c>
      <c r="J37" s="857"/>
      <c r="K37" s="855">
        <f t="shared" si="4"/>
        <v>120</v>
      </c>
      <c r="L37" s="950"/>
    </row>
    <row r="38" spans="1:12" s="806" customFormat="1">
      <c r="A38" s="855">
        <f t="shared" si="5"/>
        <v>121</v>
      </c>
      <c r="B38" s="861" t="s">
        <v>83</v>
      </c>
      <c r="C38" s="857">
        <v>5589</v>
      </c>
      <c r="D38" s="857">
        <v>46914.191999999995</v>
      </c>
      <c r="E38" s="857">
        <v>293</v>
      </c>
      <c r="F38" s="859">
        <v>3141</v>
      </c>
      <c r="G38" s="862">
        <v>702</v>
      </c>
      <c r="H38" s="857">
        <v>74294.035999999993</v>
      </c>
      <c r="I38" s="857">
        <v>51</v>
      </c>
      <c r="J38" s="857"/>
      <c r="K38" s="855">
        <f t="shared" si="4"/>
        <v>121</v>
      </c>
      <c r="L38" s="950"/>
    </row>
    <row r="39" spans="1:12" s="806" customFormat="1">
      <c r="A39" s="855">
        <f t="shared" si="5"/>
        <v>122</v>
      </c>
      <c r="B39" s="861" t="s">
        <v>84</v>
      </c>
      <c r="C39" s="857">
        <v>5525</v>
      </c>
      <c r="D39" s="857">
        <v>66747.600000000006</v>
      </c>
      <c r="E39" s="857">
        <v>245</v>
      </c>
      <c r="F39" s="859">
        <v>2957</v>
      </c>
      <c r="G39" s="862">
        <v>675</v>
      </c>
      <c r="H39" s="857">
        <v>69307.08</v>
      </c>
      <c r="I39" s="857">
        <v>54</v>
      </c>
      <c r="J39" s="857"/>
      <c r="K39" s="855">
        <f t="shared" si="4"/>
        <v>122</v>
      </c>
      <c r="L39" s="950"/>
    </row>
    <row r="40" spans="1:12" s="806" customFormat="1">
      <c r="A40" s="855">
        <f t="shared" si="5"/>
        <v>123</v>
      </c>
      <c r="B40" s="861" t="s">
        <v>85</v>
      </c>
      <c r="C40" s="857">
        <v>5198</v>
      </c>
      <c r="D40" s="857">
        <v>55475.452000000005</v>
      </c>
      <c r="E40" s="857">
        <v>165</v>
      </c>
      <c r="F40" s="859">
        <v>1921</v>
      </c>
      <c r="G40" s="862">
        <v>766</v>
      </c>
      <c r="H40" s="857">
        <v>36712.547999999995</v>
      </c>
      <c r="I40" s="857">
        <v>65</v>
      </c>
      <c r="J40" s="857"/>
      <c r="K40" s="855">
        <f t="shared" si="4"/>
        <v>123</v>
      </c>
      <c r="L40" s="950"/>
    </row>
    <row r="41" spans="1:12" s="806" customFormat="1">
      <c r="A41" s="855">
        <f t="shared" si="5"/>
        <v>124</v>
      </c>
      <c r="B41" s="861" t="s">
        <v>75</v>
      </c>
      <c r="C41" s="863">
        <v>5654</v>
      </c>
      <c r="D41" s="863">
        <v>56589.207999999999</v>
      </c>
      <c r="E41" s="863">
        <v>0</v>
      </c>
      <c r="F41" s="859">
        <v>1827</v>
      </c>
      <c r="G41" s="864">
        <v>811</v>
      </c>
      <c r="H41" s="863">
        <v>28010.624</v>
      </c>
      <c r="I41" s="863">
        <v>89</v>
      </c>
      <c r="J41" s="863"/>
      <c r="K41" s="855">
        <f t="shared" si="4"/>
        <v>124</v>
      </c>
      <c r="L41" s="950"/>
    </row>
    <row r="42" spans="1:12" s="806" customFormat="1">
      <c r="A42" s="855">
        <f t="shared" si="5"/>
        <v>125</v>
      </c>
      <c r="B42" s="865" t="s">
        <v>196</v>
      </c>
      <c r="C42" s="866">
        <f>SUM(C30:C41)</f>
        <v>64115</v>
      </c>
      <c r="D42" s="866">
        <f>SUM(D30:D41)</f>
        <v>577618.40399999998</v>
      </c>
      <c r="E42" s="866">
        <f t="shared" ref="E42:J42" si="6">SUM(E30:E41)</f>
        <v>3562</v>
      </c>
      <c r="F42" s="866">
        <f t="shared" si="6"/>
        <v>34517</v>
      </c>
      <c r="G42" s="866">
        <f t="shared" si="6"/>
        <v>9287</v>
      </c>
      <c r="H42" s="866">
        <f t="shared" si="6"/>
        <v>864183.73999999987</v>
      </c>
      <c r="I42" s="866">
        <f t="shared" si="6"/>
        <v>786</v>
      </c>
      <c r="J42" s="866">
        <f t="shared" si="6"/>
        <v>0</v>
      </c>
      <c r="K42" s="855">
        <f>A42</f>
        <v>125</v>
      </c>
    </row>
    <row r="43" spans="1:12" s="779" customFormat="1">
      <c r="A43" s="778"/>
      <c r="B43" s="780"/>
      <c r="C43" s="781"/>
      <c r="D43" s="781"/>
      <c r="E43" s="781"/>
      <c r="F43" s="781"/>
      <c r="G43" s="781"/>
      <c r="H43" s="781"/>
      <c r="I43" s="781"/>
      <c r="J43" s="781"/>
      <c r="K43" s="778"/>
    </row>
    <row r="44" spans="1:12" s="163" customFormat="1">
      <c r="A44" s="11"/>
      <c r="B44" s="60" t="s">
        <v>1654</v>
      </c>
      <c r="C44" s="60"/>
      <c r="D44" s="60"/>
      <c r="E44" s="60"/>
      <c r="F44" s="60"/>
      <c r="G44" s="60"/>
      <c r="H44" s="60"/>
      <c r="I44" s="60"/>
      <c r="J44" s="60"/>
      <c r="K44" s="11"/>
    </row>
    <row r="45" spans="1:12" s="163" customFormat="1">
      <c r="A45" s="11"/>
      <c r="B45" s="23" t="s">
        <v>1449</v>
      </c>
      <c r="K45" s="11"/>
    </row>
    <row r="46" spans="1:12" s="163" customFormat="1">
      <c r="A46" s="11"/>
      <c r="B46" s="23"/>
      <c r="K46" s="11"/>
    </row>
    <row r="47" spans="1:12" s="163" customFormat="1" ht="30">
      <c r="A47" s="10" t="s">
        <v>86</v>
      </c>
      <c r="B47" s="816" t="s">
        <v>58</v>
      </c>
      <c r="C47" s="584" t="str">
        <f>C13</f>
        <v>Port Of Oakland
(SA No. 3)</v>
      </c>
      <c r="D47" s="584" t="str">
        <f t="shared" ref="D47:J47" si="7">D13</f>
        <v>CCSF
(SA No. 275)</v>
      </c>
      <c r="E47" s="584" t="str">
        <f t="shared" si="7"/>
        <v>PWRPA 1 
(SA No. 30)</v>
      </c>
      <c r="F47" s="584" t="str">
        <f t="shared" si="7"/>
        <v>PWRPA 2
(SA No. 56)</v>
      </c>
      <c r="G47" s="584" t="str">
        <f t="shared" si="7"/>
        <v>Shelter Cove
(SA No. 382)</v>
      </c>
      <c r="H47" s="584" t="str">
        <f t="shared" si="7"/>
        <v>WAPA
(SA No. 17)</v>
      </c>
      <c r="I47" s="584" t="str">
        <f t="shared" si="7"/>
        <v>Westside
(SA No. 15)</v>
      </c>
      <c r="J47" s="584" t="str">
        <f t="shared" si="7"/>
        <v>…</v>
      </c>
      <c r="K47" s="10" t="s">
        <v>86</v>
      </c>
    </row>
    <row r="48" spans="1:12" s="163" customFormat="1">
      <c r="A48" s="11">
        <v>200</v>
      </c>
      <c r="B48" s="817" t="s">
        <v>76</v>
      </c>
      <c r="C48" s="537" t="s">
        <v>109</v>
      </c>
      <c r="D48" s="537" t="s">
        <v>109</v>
      </c>
      <c r="E48" s="537" t="s">
        <v>109</v>
      </c>
      <c r="F48" s="537" t="s">
        <v>109</v>
      </c>
      <c r="G48" s="537" t="s">
        <v>109</v>
      </c>
      <c r="H48" s="537" t="s">
        <v>109</v>
      </c>
      <c r="I48" s="537" t="s">
        <v>109</v>
      </c>
      <c r="J48" s="537"/>
      <c r="K48" s="11">
        <f t="shared" ref="K48:K60" si="8">A48</f>
        <v>200</v>
      </c>
    </row>
    <row r="49" spans="1:11" s="163" customFormat="1">
      <c r="A49" s="11">
        <f>A48+1</f>
        <v>201</v>
      </c>
      <c r="B49" s="818" t="s">
        <v>77</v>
      </c>
      <c r="C49" s="537" t="s">
        <v>109</v>
      </c>
      <c r="D49" s="537" t="s">
        <v>109</v>
      </c>
      <c r="E49" s="537" t="s">
        <v>109</v>
      </c>
      <c r="F49" s="537" t="s">
        <v>109</v>
      </c>
      <c r="G49" s="537" t="s">
        <v>109</v>
      </c>
      <c r="H49" s="537" t="s">
        <v>109</v>
      </c>
      <c r="I49" s="537" t="s">
        <v>109</v>
      </c>
      <c r="J49" s="537"/>
      <c r="K49" s="11">
        <f t="shared" si="8"/>
        <v>201</v>
      </c>
    </row>
    <row r="50" spans="1:11" s="163" customFormat="1">
      <c r="A50" s="11">
        <f t="shared" ref="A50:A59" si="9">A49+1</f>
        <v>202</v>
      </c>
      <c r="B50" s="818" t="s">
        <v>78</v>
      </c>
      <c r="C50" s="537" t="s">
        <v>109</v>
      </c>
      <c r="D50" s="537" t="s">
        <v>109</v>
      </c>
      <c r="E50" s="537" t="s">
        <v>109</v>
      </c>
      <c r="F50" s="537" t="s">
        <v>109</v>
      </c>
      <c r="G50" s="537" t="s">
        <v>109</v>
      </c>
      <c r="H50" s="537" t="s">
        <v>109</v>
      </c>
      <c r="I50" s="537" t="s">
        <v>109</v>
      </c>
      <c r="J50" s="537"/>
      <c r="K50" s="11">
        <f t="shared" si="8"/>
        <v>202</v>
      </c>
    </row>
    <row r="51" spans="1:11" s="163" customFormat="1">
      <c r="A51" s="11">
        <f t="shared" si="9"/>
        <v>203</v>
      </c>
      <c r="B51" s="818" t="s">
        <v>79</v>
      </c>
      <c r="C51" s="537" t="s">
        <v>109</v>
      </c>
      <c r="D51" s="537" t="s">
        <v>109</v>
      </c>
      <c r="E51" s="537" t="s">
        <v>109</v>
      </c>
      <c r="F51" s="537" t="s">
        <v>109</v>
      </c>
      <c r="G51" s="537" t="s">
        <v>109</v>
      </c>
      <c r="H51" s="537" t="s">
        <v>109</v>
      </c>
      <c r="I51" s="537" t="s">
        <v>109</v>
      </c>
      <c r="J51" s="537"/>
      <c r="K51" s="11">
        <f t="shared" si="8"/>
        <v>203</v>
      </c>
    </row>
    <row r="52" spans="1:11" s="163" customFormat="1">
      <c r="A52" s="11">
        <f t="shared" si="9"/>
        <v>204</v>
      </c>
      <c r="B52" s="818" t="s">
        <v>61</v>
      </c>
      <c r="C52" s="537" t="s">
        <v>109</v>
      </c>
      <c r="D52" s="537" t="s">
        <v>109</v>
      </c>
      <c r="E52" s="537" t="s">
        <v>109</v>
      </c>
      <c r="F52" s="537" t="s">
        <v>109</v>
      </c>
      <c r="G52" s="537" t="s">
        <v>109</v>
      </c>
      <c r="H52" s="537" t="s">
        <v>109</v>
      </c>
      <c r="I52" s="537" t="s">
        <v>109</v>
      </c>
      <c r="J52" s="537"/>
      <c r="K52" s="11">
        <f t="shared" si="8"/>
        <v>204</v>
      </c>
    </row>
    <row r="53" spans="1:11" s="163" customFormat="1">
      <c r="A53" s="11">
        <f t="shared" si="9"/>
        <v>205</v>
      </c>
      <c r="B53" s="818" t="s">
        <v>146</v>
      </c>
      <c r="C53" s="537">
        <v>34291.25</v>
      </c>
      <c r="D53" s="537">
        <v>869493.94000000006</v>
      </c>
      <c r="E53" s="537">
        <v>5612.7199999999993</v>
      </c>
      <c r="F53" s="537">
        <v>37639.89</v>
      </c>
      <c r="G53" s="537">
        <v>8060.8000000000011</v>
      </c>
      <c r="H53" s="537">
        <v>1010885.31</v>
      </c>
      <c r="I53" s="537">
        <v>917.09999999999991</v>
      </c>
      <c r="J53" s="537"/>
      <c r="K53" s="11">
        <f t="shared" si="8"/>
        <v>205</v>
      </c>
    </row>
    <row r="54" spans="1:11" s="163" customFormat="1">
      <c r="A54" s="11">
        <f t="shared" si="9"/>
        <v>206</v>
      </c>
      <c r="B54" s="818" t="s">
        <v>81</v>
      </c>
      <c r="C54" s="537">
        <v>34291.25</v>
      </c>
      <c r="D54" s="537">
        <v>869493.94000000006</v>
      </c>
      <c r="E54" s="537">
        <v>5612.7199999999993</v>
      </c>
      <c r="F54" s="537">
        <v>37639.89</v>
      </c>
      <c r="G54" s="537">
        <v>8060.8000000000011</v>
      </c>
      <c r="H54" s="537">
        <v>748409.81</v>
      </c>
      <c r="I54" s="537">
        <v>917.09999999999991</v>
      </c>
      <c r="J54" s="537"/>
      <c r="K54" s="11">
        <f t="shared" si="8"/>
        <v>206</v>
      </c>
    </row>
    <row r="55" spans="1:11" s="163" customFormat="1">
      <c r="A55" s="11">
        <f t="shared" si="9"/>
        <v>207</v>
      </c>
      <c r="B55" s="818" t="s">
        <v>82</v>
      </c>
      <c r="C55" s="537">
        <v>34291.25</v>
      </c>
      <c r="D55" s="537">
        <v>869493.94000000006</v>
      </c>
      <c r="E55" s="537">
        <v>5612.7199999999993</v>
      </c>
      <c r="F55" s="537">
        <v>37639.89</v>
      </c>
      <c r="G55" s="537">
        <v>8060.8000000000011</v>
      </c>
      <c r="H55" s="537">
        <v>879647.56</v>
      </c>
      <c r="I55" s="537">
        <v>917.09999999999991</v>
      </c>
      <c r="J55" s="537"/>
      <c r="K55" s="11">
        <f t="shared" si="8"/>
        <v>207</v>
      </c>
    </row>
    <row r="56" spans="1:11" s="163" customFormat="1">
      <c r="A56" s="11">
        <f t="shared" si="9"/>
        <v>208</v>
      </c>
      <c r="B56" s="818" t="s">
        <v>83</v>
      </c>
      <c r="C56" s="537">
        <v>34291.25</v>
      </c>
      <c r="D56" s="537">
        <v>869493.94000000006</v>
      </c>
      <c r="E56" s="537">
        <v>5612.7199999999993</v>
      </c>
      <c r="F56" s="537">
        <v>37639.89</v>
      </c>
      <c r="G56" s="537">
        <v>8060.8000000000011</v>
      </c>
      <c r="H56" s="537">
        <v>879647.56</v>
      </c>
      <c r="I56" s="537">
        <v>917.09999999999991</v>
      </c>
      <c r="J56" s="537"/>
      <c r="K56" s="11">
        <f t="shared" si="8"/>
        <v>208</v>
      </c>
    </row>
    <row r="57" spans="1:11" s="163" customFormat="1">
      <c r="A57" s="11">
        <f t="shared" si="9"/>
        <v>209</v>
      </c>
      <c r="B57" s="818" t="s">
        <v>84</v>
      </c>
      <c r="C57" s="537">
        <v>34291.25</v>
      </c>
      <c r="D57" s="537">
        <v>627983.43999999959</v>
      </c>
      <c r="E57" s="537">
        <v>5612.7199999999993</v>
      </c>
      <c r="F57" s="537">
        <v>37639.89</v>
      </c>
      <c r="G57" s="537">
        <v>8060.8000000000011</v>
      </c>
      <c r="H57" s="537">
        <v>879647.50999999989</v>
      </c>
      <c r="I57" s="537">
        <v>917.09999999999991</v>
      </c>
      <c r="J57" s="537"/>
      <c r="K57" s="11">
        <f t="shared" si="8"/>
        <v>209</v>
      </c>
    </row>
    <row r="58" spans="1:11" s="163" customFormat="1">
      <c r="A58" s="11">
        <f t="shared" si="9"/>
        <v>210</v>
      </c>
      <c r="B58" s="818" t="s">
        <v>85</v>
      </c>
      <c r="C58" s="537">
        <v>34291.25</v>
      </c>
      <c r="D58" s="537">
        <v>821191.84</v>
      </c>
      <c r="E58" s="537">
        <v>5612.7199999999993</v>
      </c>
      <c r="F58" s="537">
        <v>37639.89</v>
      </c>
      <c r="G58" s="537">
        <v>8060.8000000000011</v>
      </c>
      <c r="H58" s="537">
        <v>879647.55</v>
      </c>
      <c r="I58" s="537">
        <v>917.09999999999991</v>
      </c>
      <c r="J58" s="537"/>
      <c r="K58" s="11">
        <f t="shared" si="8"/>
        <v>210</v>
      </c>
    </row>
    <row r="59" spans="1:11" s="163" customFormat="1">
      <c r="A59" s="11">
        <f t="shared" si="9"/>
        <v>211</v>
      </c>
      <c r="B59" s="818" t="s">
        <v>75</v>
      </c>
      <c r="C59" s="538">
        <v>34291.25</v>
      </c>
      <c r="D59" s="538">
        <v>821191.84</v>
      </c>
      <c r="E59" s="538">
        <v>0</v>
      </c>
      <c r="F59" s="538">
        <v>37639.89</v>
      </c>
      <c r="G59" s="538">
        <v>8060.8000000000011</v>
      </c>
      <c r="H59" s="538">
        <v>886159.53</v>
      </c>
      <c r="I59" s="538">
        <v>917.09999999999991</v>
      </c>
      <c r="J59" s="538"/>
      <c r="K59" s="11">
        <f t="shared" si="8"/>
        <v>211</v>
      </c>
    </row>
    <row r="60" spans="1:11" s="163" customFormat="1">
      <c r="A60" s="11">
        <f>A59+1</f>
        <v>212</v>
      </c>
      <c r="B60" s="819" t="s">
        <v>196</v>
      </c>
      <c r="C60" s="820">
        <f t="shared" ref="C60" si="10">SUM(C48:C59)</f>
        <v>240038.75</v>
      </c>
      <c r="D60" s="820">
        <f>SUM(D48:D59)</f>
        <v>5748342.8799999999</v>
      </c>
      <c r="E60" s="820">
        <f t="shared" ref="E60" si="11">SUM(E48:E59)</f>
        <v>33676.32</v>
      </c>
      <c r="F60" s="820">
        <f t="shared" ref="F60" si="12">SUM(F48:F59)</f>
        <v>263479.23000000004</v>
      </c>
      <c r="G60" s="820">
        <f t="shared" ref="G60" si="13">SUM(G48:G59)</f>
        <v>56425.600000000013</v>
      </c>
      <c r="H60" s="820">
        <f t="shared" ref="H60" si="14">SUM(H48:H59)</f>
        <v>6164044.8300000001</v>
      </c>
      <c r="I60" s="820">
        <f t="shared" ref="I60:J60" si="15">SUM(I48:I59)</f>
        <v>6419.7000000000007</v>
      </c>
      <c r="J60" s="820">
        <f t="shared" si="15"/>
        <v>0</v>
      </c>
      <c r="K60" s="11">
        <f t="shared" si="8"/>
        <v>212</v>
      </c>
    </row>
    <row r="62" spans="1:11">
      <c r="B62" s="60" t="s">
        <v>1649</v>
      </c>
      <c r="C62" s="60"/>
      <c r="D62" s="60"/>
      <c r="E62" s="60"/>
      <c r="F62" s="60"/>
      <c r="G62" s="60"/>
      <c r="H62" s="60"/>
      <c r="I62" s="60"/>
      <c r="J62" s="60"/>
    </row>
    <row r="63" spans="1:11" s="163" customFormat="1">
      <c r="A63" s="11"/>
      <c r="B63" s="23"/>
      <c r="C63" s="23"/>
      <c r="D63" s="23"/>
      <c r="E63" s="23"/>
      <c r="F63" s="23"/>
      <c r="G63" s="23"/>
      <c r="H63" s="23"/>
      <c r="I63" s="23"/>
      <c r="J63" s="23"/>
      <c r="K63" s="11"/>
    </row>
    <row r="64" spans="1:11">
      <c r="A64" s="505"/>
      <c r="B64" s="184" t="s">
        <v>1506</v>
      </c>
      <c r="K64"/>
    </row>
    <row r="65" spans="1:11" ht="30">
      <c r="A65" s="3" t="s">
        <v>86</v>
      </c>
      <c r="B65" s="470" t="s">
        <v>58</v>
      </c>
      <c r="C65" s="936" t="s">
        <v>1674</v>
      </c>
      <c r="D65" s="936" t="s">
        <v>1675</v>
      </c>
      <c r="E65" s="936" t="s">
        <v>1678</v>
      </c>
      <c r="K65" s="3" t="s">
        <v>86</v>
      </c>
    </row>
    <row r="66" spans="1:11">
      <c r="A66" s="469">
        <v>300</v>
      </c>
      <c r="B66" s="343" t="s">
        <v>76</v>
      </c>
      <c r="C66" s="527">
        <v>62993.097468757886</v>
      </c>
      <c r="D66" s="529">
        <v>947</v>
      </c>
      <c r="E66" s="527">
        <v>46523.22436</v>
      </c>
      <c r="K66" s="11">
        <f t="shared" ref="K66:K78" si="16">A66</f>
        <v>300</v>
      </c>
    </row>
    <row r="67" spans="1:11">
      <c r="A67" s="469">
        <f>A66+1</f>
        <v>301</v>
      </c>
      <c r="B67" s="341" t="s">
        <v>77</v>
      </c>
      <c r="C67" s="527">
        <v>53535.032153222346</v>
      </c>
      <c r="D67" s="529">
        <v>1059</v>
      </c>
      <c r="E67" s="527">
        <v>47853.89352000002</v>
      </c>
      <c r="K67" s="11">
        <f t="shared" si="16"/>
        <v>301</v>
      </c>
    </row>
    <row r="68" spans="1:11">
      <c r="A68" s="469">
        <f t="shared" ref="A68:A78" si="17">A67+1</f>
        <v>302</v>
      </c>
      <c r="B68" s="341" t="s">
        <v>78</v>
      </c>
      <c r="C68" s="527">
        <v>83883.034416807684</v>
      </c>
      <c r="D68" s="529">
        <v>416</v>
      </c>
      <c r="E68" s="527">
        <v>62370.631799999981</v>
      </c>
      <c r="K68" s="11">
        <f t="shared" si="16"/>
        <v>302</v>
      </c>
    </row>
    <row r="69" spans="1:11">
      <c r="A69" s="469">
        <f t="shared" si="17"/>
        <v>303</v>
      </c>
      <c r="B69" s="341" t="s">
        <v>79</v>
      </c>
      <c r="C69" s="527">
        <v>54924.744330569869</v>
      </c>
      <c r="D69" s="529">
        <v>481</v>
      </c>
      <c r="E69" s="527">
        <v>57439.274640000003</v>
      </c>
      <c r="K69" s="11">
        <f t="shared" si="16"/>
        <v>303</v>
      </c>
    </row>
    <row r="70" spans="1:11">
      <c r="A70" s="469">
        <f t="shared" si="17"/>
        <v>304</v>
      </c>
      <c r="B70" s="341" t="s">
        <v>61</v>
      </c>
      <c r="C70" s="527">
        <v>55319.179288325409</v>
      </c>
      <c r="D70" s="529">
        <v>776</v>
      </c>
      <c r="E70" s="527">
        <v>59454.491599999994</v>
      </c>
      <c r="K70" s="11">
        <f t="shared" si="16"/>
        <v>304</v>
      </c>
    </row>
    <row r="71" spans="1:11">
      <c r="A71" s="469">
        <f t="shared" si="17"/>
        <v>305</v>
      </c>
      <c r="B71" s="341" t="s">
        <v>146</v>
      </c>
      <c r="C71" s="527">
        <v>54153.929175064673</v>
      </c>
      <c r="D71" s="529">
        <v>697</v>
      </c>
      <c r="E71" s="527">
        <v>64202.987319999993</v>
      </c>
      <c r="K71" s="11">
        <f t="shared" si="16"/>
        <v>305</v>
      </c>
    </row>
    <row r="72" spans="1:11">
      <c r="A72" s="469">
        <f t="shared" si="17"/>
        <v>306</v>
      </c>
      <c r="B72" s="341" t="s">
        <v>81</v>
      </c>
      <c r="C72" s="527">
        <v>52794.81975319497</v>
      </c>
      <c r="D72" s="529">
        <v>572</v>
      </c>
      <c r="E72" s="527">
        <v>62311.87739999999</v>
      </c>
      <c r="K72" s="11">
        <f t="shared" si="16"/>
        <v>306</v>
      </c>
    </row>
    <row r="73" spans="1:11">
      <c r="A73" s="469">
        <f t="shared" si="17"/>
        <v>307</v>
      </c>
      <c r="B73" s="341" t="s">
        <v>82</v>
      </c>
      <c r="C73" s="527">
        <v>57665.804431317578</v>
      </c>
      <c r="D73" s="529">
        <v>458</v>
      </c>
      <c r="E73" s="527">
        <v>58365.566280000006</v>
      </c>
      <c r="K73" s="11">
        <f t="shared" si="16"/>
        <v>307</v>
      </c>
    </row>
    <row r="74" spans="1:11">
      <c r="A74" s="469">
        <f t="shared" si="17"/>
        <v>308</v>
      </c>
      <c r="B74" s="341" t="s">
        <v>83</v>
      </c>
      <c r="C74" s="527">
        <v>59583.443556686572</v>
      </c>
      <c r="D74" s="529">
        <v>139</v>
      </c>
      <c r="E74" s="527">
        <v>56273.062080000003</v>
      </c>
      <c r="K74" s="11">
        <f t="shared" si="16"/>
        <v>308</v>
      </c>
    </row>
    <row r="75" spans="1:11">
      <c r="A75" s="469">
        <f t="shared" si="17"/>
        <v>309</v>
      </c>
      <c r="B75" s="341" t="s">
        <v>84</v>
      </c>
      <c r="C75" s="527">
        <v>62311.616086285772</v>
      </c>
      <c r="D75" s="529">
        <v>137</v>
      </c>
      <c r="E75" s="527">
        <v>48906.04127999999</v>
      </c>
      <c r="K75" s="11">
        <f t="shared" si="16"/>
        <v>309</v>
      </c>
    </row>
    <row r="76" spans="1:11">
      <c r="A76" s="469">
        <f t="shared" si="17"/>
        <v>310</v>
      </c>
      <c r="B76" s="341" t="s">
        <v>85</v>
      </c>
      <c r="C76" s="527">
        <v>61333.689176848748</v>
      </c>
      <c r="D76" s="529">
        <v>362</v>
      </c>
      <c r="E76" s="527">
        <v>39271.132120000002</v>
      </c>
      <c r="K76" s="11">
        <f t="shared" si="16"/>
        <v>310</v>
      </c>
    </row>
    <row r="77" spans="1:11">
      <c r="A77" s="469">
        <f t="shared" si="17"/>
        <v>311</v>
      </c>
      <c r="B77" s="341" t="s">
        <v>75</v>
      </c>
      <c r="C77" s="533">
        <v>64338.200147213152</v>
      </c>
      <c r="D77" s="529">
        <v>0</v>
      </c>
      <c r="E77" s="533">
        <v>39771.938039999994</v>
      </c>
      <c r="K77" s="11">
        <f t="shared" si="16"/>
        <v>311</v>
      </c>
    </row>
    <row r="78" spans="1:11">
      <c r="A78" s="469">
        <f t="shared" si="17"/>
        <v>312</v>
      </c>
      <c r="B78" s="476" t="s">
        <v>196</v>
      </c>
      <c r="C78" s="536">
        <f>SUM(C66:C77)</f>
        <v>722836.58998429461</v>
      </c>
      <c r="D78" s="536">
        <f>SUM(D66:D77)</f>
        <v>6044</v>
      </c>
      <c r="E78" s="536">
        <f>SUM(E66:E77)</f>
        <v>642744.12044000009</v>
      </c>
      <c r="K78" s="11">
        <f t="shared" si="16"/>
        <v>312</v>
      </c>
    </row>
    <row r="80" spans="1:11" s="806" customFormat="1">
      <c r="A80" s="807"/>
      <c r="B80" s="852" t="s">
        <v>1582</v>
      </c>
      <c r="K80" s="807"/>
    </row>
    <row r="81" spans="1:15" s="806" customFormat="1" ht="30">
      <c r="A81" s="853" t="s">
        <v>86</v>
      </c>
      <c r="B81" s="867" t="s">
        <v>58</v>
      </c>
      <c r="C81" s="869" t="str">
        <f>C65</f>
        <v>CCSF
(SA No. 275)</v>
      </c>
      <c r="D81" s="869" t="str">
        <f t="shared" ref="D81:E81" si="18">D65</f>
        <v>PWRPA 1 
(SA No. 30)</v>
      </c>
      <c r="E81" s="869" t="str">
        <f t="shared" si="18"/>
        <v>WAPA
(SA No. 17)</v>
      </c>
      <c r="K81" s="853" t="s">
        <v>86</v>
      </c>
    </row>
    <row r="82" spans="1:15" s="806" customFormat="1">
      <c r="A82" s="855">
        <f>A78+1</f>
        <v>313</v>
      </c>
      <c r="B82" s="856" t="s">
        <v>76</v>
      </c>
      <c r="C82" s="857">
        <v>33783.317277955364</v>
      </c>
      <c r="D82" s="529">
        <v>734</v>
      </c>
      <c r="E82" s="857">
        <v>25707.038080000002</v>
      </c>
      <c r="F82" s="954"/>
      <c r="K82" s="855">
        <f t="shared" ref="K82:K94" si="19">A82</f>
        <v>313</v>
      </c>
    </row>
    <row r="83" spans="1:15" s="806" customFormat="1">
      <c r="A83" s="855">
        <f>A82+1</f>
        <v>314</v>
      </c>
      <c r="B83" s="861" t="s">
        <v>77</v>
      </c>
      <c r="C83" s="857">
        <v>32577.199668818306</v>
      </c>
      <c r="D83" s="529">
        <v>1055</v>
      </c>
      <c r="E83" s="857">
        <v>27032.316520000008</v>
      </c>
      <c r="F83" s="954"/>
      <c r="K83" s="855">
        <f t="shared" si="19"/>
        <v>314</v>
      </c>
    </row>
    <row r="84" spans="1:15" s="806" customFormat="1">
      <c r="A84" s="855">
        <f t="shared" ref="A84:A94" si="20">A83+1</f>
        <v>315</v>
      </c>
      <c r="B84" s="861" t="s">
        <v>78</v>
      </c>
      <c r="C84" s="857">
        <v>59556.175845082253</v>
      </c>
      <c r="D84" s="529">
        <v>672</v>
      </c>
      <c r="E84" s="857">
        <v>29643.277359999989</v>
      </c>
      <c r="F84" s="954"/>
      <c r="K84" s="855">
        <f t="shared" si="19"/>
        <v>315</v>
      </c>
      <c r="O84" s="808"/>
    </row>
    <row r="85" spans="1:15" s="806" customFormat="1">
      <c r="A85" s="855">
        <f t="shared" si="20"/>
        <v>316</v>
      </c>
      <c r="B85" s="861" t="s">
        <v>79</v>
      </c>
      <c r="C85" s="857">
        <v>32638.20312000018</v>
      </c>
      <c r="D85" s="529">
        <v>481</v>
      </c>
      <c r="E85" s="857">
        <v>35634.380879999997</v>
      </c>
      <c r="F85" s="954"/>
      <c r="K85" s="855">
        <f t="shared" si="19"/>
        <v>316</v>
      </c>
    </row>
    <row r="86" spans="1:15" s="806" customFormat="1">
      <c r="A86" s="855">
        <f t="shared" si="20"/>
        <v>317</v>
      </c>
      <c r="B86" s="861" t="s">
        <v>61</v>
      </c>
      <c r="C86" s="857">
        <v>33731.192721349122</v>
      </c>
      <c r="D86" s="529">
        <v>776</v>
      </c>
      <c r="E86" s="857">
        <v>39726.988319999997</v>
      </c>
      <c r="F86" s="954"/>
      <c r="K86" s="855">
        <f t="shared" si="19"/>
        <v>317</v>
      </c>
    </row>
    <row r="87" spans="1:15" s="806" customFormat="1">
      <c r="A87" s="855">
        <f t="shared" si="20"/>
        <v>318</v>
      </c>
      <c r="B87" s="861" t="s">
        <v>146</v>
      </c>
      <c r="C87" s="857">
        <v>33960.256102991509</v>
      </c>
      <c r="D87" s="529">
        <v>697</v>
      </c>
      <c r="E87" s="857">
        <v>44228.807560000001</v>
      </c>
      <c r="F87" s="954"/>
      <c r="K87" s="855">
        <f t="shared" si="19"/>
        <v>318</v>
      </c>
    </row>
    <row r="88" spans="1:15" s="806" customFormat="1">
      <c r="A88" s="855">
        <f t="shared" si="20"/>
        <v>319</v>
      </c>
      <c r="B88" s="861" t="s">
        <v>81</v>
      </c>
      <c r="C88" s="857">
        <v>32156.602605274471</v>
      </c>
      <c r="D88" s="529">
        <v>572</v>
      </c>
      <c r="E88" s="857">
        <v>43446.734920000003</v>
      </c>
      <c r="F88" s="954"/>
      <c r="K88" s="855">
        <f t="shared" si="19"/>
        <v>319</v>
      </c>
    </row>
    <row r="89" spans="1:15" s="806" customFormat="1">
      <c r="A89" s="855">
        <f t="shared" si="20"/>
        <v>320</v>
      </c>
      <c r="B89" s="861" t="s">
        <v>82</v>
      </c>
      <c r="C89" s="857">
        <v>35799.800261039745</v>
      </c>
      <c r="D89" s="529">
        <v>458</v>
      </c>
      <c r="E89" s="857">
        <v>39706.859360000002</v>
      </c>
      <c r="F89" s="954"/>
      <c r="K89" s="855">
        <f t="shared" si="19"/>
        <v>320</v>
      </c>
    </row>
    <row r="90" spans="1:15" s="806" customFormat="1">
      <c r="A90" s="855">
        <f t="shared" si="20"/>
        <v>321</v>
      </c>
      <c r="B90" s="861" t="s">
        <v>83</v>
      </c>
      <c r="C90" s="857">
        <v>37367.394266567564</v>
      </c>
      <c r="D90" s="529">
        <v>139</v>
      </c>
      <c r="E90" s="857">
        <v>33773.139599999995</v>
      </c>
      <c r="F90" s="954"/>
      <c r="K90" s="855">
        <f t="shared" si="19"/>
        <v>321</v>
      </c>
    </row>
    <row r="91" spans="1:15" s="806" customFormat="1">
      <c r="A91" s="855">
        <f t="shared" si="20"/>
        <v>322</v>
      </c>
      <c r="B91" s="861" t="s">
        <v>84</v>
      </c>
      <c r="C91" s="857">
        <v>37675.902533804081</v>
      </c>
      <c r="D91" s="529">
        <v>137</v>
      </c>
      <c r="E91" s="857">
        <v>25332.987799999999</v>
      </c>
      <c r="F91" s="954"/>
      <c r="K91" s="855">
        <f t="shared" si="19"/>
        <v>322</v>
      </c>
    </row>
    <row r="92" spans="1:15" s="806" customFormat="1">
      <c r="A92" s="855">
        <f t="shared" si="20"/>
        <v>323</v>
      </c>
      <c r="B92" s="861" t="s">
        <v>85</v>
      </c>
      <c r="C92" s="857">
        <v>37180.483616848702</v>
      </c>
      <c r="D92" s="529">
        <v>362</v>
      </c>
      <c r="E92" s="857">
        <v>17106.020000000004</v>
      </c>
      <c r="F92" s="954"/>
      <c r="K92" s="855">
        <f t="shared" si="19"/>
        <v>323</v>
      </c>
    </row>
    <row r="93" spans="1:15" s="806" customFormat="1">
      <c r="A93" s="855">
        <f t="shared" si="20"/>
        <v>324</v>
      </c>
      <c r="B93" s="861" t="s">
        <v>75</v>
      </c>
      <c r="C93" s="863">
        <v>37945.402027213124</v>
      </c>
      <c r="D93" s="529">
        <v>0</v>
      </c>
      <c r="E93" s="863">
        <v>22244.073479999999</v>
      </c>
      <c r="F93" s="954"/>
      <c r="K93" s="855">
        <f t="shared" si="19"/>
        <v>324</v>
      </c>
    </row>
    <row r="94" spans="1:15" s="806" customFormat="1">
      <c r="A94" s="855">
        <f t="shared" si="20"/>
        <v>325</v>
      </c>
      <c r="B94" s="865" t="s">
        <v>196</v>
      </c>
      <c r="C94" s="866">
        <f>SUM(C82:C93)</f>
        <v>444371.93004694441</v>
      </c>
      <c r="D94" s="866">
        <f>SUM(D82:D93)</f>
        <v>6083</v>
      </c>
      <c r="E94" s="866">
        <f>SUM(E82:E93)</f>
        <v>383582.62388000003</v>
      </c>
      <c r="K94" s="855">
        <f t="shared" si="19"/>
        <v>325</v>
      </c>
    </row>
    <row r="95" spans="1:15" s="779" customFormat="1">
      <c r="A95" s="778"/>
      <c r="K95" s="778"/>
    </row>
    <row r="96" spans="1:15">
      <c r="B96" s="868" t="s">
        <v>1653</v>
      </c>
      <c r="C96" s="60"/>
      <c r="D96" s="60"/>
      <c r="E96" s="60"/>
      <c r="F96" s="60"/>
      <c r="G96" s="60"/>
      <c r="H96" s="60"/>
      <c r="I96" s="60"/>
      <c r="J96" s="60"/>
    </row>
    <row r="97" spans="1:11" s="163" customFormat="1">
      <c r="A97" s="11"/>
      <c r="B97" s="23"/>
      <c r="C97" s="23"/>
      <c r="D97" s="23"/>
      <c r="E97" s="23"/>
      <c r="F97" s="23"/>
      <c r="G97" s="23"/>
      <c r="H97" s="23"/>
      <c r="I97" s="23"/>
      <c r="J97" s="23"/>
      <c r="K97" s="11"/>
    </row>
    <row r="98" spans="1:11" ht="30">
      <c r="A98" s="3" t="s">
        <v>86</v>
      </c>
      <c r="B98" s="470" t="s">
        <v>58</v>
      </c>
      <c r="C98" s="584" t="str">
        <f>C65</f>
        <v>CCSF
(SA No. 275)</v>
      </c>
      <c r="D98" s="584" t="str">
        <f t="shared" ref="D98:E98" si="21">D65</f>
        <v>PWRPA 1 
(SA No. 30)</v>
      </c>
      <c r="E98" s="584" t="str">
        <f t="shared" si="21"/>
        <v>WAPA
(SA No. 17)</v>
      </c>
      <c r="I98" s="732"/>
      <c r="K98" s="3" t="s">
        <v>86</v>
      </c>
    </row>
    <row r="99" spans="1:11">
      <c r="A99" s="469">
        <v>400</v>
      </c>
      <c r="B99" s="343" t="s">
        <v>76</v>
      </c>
      <c r="C99" s="537" t="s">
        <v>109</v>
      </c>
      <c r="D99" s="537" t="s">
        <v>109</v>
      </c>
      <c r="E99" s="537" t="s">
        <v>109</v>
      </c>
      <c r="I99" s="732"/>
      <c r="K99" s="469">
        <f t="shared" ref="K99:K111" si="22">A99</f>
        <v>400</v>
      </c>
    </row>
    <row r="100" spans="1:11">
      <c r="A100" s="469">
        <f>A99+1</f>
        <v>401</v>
      </c>
      <c r="B100" s="341" t="s">
        <v>77</v>
      </c>
      <c r="C100" s="537" t="s">
        <v>109</v>
      </c>
      <c r="D100" s="537" t="s">
        <v>109</v>
      </c>
      <c r="E100" s="537" t="s">
        <v>109</v>
      </c>
      <c r="I100" s="732"/>
      <c r="K100" s="469">
        <f t="shared" si="22"/>
        <v>401</v>
      </c>
    </row>
    <row r="101" spans="1:11">
      <c r="A101" s="469">
        <f t="shared" ref="A101:A111" si="23">A100+1</f>
        <v>402</v>
      </c>
      <c r="B101" s="341" t="s">
        <v>78</v>
      </c>
      <c r="C101" s="537" t="s">
        <v>109</v>
      </c>
      <c r="D101" s="537" t="s">
        <v>109</v>
      </c>
      <c r="E101" s="537" t="s">
        <v>109</v>
      </c>
      <c r="I101" s="732"/>
      <c r="K101" s="469">
        <f t="shared" si="22"/>
        <v>402</v>
      </c>
    </row>
    <row r="102" spans="1:11">
      <c r="A102" s="469">
        <f t="shared" si="23"/>
        <v>403</v>
      </c>
      <c r="B102" s="341" t="s">
        <v>79</v>
      </c>
      <c r="C102" s="537" t="s">
        <v>109</v>
      </c>
      <c r="D102" s="537" t="s">
        <v>109</v>
      </c>
      <c r="E102" s="537" t="s">
        <v>109</v>
      </c>
      <c r="I102" s="732"/>
      <c r="K102" s="469">
        <f t="shared" si="22"/>
        <v>403</v>
      </c>
    </row>
    <row r="103" spans="1:11">
      <c r="A103" s="469">
        <f t="shared" si="23"/>
        <v>404</v>
      </c>
      <c r="B103" s="341" t="s">
        <v>61</v>
      </c>
      <c r="C103" s="537" t="s">
        <v>109</v>
      </c>
      <c r="D103" s="537" t="s">
        <v>109</v>
      </c>
      <c r="E103" s="537" t="s">
        <v>109</v>
      </c>
      <c r="I103" s="732"/>
      <c r="K103" s="469">
        <f t="shared" si="22"/>
        <v>404</v>
      </c>
    </row>
    <row r="104" spans="1:11">
      <c r="A104" s="469">
        <f t="shared" si="23"/>
        <v>405</v>
      </c>
      <c r="B104" s="341" t="s">
        <v>146</v>
      </c>
      <c r="C104" s="537">
        <v>821484.41000000015</v>
      </c>
      <c r="D104" s="537">
        <v>8751.8340000000007</v>
      </c>
      <c r="E104" s="537">
        <v>572779.28</v>
      </c>
      <c r="I104" s="732"/>
      <c r="K104" s="469">
        <f t="shared" si="22"/>
        <v>405</v>
      </c>
    </row>
    <row r="105" spans="1:11">
      <c r="A105" s="469">
        <f t="shared" si="23"/>
        <v>406</v>
      </c>
      <c r="B105" s="341" t="s">
        <v>81</v>
      </c>
      <c r="C105" s="537">
        <v>821491.66000000015</v>
      </c>
      <c r="D105" s="537">
        <v>8751.8340000000007</v>
      </c>
      <c r="E105" s="537">
        <v>463514.42000000004</v>
      </c>
      <c r="I105" s="732"/>
      <c r="K105" s="469">
        <f t="shared" si="22"/>
        <v>406</v>
      </c>
    </row>
    <row r="106" spans="1:11">
      <c r="A106" s="469">
        <f t="shared" si="23"/>
        <v>407</v>
      </c>
      <c r="B106" s="341" t="s">
        <v>82</v>
      </c>
      <c r="C106" s="537">
        <v>820717.92</v>
      </c>
      <c r="D106" s="537">
        <v>8751.8340000000007</v>
      </c>
      <c r="E106" s="537">
        <v>518146.85000000003</v>
      </c>
      <c r="I106" s="732"/>
      <c r="K106" s="469">
        <f t="shared" si="22"/>
        <v>407</v>
      </c>
    </row>
    <row r="107" spans="1:11">
      <c r="A107" s="469">
        <f t="shared" si="23"/>
        <v>408</v>
      </c>
      <c r="B107" s="341" t="s">
        <v>83</v>
      </c>
      <c r="C107" s="537">
        <v>905647.46000000008</v>
      </c>
      <c r="D107" s="537">
        <v>8751.8340000000007</v>
      </c>
      <c r="E107" s="537">
        <v>517906.53</v>
      </c>
      <c r="I107" s="732"/>
      <c r="K107" s="469">
        <f t="shared" si="22"/>
        <v>408</v>
      </c>
    </row>
    <row r="108" spans="1:11">
      <c r="A108" s="469">
        <f t="shared" si="23"/>
        <v>409</v>
      </c>
      <c r="B108" s="341" t="s">
        <v>84</v>
      </c>
      <c r="C108" s="537">
        <v>757649.72</v>
      </c>
      <c r="D108" s="537">
        <v>8751.8340000000007</v>
      </c>
      <c r="E108" s="537">
        <v>519651.77000000014</v>
      </c>
      <c r="I108" s="732"/>
      <c r="K108" s="469">
        <f t="shared" si="22"/>
        <v>409</v>
      </c>
    </row>
    <row r="109" spans="1:11">
      <c r="A109" s="469">
        <f t="shared" si="23"/>
        <v>410</v>
      </c>
      <c r="B109" s="341" t="s">
        <v>85</v>
      </c>
      <c r="C109" s="537">
        <v>825251.91999999993</v>
      </c>
      <c r="D109" s="537">
        <v>8751.8340000000007</v>
      </c>
      <c r="E109" s="537">
        <v>518399.77</v>
      </c>
      <c r="I109" s="732"/>
      <c r="K109" s="469">
        <f t="shared" si="22"/>
        <v>410</v>
      </c>
    </row>
    <row r="110" spans="1:11">
      <c r="A110" s="469">
        <f t="shared" si="23"/>
        <v>411</v>
      </c>
      <c r="B110" s="341" t="s">
        <v>75</v>
      </c>
      <c r="C110" s="538">
        <v>823322.31999999983</v>
      </c>
      <c r="D110" s="538">
        <v>0</v>
      </c>
      <c r="E110" s="538">
        <v>518399.77</v>
      </c>
      <c r="I110" s="732"/>
      <c r="K110" s="469">
        <f t="shared" si="22"/>
        <v>411</v>
      </c>
    </row>
    <row r="111" spans="1:11">
      <c r="A111" s="469">
        <f t="shared" si="23"/>
        <v>412</v>
      </c>
      <c r="B111" s="476" t="s">
        <v>196</v>
      </c>
      <c r="C111" s="539">
        <f t="shared" ref="C111" si="24">SUM(C99:C110)</f>
        <v>5775565.4100000001</v>
      </c>
      <c r="D111" s="539">
        <f>SUM(D99:D110)</f>
        <v>52511.004000000008</v>
      </c>
      <c r="E111" s="539">
        <f t="shared" ref="E111" si="25">SUM(E99:E110)</f>
        <v>3628798.39</v>
      </c>
      <c r="I111" s="732"/>
      <c r="K111" s="469">
        <f t="shared" si="22"/>
        <v>412</v>
      </c>
    </row>
    <row r="112" spans="1:11">
      <c r="I112" s="732"/>
      <c r="K112"/>
    </row>
    <row r="113" spans="1:11">
      <c r="B113" s="965" t="s">
        <v>1644</v>
      </c>
      <c r="C113" s="965"/>
      <c r="D113" s="965"/>
      <c r="E113" s="965"/>
      <c r="F113" s="965"/>
      <c r="G113" s="965"/>
      <c r="H113" s="965"/>
      <c r="I113" s="965"/>
      <c r="J113" s="965"/>
    </row>
    <row r="114" spans="1:11">
      <c r="A114" s="723"/>
      <c r="B114" s="965"/>
      <c r="C114" s="965"/>
      <c r="D114" s="965"/>
      <c r="E114" s="965"/>
      <c r="F114" s="965"/>
      <c r="G114" s="965"/>
      <c r="H114" s="965"/>
      <c r="I114" s="965"/>
      <c r="J114" s="965"/>
      <c r="K114" s="723"/>
    </row>
    <row r="115" spans="1:11">
      <c r="B115" s="143" t="s">
        <v>1652</v>
      </c>
      <c r="C115" s="740"/>
      <c r="D115" s="740"/>
      <c r="E115" s="740"/>
      <c r="F115" s="740"/>
      <c r="G115" s="740"/>
      <c r="H115" s="740"/>
      <c r="I115" s="740"/>
      <c r="J115" s="740"/>
    </row>
    <row r="116" spans="1:11">
      <c r="A116" s="723"/>
      <c r="B116" s="722"/>
      <c r="C116" s="722"/>
      <c r="D116" s="722"/>
      <c r="E116" s="722"/>
      <c r="F116" s="722"/>
      <c r="G116" s="722"/>
      <c r="H116" s="722"/>
      <c r="I116" s="722"/>
      <c r="J116" s="722"/>
      <c r="K116" s="723"/>
    </row>
  </sheetData>
  <mergeCells count="3">
    <mergeCell ref="B113:J114"/>
    <mergeCell ref="B6:J8"/>
    <mergeCell ref="B9:J10"/>
  </mergeCells>
  <phoneticPr fontId="104" type="noConversion"/>
  <printOptions horizontalCentered="1"/>
  <pageMargins left="1" right="1" top="1" bottom="1" header="0.5" footer="0.5"/>
  <pageSetup scale="58" fitToHeight="0" orientation="portrait" r:id="rId1"/>
  <headerFooter>
    <oddHeader>&amp;C&amp;"-,Bold"&amp;12Pacific Gas and Electric Company
Formula Rate Model
Schedule 9-WholesaleRevenues</oddHeader>
    <oddFooter>&amp;C&amp;1#&amp;"Calibri"&amp;12&amp;K000000Internal</oddFooter>
  </headerFooter>
  <rowBreaks count="1" manualBreakCount="1">
    <brk id="61" max="10"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12939-E0C6-4D87-88FE-80CA996E1C56}">
  <sheetPr codeName="Sheet16">
    <pageSetUpPr fitToPage="1"/>
  </sheetPr>
  <dimension ref="A1:AG138"/>
  <sheetViews>
    <sheetView view="pageBreakPreview" topLeftCell="A110" zoomScale="85" zoomScaleNormal="90" zoomScaleSheetLayoutView="85" zoomScalePageLayoutView="70" workbookViewId="0">
      <selection activeCell="G13" sqref="G13"/>
    </sheetView>
  </sheetViews>
  <sheetFormatPr defaultColWidth="8.85546875" defaultRowHeight="15"/>
  <cols>
    <col min="1" max="1" width="4.7109375" style="467" bestFit="1" customWidth="1"/>
    <col min="2" max="2" width="14" customWidth="1"/>
    <col min="3" max="3" width="14.42578125" customWidth="1"/>
    <col min="4" max="4" width="17.85546875" customWidth="1"/>
    <col min="5" max="5" width="23" customWidth="1"/>
    <col min="6" max="6" width="20.42578125" customWidth="1"/>
    <col min="7" max="7" width="21.140625" customWidth="1"/>
    <col min="8" max="9" width="22" customWidth="1"/>
    <col min="10" max="29" width="17.85546875" customWidth="1"/>
    <col min="30" max="30" width="4.7109375" style="467" bestFit="1" customWidth="1"/>
    <col min="32" max="32" width="18.85546875" bestFit="1" customWidth="1"/>
    <col min="33" max="33" width="12.140625" bestFit="1" customWidth="1"/>
  </cols>
  <sheetData>
    <row r="1" spans="1:33">
      <c r="B1" s="2" t="s">
        <v>1010</v>
      </c>
      <c r="C1" s="2"/>
      <c r="H1" s="135"/>
      <c r="N1" s="317"/>
      <c r="AC1" s="8" t="str">
        <f>CONCATENATE("Prior Year: ",'1-DRR'!$K$2)</f>
        <v>Prior Year: 2021</v>
      </c>
    </row>
    <row r="2" spans="1:33">
      <c r="B2" s="106" t="s">
        <v>122</v>
      </c>
      <c r="C2" s="550"/>
      <c r="N2" s="317"/>
      <c r="AC2" s="639"/>
    </row>
    <row r="3" spans="1:33">
      <c r="A3" s="324"/>
      <c r="B3" s="184"/>
      <c r="AD3" s="324"/>
    </row>
    <row r="4" spans="1:33">
      <c r="B4" s="65" t="s">
        <v>1011</v>
      </c>
      <c r="C4" s="65"/>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row>
    <row r="5" spans="1:33">
      <c r="A5" s="639"/>
      <c r="B5" s="552" t="s">
        <v>1017</v>
      </c>
      <c r="C5" s="317"/>
      <c r="M5" s="317"/>
      <c r="N5" s="467"/>
      <c r="O5" s="553"/>
    </row>
    <row r="6" spans="1:33">
      <c r="A6" s="639"/>
      <c r="B6" s="552" t="s">
        <v>610</v>
      </c>
      <c r="C6" s="317"/>
      <c r="M6" s="317"/>
      <c r="N6" s="467"/>
      <c r="O6" s="553"/>
    </row>
    <row r="7" spans="1:33">
      <c r="A7" s="639"/>
      <c r="B7" s="552"/>
      <c r="C7" s="317"/>
      <c r="M7" s="317"/>
      <c r="N7" s="467"/>
      <c r="O7" s="553"/>
    </row>
    <row r="8" spans="1:33">
      <c r="A8" s="639"/>
      <c r="D8" s="394" t="s">
        <v>62</v>
      </c>
      <c r="E8" s="394" t="s">
        <v>63</v>
      </c>
      <c r="F8" s="394" t="s">
        <v>64</v>
      </c>
      <c r="G8" s="394" t="s">
        <v>65</v>
      </c>
      <c r="H8" s="394" t="s">
        <v>66</v>
      </c>
      <c r="I8" s="394" t="s">
        <v>67</v>
      </c>
      <c r="J8" s="394" t="s">
        <v>68</v>
      </c>
      <c r="K8" s="394" t="s">
        <v>69</v>
      </c>
      <c r="L8" s="394" t="s">
        <v>70</v>
      </c>
      <c r="M8" s="394" t="s">
        <v>141</v>
      </c>
      <c r="N8" s="394" t="s">
        <v>142</v>
      </c>
      <c r="O8" s="394" t="s">
        <v>143</v>
      </c>
      <c r="P8" s="394" t="s">
        <v>144</v>
      </c>
      <c r="Q8" s="394" t="s">
        <v>145</v>
      </c>
      <c r="R8" s="394" t="s">
        <v>452</v>
      </c>
      <c r="S8" s="394" t="s">
        <v>807</v>
      </c>
      <c r="T8" s="394" t="s">
        <v>808</v>
      </c>
      <c r="U8" s="394" t="s">
        <v>865</v>
      </c>
      <c r="V8" s="394" t="s">
        <v>866</v>
      </c>
      <c r="W8" s="394" t="s">
        <v>867</v>
      </c>
      <c r="X8" s="394" t="s">
        <v>868</v>
      </c>
      <c r="Y8" s="394" t="s">
        <v>869</v>
      </c>
      <c r="Z8" s="394" t="s">
        <v>870</v>
      </c>
      <c r="AA8" s="394" t="s">
        <v>871</v>
      </c>
      <c r="AB8" s="394" t="s">
        <v>1130</v>
      </c>
      <c r="AC8" s="394" t="s">
        <v>1051</v>
      </c>
    </row>
    <row r="9" spans="1:33">
      <c r="B9" s="639"/>
      <c r="C9" s="639"/>
      <c r="D9" s="554"/>
      <c r="E9" s="554"/>
      <c r="F9" s="554"/>
      <c r="G9" s="554"/>
      <c r="H9" s="554"/>
      <c r="I9" s="554"/>
      <c r="J9" s="554"/>
      <c r="K9" s="554"/>
      <c r="L9" s="554"/>
      <c r="M9" s="554"/>
      <c r="N9" s="554"/>
      <c r="O9" s="554"/>
      <c r="P9" s="554"/>
      <c r="Q9" s="554"/>
      <c r="R9" s="554"/>
      <c r="S9" s="554"/>
      <c r="T9" s="554"/>
      <c r="U9" s="554"/>
      <c r="V9" s="554"/>
      <c r="W9" s="554"/>
      <c r="X9" s="554"/>
      <c r="Y9" s="554"/>
      <c r="Z9" s="554"/>
      <c r="AA9" s="554"/>
      <c r="AB9" s="554"/>
      <c r="AC9" s="555" t="s">
        <v>1052</v>
      </c>
    </row>
    <row r="10" spans="1:33">
      <c r="B10" s="639"/>
      <c r="C10" s="639"/>
      <c r="L10" s="147"/>
      <c r="R10" s="467"/>
      <c r="S10" s="467"/>
      <c r="T10" s="467"/>
      <c r="AC10" s="467"/>
    </row>
    <row r="11" spans="1:33">
      <c r="C11" s="327" t="s">
        <v>195</v>
      </c>
      <c r="D11" s="115">
        <v>360</v>
      </c>
      <c r="E11" s="115">
        <v>360</v>
      </c>
      <c r="F11" s="115">
        <v>361</v>
      </c>
      <c r="G11" s="115">
        <v>361</v>
      </c>
      <c r="H11" s="115">
        <v>362</v>
      </c>
      <c r="I11" s="115">
        <v>363</v>
      </c>
      <c r="J11" s="115">
        <v>363</v>
      </c>
      <c r="K11" s="115">
        <v>364</v>
      </c>
      <c r="L11" s="115">
        <v>365</v>
      </c>
      <c r="M11" s="115">
        <v>366</v>
      </c>
      <c r="N11" s="115">
        <v>367</v>
      </c>
      <c r="O11" s="115">
        <v>368</v>
      </c>
      <c r="P11" s="115">
        <v>368</v>
      </c>
      <c r="Q11" s="115">
        <v>369</v>
      </c>
      <c r="R11" s="115">
        <v>369</v>
      </c>
      <c r="S11" s="115">
        <v>370</v>
      </c>
      <c r="T11" s="115">
        <v>370</v>
      </c>
      <c r="U11" s="115">
        <v>371</v>
      </c>
      <c r="V11" s="115">
        <v>371</v>
      </c>
      <c r="W11" s="115">
        <v>371</v>
      </c>
      <c r="X11" s="115">
        <v>372</v>
      </c>
      <c r="Y11" s="115">
        <v>373</v>
      </c>
      <c r="Z11" s="115">
        <v>373</v>
      </c>
      <c r="AA11" s="115">
        <v>373</v>
      </c>
      <c r="AB11" s="115">
        <v>373</v>
      </c>
    </row>
    <row r="12" spans="1:33">
      <c r="A12" s="324" t="s">
        <v>86</v>
      </c>
      <c r="B12" s="324" t="s">
        <v>58</v>
      </c>
      <c r="C12" s="324" t="s">
        <v>73</v>
      </c>
      <c r="D12" s="394" t="s">
        <v>971</v>
      </c>
      <c r="E12" s="394" t="s">
        <v>956</v>
      </c>
      <c r="F12" s="394" t="s">
        <v>957</v>
      </c>
      <c r="G12" s="394" t="s">
        <v>958</v>
      </c>
      <c r="H12" s="394" t="s">
        <v>959</v>
      </c>
      <c r="I12" s="394" t="s">
        <v>960</v>
      </c>
      <c r="J12" s="394" t="s">
        <v>961</v>
      </c>
      <c r="K12" s="394" t="s">
        <v>962</v>
      </c>
      <c r="L12" s="394" t="s">
        <v>963</v>
      </c>
      <c r="M12" s="394" t="s">
        <v>964</v>
      </c>
      <c r="N12" s="394" t="s">
        <v>965</v>
      </c>
      <c r="O12" s="394" t="s">
        <v>966</v>
      </c>
      <c r="P12" s="394" t="s">
        <v>967</v>
      </c>
      <c r="Q12" s="394" t="s">
        <v>968</v>
      </c>
      <c r="R12" s="394" t="s">
        <v>969</v>
      </c>
      <c r="S12" s="394" t="s">
        <v>972</v>
      </c>
      <c r="T12" s="394" t="s">
        <v>970</v>
      </c>
      <c r="U12" s="394" t="s">
        <v>973</v>
      </c>
      <c r="V12" s="394" t="s">
        <v>974</v>
      </c>
      <c r="W12" s="394" t="s">
        <v>975</v>
      </c>
      <c r="X12" s="394" t="s">
        <v>976</v>
      </c>
      <c r="Y12" s="394" t="s">
        <v>977</v>
      </c>
      <c r="Z12" s="394" t="s">
        <v>978</v>
      </c>
      <c r="AA12" s="394" t="s">
        <v>979</v>
      </c>
      <c r="AB12" s="394" t="s">
        <v>980</v>
      </c>
      <c r="AC12" s="324" t="s">
        <v>196</v>
      </c>
      <c r="AD12" s="324" t="str">
        <f t="shared" ref="AD12:AD26" si="0">A12</f>
        <v>Line</v>
      </c>
    </row>
    <row r="13" spans="1:33">
      <c r="A13" s="320">
        <v>100</v>
      </c>
      <c r="B13" s="552" t="s">
        <v>75</v>
      </c>
      <c r="C13" s="197">
        <f>'1-DRR'!$K$2-1</f>
        <v>2020</v>
      </c>
      <c r="D13" s="383">
        <v>22.389999999999979</v>
      </c>
      <c r="E13" s="383">
        <v>14845795.380000003</v>
      </c>
      <c r="F13" s="383">
        <v>111278185.31000006</v>
      </c>
      <c r="G13" s="383">
        <v>10674465.230000004</v>
      </c>
      <c r="H13" s="383">
        <v>1132892113.4000032</v>
      </c>
      <c r="I13" s="383">
        <v>629292.68000000005</v>
      </c>
      <c r="J13" s="383">
        <v>14827148.080000002</v>
      </c>
      <c r="K13" s="383">
        <v>2705255004.2800016</v>
      </c>
      <c r="L13" s="383">
        <v>2789614508.7900033</v>
      </c>
      <c r="M13" s="383">
        <v>1233360864.8699989</v>
      </c>
      <c r="N13" s="383">
        <v>2893695675.3300042</v>
      </c>
      <c r="O13" s="383">
        <v>1006636449.2200009</v>
      </c>
      <c r="P13" s="383">
        <v>356273171.3300001</v>
      </c>
      <c r="Q13" s="383">
        <v>751224092.45000112</v>
      </c>
      <c r="R13" s="383">
        <v>1613948215.6699991</v>
      </c>
      <c r="S13" s="382">
        <v>-51401096.150000006</v>
      </c>
      <c r="T13" s="382">
        <v>413940256.84000003</v>
      </c>
      <c r="U13" s="382">
        <v>31965922.410000004</v>
      </c>
      <c r="V13" s="382">
        <v>910.61000000000024</v>
      </c>
      <c r="W13" s="382">
        <v>125608.05999999998</v>
      </c>
      <c r="X13" s="382">
        <v>970063.41</v>
      </c>
      <c r="Y13" s="382">
        <v>12090599.510000004</v>
      </c>
      <c r="Z13" s="382">
        <v>27214816.330000002</v>
      </c>
      <c r="AA13" s="382">
        <v>92350742.079999968</v>
      </c>
      <c r="AB13" s="382">
        <v>37418253.180000015</v>
      </c>
      <c r="AC13" s="556">
        <f t="shared" ref="AC13:AC25" si="1">SUM(D13:AB13)</f>
        <v>15199831080.690012</v>
      </c>
      <c r="AD13" s="320">
        <f t="shared" si="0"/>
        <v>100</v>
      </c>
      <c r="AG13" s="556"/>
    </row>
    <row r="14" spans="1:33">
      <c r="A14" s="320">
        <f>A13+1</f>
        <v>101</v>
      </c>
      <c r="B14" s="552" t="s">
        <v>76</v>
      </c>
      <c r="C14" s="197">
        <f>'1-DRR'!$K$2</f>
        <v>2021</v>
      </c>
      <c r="D14" s="383">
        <v>22.429999999999961</v>
      </c>
      <c r="E14" s="383">
        <v>15165532.990000011</v>
      </c>
      <c r="F14" s="383">
        <v>111580593.79000008</v>
      </c>
      <c r="G14" s="383">
        <v>10659298.489999996</v>
      </c>
      <c r="H14" s="383">
        <v>1131379858.2200007</v>
      </c>
      <c r="I14" s="383">
        <v>635537.76999999979</v>
      </c>
      <c r="J14" s="383">
        <v>15006811.799999999</v>
      </c>
      <c r="K14" s="383">
        <v>2729621864.5799994</v>
      </c>
      <c r="L14" s="383">
        <v>2800307999.039999</v>
      </c>
      <c r="M14" s="383">
        <v>1238828944.8200004</v>
      </c>
      <c r="N14" s="383">
        <v>2905423285.3000026</v>
      </c>
      <c r="O14" s="383">
        <v>1012167591.9200001</v>
      </c>
      <c r="P14" s="383">
        <v>359446480.3300001</v>
      </c>
      <c r="Q14" s="383">
        <v>754211892.03000069</v>
      </c>
      <c r="R14" s="383">
        <v>1619896785.6499987</v>
      </c>
      <c r="S14" s="382">
        <v>-51122443.439999998</v>
      </c>
      <c r="T14" s="382">
        <v>406377212.11000013</v>
      </c>
      <c r="U14" s="382">
        <v>31965922.52</v>
      </c>
      <c r="V14" s="382">
        <v>954.1</v>
      </c>
      <c r="W14" s="382">
        <v>131514.64000000001</v>
      </c>
      <c r="X14" s="382">
        <v>970063.38</v>
      </c>
      <c r="Y14" s="382">
        <v>12122151.209999993</v>
      </c>
      <c r="Z14" s="382">
        <v>27346369.970000003</v>
      </c>
      <c r="AA14" s="382">
        <v>92661381.649999976</v>
      </c>
      <c r="AB14" s="382">
        <v>37590715.900000013</v>
      </c>
      <c r="AC14" s="556">
        <f t="shared" si="1"/>
        <v>15262376341.199997</v>
      </c>
      <c r="AD14" s="320">
        <f t="shared" si="0"/>
        <v>101</v>
      </c>
    </row>
    <row r="15" spans="1:33">
      <c r="A15" s="320">
        <f t="shared" ref="A15:A26" si="2">A14+1</f>
        <v>102</v>
      </c>
      <c r="B15" s="552" t="s">
        <v>77</v>
      </c>
      <c r="C15" s="197">
        <f>'1-DRR'!$K$2</f>
        <v>2021</v>
      </c>
      <c r="D15" s="383">
        <v>22.419999999999941</v>
      </c>
      <c r="E15" s="383">
        <v>15485303.539999997</v>
      </c>
      <c r="F15" s="383">
        <v>111844664.45999998</v>
      </c>
      <c r="G15" s="383">
        <v>10712023.909999995</v>
      </c>
      <c r="H15" s="383">
        <v>1137539005.9199982</v>
      </c>
      <c r="I15" s="383">
        <v>642539.53000000014</v>
      </c>
      <c r="J15" s="383">
        <v>15172622.4</v>
      </c>
      <c r="K15" s="383">
        <v>2752670776.6499953</v>
      </c>
      <c r="L15" s="383">
        <v>2809965551.7200007</v>
      </c>
      <c r="M15" s="383">
        <v>1245283866.0399995</v>
      </c>
      <c r="N15" s="383">
        <v>2919314995.0899978</v>
      </c>
      <c r="O15" s="383">
        <v>1018910363.1399995</v>
      </c>
      <c r="P15" s="383">
        <v>362424553.52999991</v>
      </c>
      <c r="Q15" s="383">
        <v>757204897.70999992</v>
      </c>
      <c r="R15" s="383">
        <v>1623959984.5400012</v>
      </c>
      <c r="S15" s="382">
        <v>-50823158.410000004</v>
      </c>
      <c r="T15" s="382">
        <v>411738504.32000017</v>
      </c>
      <c r="U15" s="382">
        <v>31965922.350000001</v>
      </c>
      <c r="V15" s="382">
        <v>997.59</v>
      </c>
      <c r="W15" s="382">
        <v>137492.47000000003</v>
      </c>
      <c r="X15" s="382">
        <v>970063.37000000011</v>
      </c>
      <c r="Y15" s="382">
        <v>12160841.380000006</v>
      </c>
      <c r="Z15" s="382">
        <v>27469203.469999991</v>
      </c>
      <c r="AA15" s="382">
        <v>92965946.319999993</v>
      </c>
      <c r="AB15" s="382">
        <v>37784439.379999988</v>
      </c>
      <c r="AC15" s="556">
        <f t="shared" si="1"/>
        <v>15345501422.839989</v>
      </c>
      <c r="AD15" s="320">
        <f t="shared" si="0"/>
        <v>102</v>
      </c>
    </row>
    <row r="16" spans="1:33">
      <c r="A16" s="320">
        <f t="shared" si="2"/>
        <v>103</v>
      </c>
      <c r="B16" s="552" t="s">
        <v>78</v>
      </c>
      <c r="C16" s="197">
        <f>'1-DRR'!$K$2</f>
        <v>2021</v>
      </c>
      <c r="D16" s="383">
        <v>22.269999999999964</v>
      </c>
      <c r="E16" s="383">
        <v>15805143.989999998</v>
      </c>
      <c r="F16" s="383">
        <v>112138871.92999995</v>
      </c>
      <c r="G16" s="383">
        <v>10647725.149999995</v>
      </c>
      <c r="H16" s="383">
        <v>1145016323.7000015</v>
      </c>
      <c r="I16" s="383">
        <v>649614.03</v>
      </c>
      <c r="J16" s="383">
        <v>15338434.4</v>
      </c>
      <c r="K16" s="383">
        <v>2767912867.429997</v>
      </c>
      <c r="L16" s="383">
        <v>2813852954.2500029</v>
      </c>
      <c r="M16" s="383">
        <v>1251306280.7299988</v>
      </c>
      <c r="N16" s="383">
        <v>2938201048.1499972</v>
      </c>
      <c r="O16" s="383">
        <v>1023152389.4799995</v>
      </c>
      <c r="P16" s="383">
        <v>365035614.32999986</v>
      </c>
      <c r="Q16" s="383">
        <v>759752889.91000009</v>
      </c>
      <c r="R16" s="383">
        <v>1629927011.7300005</v>
      </c>
      <c r="S16" s="382">
        <v>-50535637.460000008</v>
      </c>
      <c r="T16" s="382">
        <v>416958766.37</v>
      </c>
      <c r="U16" s="382">
        <v>31965922.169999998</v>
      </c>
      <c r="V16" s="382">
        <v>1041.08</v>
      </c>
      <c r="W16" s="382">
        <v>143591.85999999999</v>
      </c>
      <c r="X16" s="382">
        <v>970063.53</v>
      </c>
      <c r="Y16" s="382">
        <v>12198358.599999998</v>
      </c>
      <c r="Z16" s="382">
        <v>27537544.259999998</v>
      </c>
      <c r="AA16" s="382">
        <v>93274103.039999962</v>
      </c>
      <c r="AB16" s="382">
        <v>37959576.910000011</v>
      </c>
      <c r="AC16" s="556">
        <f t="shared" si="1"/>
        <v>15419210521.84</v>
      </c>
      <c r="AD16" s="320">
        <f t="shared" si="0"/>
        <v>103</v>
      </c>
    </row>
    <row r="17" spans="1:33">
      <c r="A17" s="320">
        <f t="shared" si="2"/>
        <v>104</v>
      </c>
      <c r="B17" s="552" t="s">
        <v>79</v>
      </c>
      <c r="C17" s="197">
        <f>'1-DRR'!$K$2</f>
        <v>2021</v>
      </c>
      <c r="D17" s="383">
        <v>22.389999999999993</v>
      </c>
      <c r="E17" s="383">
        <v>16124984.459999997</v>
      </c>
      <c r="F17" s="383">
        <v>112415199.97000015</v>
      </c>
      <c r="G17" s="383">
        <v>10704504.069999998</v>
      </c>
      <c r="H17" s="383">
        <v>1149783421.2900002</v>
      </c>
      <c r="I17" s="383">
        <v>656795</v>
      </c>
      <c r="J17" s="383">
        <v>15504245.060000001</v>
      </c>
      <c r="K17" s="383">
        <v>2788079368.4400001</v>
      </c>
      <c r="L17" s="383">
        <v>2819258624.5400009</v>
      </c>
      <c r="M17" s="383">
        <v>1257478844.2900004</v>
      </c>
      <c r="N17" s="383">
        <v>2950001504.73</v>
      </c>
      <c r="O17" s="383">
        <v>1028299270.0899994</v>
      </c>
      <c r="P17" s="383">
        <v>367755618.94000012</v>
      </c>
      <c r="Q17" s="383">
        <v>762577996.21000147</v>
      </c>
      <c r="R17" s="383">
        <v>1635707976.0099988</v>
      </c>
      <c r="S17" s="382">
        <v>-50273136.099999994</v>
      </c>
      <c r="T17" s="382">
        <v>422630103.51000023</v>
      </c>
      <c r="U17" s="382">
        <v>31965922.379999999</v>
      </c>
      <c r="V17" s="382">
        <v>1126.31</v>
      </c>
      <c r="W17" s="382">
        <v>154191.34</v>
      </c>
      <c r="X17" s="382">
        <v>970063.42000000016</v>
      </c>
      <c r="Y17" s="382">
        <v>12231214.499999994</v>
      </c>
      <c r="Z17" s="382">
        <v>27647933.389999982</v>
      </c>
      <c r="AA17" s="382">
        <v>93588186.220000029</v>
      </c>
      <c r="AB17" s="382">
        <v>38127817.019999988</v>
      </c>
      <c r="AC17" s="556">
        <f t="shared" si="1"/>
        <v>15491391797.48</v>
      </c>
      <c r="AD17" s="320">
        <f t="shared" si="0"/>
        <v>104</v>
      </c>
    </row>
    <row r="18" spans="1:33">
      <c r="A18" s="320">
        <f t="shared" si="2"/>
        <v>105</v>
      </c>
      <c r="B18" s="552" t="s">
        <v>61</v>
      </c>
      <c r="C18" s="197">
        <f>'1-DRR'!$K$2</f>
        <v>2021</v>
      </c>
      <c r="D18" s="383">
        <v>-47717.369999999995</v>
      </c>
      <c r="E18" s="383">
        <v>16444820.530000001</v>
      </c>
      <c r="F18" s="383">
        <v>112737625.5800001</v>
      </c>
      <c r="G18" s="383">
        <v>10760759.169999996</v>
      </c>
      <c r="H18" s="383">
        <v>1155575826.7199996</v>
      </c>
      <c r="I18" s="383">
        <v>664001.86</v>
      </c>
      <c r="J18" s="383">
        <v>15671076.77</v>
      </c>
      <c r="K18" s="383">
        <v>2808564435.7199926</v>
      </c>
      <c r="L18" s="383">
        <v>2824086081.750001</v>
      </c>
      <c r="M18" s="383">
        <v>1263221206.4699993</v>
      </c>
      <c r="N18" s="383">
        <v>2961175256.7699986</v>
      </c>
      <c r="O18" s="383">
        <v>1032237163.6999995</v>
      </c>
      <c r="P18" s="383">
        <v>370707821.55000013</v>
      </c>
      <c r="Q18" s="383">
        <v>765315345.13999951</v>
      </c>
      <c r="R18" s="383">
        <v>1640955239.4599981</v>
      </c>
      <c r="S18" s="382">
        <v>-49974321.970000014</v>
      </c>
      <c r="T18" s="382">
        <v>428373090.06999975</v>
      </c>
      <c r="U18" s="382">
        <v>31965922.800000001</v>
      </c>
      <c r="V18" s="382">
        <v>1211.54</v>
      </c>
      <c r="W18" s="382">
        <v>164825.39000000001</v>
      </c>
      <c r="X18" s="382">
        <v>970063.4</v>
      </c>
      <c r="Y18" s="382">
        <v>12265344.379999997</v>
      </c>
      <c r="Z18" s="382">
        <v>27777398.639999978</v>
      </c>
      <c r="AA18" s="382">
        <v>93898902.340000018</v>
      </c>
      <c r="AB18" s="382">
        <v>38306529.789999984</v>
      </c>
      <c r="AC18" s="556">
        <f t="shared" si="1"/>
        <v>15561817910.199984</v>
      </c>
      <c r="AD18" s="320">
        <f t="shared" si="0"/>
        <v>105</v>
      </c>
    </row>
    <row r="19" spans="1:33">
      <c r="A19" s="320">
        <f t="shared" si="2"/>
        <v>106</v>
      </c>
      <c r="B19" s="552" t="s">
        <v>146</v>
      </c>
      <c r="C19" s="197">
        <f>'1-DRR'!$K$2</f>
        <v>2021</v>
      </c>
      <c r="D19" s="383">
        <v>-53368.200000000004</v>
      </c>
      <c r="E19" s="383">
        <v>16764655.760000002</v>
      </c>
      <c r="F19" s="383">
        <v>112674171.10999994</v>
      </c>
      <c r="G19" s="383">
        <v>10817540.080000006</v>
      </c>
      <c r="H19" s="383">
        <v>1162799450.4200003</v>
      </c>
      <c r="I19" s="383">
        <v>671250.0199999999</v>
      </c>
      <c r="J19" s="383">
        <v>15838005.710000001</v>
      </c>
      <c r="K19" s="383">
        <v>2826762106.2700014</v>
      </c>
      <c r="L19" s="383">
        <v>2829997947.7799988</v>
      </c>
      <c r="M19" s="383">
        <v>1269377872.3200009</v>
      </c>
      <c r="N19" s="383">
        <v>2974325124.9899983</v>
      </c>
      <c r="O19" s="383">
        <v>1037179349.9800003</v>
      </c>
      <c r="P19" s="383">
        <v>373509545.00000024</v>
      </c>
      <c r="Q19" s="383">
        <v>767856245.95999932</v>
      </c>
      <c r="R19" s="383">
        <v>1646968831.170002</v>
      </c>
      <c r="S19" s="382">
        <v>-49704192.200000003</v>
      </c>
      <c r="T19" s="382">
        <v>430599079.46999991</v>
      </c>
      <c r="U19" s="382">
        <v>31965922.609999999</v>
      </c>
      <c r="V19" s="382">
        <v>1296.77</v>
      </c>
      <c r="W19" s="382">
        <v>175452.72000000003</v>
      </c>
      <c r="X19" s="382">
        <v>970063.49999999988</v>
      </c>
      <c r="Y19" s="382">
        <v>12306997.549999993</v>
      </c>
      <c r="Z19" s="382">
        <v>27898025.279999975</v>
      </c>
      <c r="AA19" s="382">
        <v>94212874.130000025</v>
      </c>
      <c r="AB19" s="382">
        <v>38511146.249999993</v>
      </c>
      <c r="AC19" s="556">
        <f t="shared" si="1"/>
        <v>15632425394.449999</v>
      </c>
      <c r="AD19" s="320">
        <f t="shared" si="0"/>
        <v>106</v>
      </c>
    </row>
    <row r="20" spans="1:33">
      <c r="A20" s="320">
        <f t="shared" si="2"/>
        <v>107</v>
      </c>
      <c r="B20" s="552" t="s">
        <v>81</v>
      </c>
      <c r="C20" s="197">
        <f>'1-DRR'!$K$2</f>
        <v>2021</v>
      </c>
      <c r="D20" s="383">
        <v>-56755.80000000001</v>
      </c>
      <c r="E20" s="383">
        <v>17084490.829999994</v>
      </c>
      <c r="F20" s="383">
        <v>113244413.2400001</v>
      </c>
      <c r="G20" s="383">
        <v>10874209.400000008</v>
      </c>
      <c r="H20" s="383">
        <v>1167779546.599999</v>
      </c>
      <c r="I20" s="383">
        <v>678556.02999999991</v>
      </c>
      <c r="J20" s="383">
        <v>16005178.970000001</v>
      </c>
      <c r="K20" s="383">
        <v>2845239348.8000007</v>
      </c>
      <c r="L20" s="383">
        <v>2837651956.3100042</v>
      </c>
      <c r="M20" s="383">
        <v>1274880169.8500013</v>
      </c>
      <c r="N20" s="383">
        <v>2986126840.1800017</v>
      </c>
      <c r="O20" s="383">
        <v>1042875606.559999</v>
      </c>
      <c r="P20" s="383">
        <v>376373298.28999978</v>
      </c>
      <c r="Q20" s="383">
        <v>770191986.41000056</v>
      </c>
      <c r="R20" s="383">
        <v>1652117710.5599988</v>
      </c>
      <c r="S20" s="382">
        <v>-49364039.290000021</v>
      </c>
      <c r="T20" s="382">
        <v>435778639.76999998</v>
      </c>
      <c r="U20" s="382">
        <v>31965922.41</v>
      </c>
      <c r="V20" s="382">
        <v>1382</v>
      </c>
      <c r="W20" s="382">
        <v>186400.03000000003</v>
      </c>
      <c r="X20" s="382">
        <v>970063.49</v>
      </c>
      <c r="Y20" s="382">
        <v>12347679.039999999</v>
      </c>
      <c r="Z20" s="382">
        <v>28009828.499999985</v>
      </c>
      <c r="AA20" s="382">
        <v>94584249.679999977</v>
      </c>
      <c r="AB20" s="382">
        <v>38746936.979999997</v>
      </c>
      <c r="AC20" s="556">
        <f t="shared" si="1"/>
        <v>15704293618.840006</v>
      </c>
      <c r="AD20" s="320">
        <f t="shared" si="0"/>
        <v>107</v>
      </c>
    </row>
    <row r="21" spans="1:33">
      <c r="A21" s="320">
        <f t="shared" si="2"/>
        <v>108</v>
      </c>
      <c r="B21" s="552" t="s">
        <v>82</v>
      </c>
      <c r="C21" s="197">
        <f>'1-DRR'!$K$2</f>
        <v>2021</v>
      </c>
      <c r="D21" s="383">
        <v>-77680.200000000084</v>
      </c>
      <c r="E21" s="383">
        <v>17404258.349999994</v>
      </c>
      <c r="F21" s="383">
        <v>113571641.36000007</v>
      </c>
      <c r="G21" s="383">
        <v>10928328.18999999</v>
      </c>
      <c r="H21" s="383">
        <v>1175882931.2200007</v>
      </c>
      <c r="I21" s="383">
        <v>686029.79</v>
      </c>
      <c r="J21" s="383">
        <v>16172223.880000001</v>
      </c>
      <c r="K21" s="383">
        <v>2863863585.8699985</v>
      </c>
      <c r="L21" s="383">
        <v>2846473553.0799999</v>
      </c>
      <c r="M21" s="383">
        <v>1282353157.400002</v>
      </c>
      <c r="N21" s="383">
        <v>2999248027.0100036</v>
      </c>
      <c r="O21" s="383">
        <v>1049061020.6700002</v>
      </c>
      <c r="P21" s="383">
        <v>379335383.86000013</v>
      </c>
      <c r="Q21" s="383">
        <v>772893706.46000016</v>
      </c>
      <c r="R21" s="383">
        <v>1657226312.0199988</v>
      </c>
      <c r="S21" s="382">
        <v>-49002565.789999984</v>
      </c>
      <c r="T21" s="382">
        <v>441834129.52000022</v>
      </c>
      <c r="U21" s="382">
        <v>31965922.219999995</v>
      </c>
      <c r="V21" s="382">
        <v>1467.23</v>
      </c>
      <c r="W21" s="382">
        <v>197345.57000000004</v>
      </c>
      <c r="X21" s="382">
        <v>970063.35999999987</v>
      </c>
      <c r="Y21" s="382">
        <v>12388991.389999993</v>
      </c>
      <c r="Z21" s="382">
        <v>28126709.979999997</v>
      </c>
      <c r="AA21" s="382">
        <v>94961419.039999962</v>
      </c>
      <c r="AB21" s="382">
        <v>38925908.279999979</v>
      </c>
      <c r="AC21" s="556">
        <f t="shared" si="1"/>
        <v>15785391869.760004</v>
      </c>
      <c r="AD21" s="320">
        <f t="shared" si="0"/>
        <v>108</v>
      </c>
    </row>
    <row r="22" spans="1:33">
      <c r="A22" s="320">
        <f t="shared" si="2"/>
        <v>109</v>
      </c>
      <c r="B22" s="552" t="s">
        <v>83</v>
      </c>
      <c r="C22" s="197">
        <f>'1-DRR'!$K$2</f>
        <v>2021</v>
      </c>
      <c r="D22" s="383">
        <v>-87932.780000000072</v>
      </c>
      <c r="E22" s="383">
        <v>17724024.739999998</v>
      </c>
      <c r="F22" s="383">
        <v>113807522.87000012</v>
      </c>
      <c r="G22" s="383">
        <v>10976068.430000007</v>
      </c>
      <c r="H22" s="383">
        <v>1179214283.029999</v>
      </c>
      <c r="I22" s="383">
        <v>598456.54</v>
      </c>
      <c r="J22" s="383">
        <v>16338548.65</v>
      </c>
      <c r="K22" s="383">
        <v>2881659543.6299982</v>
      </c>
      <c r="L22" s="383">
        <v>2853472976.4699998</v>
      </c>
      <c r="M22" s="383">
        <v>1286748561.3000011</v>
      </c>
      <c r="N22" s="383">
        <v>3009212597.8600006</v>
      </c>
      <c r="O22" s="383">
        <v>1055345340.4099993</v>
      </c>
      <c r="P22" s="383">
        <v>382036487.25000018</v>
      </c>
      <c r="Q22" s="383">
        <v>776015484.28999949</v>
      </c>
      <c r="R22" s="383">
        <v>1663431578.8200016</v>
      </c>
      <c r="S22" s="382">
        <v>-48505981.900000013</v>
      </c>
      <c r="T22" s="382">
        <v>447307046.2899999</v>
      </c>
      <c r="U22" s="382">
        <v>31965922.020000003</v>
      </c>
      <c r="V22" s="382">
        <v>1552.46</v>
      </c>
      <c r="W22" s="382">
        <v>208298.96000000002</v>
      </c>
      <c r="X22" s="382">
        <v>970063.41</v>
      </c>
      <c r="Y22" s="382">
        <v>12431442.919999996</v>
      </c>
      <c r="Z22" s="382">
        <v>28255855.940000005</v>
      </c>
      <c r="AA22" s="382">
        <v>95354167.420000002</v>
      </c>
      <c r="AB22" s="382">
        <v>39079729.470000014</v>
      </c>
      <c r="AC22" s="556">
        <f t="shared" si="1"/>
        <v>15853561638.499996</v>
      </c>
      <c r="AD22" s="320">
        <f t="shared" si="0"/>
        <v>109</v>
      </c>
    </row>
    <row r="23" spans="1:33">
      <c r="A23" s="320">
        <f t="shared" si="2"/>
        <v>110</v>
      </c>
      <c r="B23" s="552" t="s">
        <v>84</v>
      </c>
      <c r="C23" s="197">
        <f>'1-DRR'!$K$2</f>
        <v>2021</v>
      </c>
      <c r="D23" s="383">
        <v>-89236.09000000004</v>
      </c>
      <c r="E23" s="383">
        <v>18043790.840000011</v>
      </c>
      <c r="F23" s="383">
        <v>114103982.06000008</v>
      </c>
      <c r="G23" s="383">
        <v>11029851.82</v>
      </c>
      <c r="H23" s="383">
        <v>1187251276.2199996</v>
      </c>
      <c r="I23" s="383">
        <v>601079.39000000013</v>
      </c>
      <c r="J23" s="383">
        <v>16505478.929999998</v>
      </c>
      <c r="K23" s="383">
        <v>2893501391.0699987</v>
      </c>
      <c r="L23" s="383">
        <v>2858558468.3399963</v>
      </c>
      <c r="M23" s="383">
        <v>1294311086.9000006</v>
      </c>
      <c r="N23" s="383">
        <v>3024431518.9400001</v>
      </c>
      <c r="O23" s="383">
        <v>1059983689.6000004</v>
      </c>
      <c r="P23" s="383">
        <v>385313040.61999977</v>
      </c>
      <c r="Q23" s="383">
        <v>777855356.53999937</v>
      </c>
      <c r="R23" s="383">
        <v>1668524608.0700011</v>
      </c>
      <c r="S23" s="382">
        <v>-48221978.909999974</v>
      </c>
      <c r="T23" s="382">
        <v>452567789.73000002</v>
      </c>
      <c r="U23" s="382">
        <v>31965922.809999999</v>
      </c>
      <c r="V23" s="382">
        <v>1637.69</v>
      </c>
      <c r="W23" s="382">
        <v>219261.89</v>
      </c>
      <c r="X23" s="382">
        <v>970063.44</v>
      </c>
      <c r="Y23" s="382">
        <v>12460814.640000001</v>
      </c>
      <c r="Z23" s="382">
        <v>28388543.989999995</v>
      </c>
      <c r="AA23" s="382">
        <v>95772444.179999977</v>
      </c>
      <c r="AB23" s="382">
        <v>39247566.059999995</v>
      </c>
      <c r="AC23" s="556">
        <f t="shared" si="1"/>
        <v>15923297448.769995</v>
      </c>
      <c r="AD23" s="320">
        <f t="shared" si="0"/>
        <v>110</v>
      </c>
    </row>
    <row r="24" spans="1:33">
      <c r="A24" s="320">
        <f t="shared" si="2"/>
        <v>111</v>
      </c>
      <c r="B24" s="552" t="s">
        <v>85</v>
      </c>
      <c r="C24" s="197">
        <f>'1-DRR'!$K$2</f>
        <v>2021</v>
      </c>
      <c r="D24" s="383">
        <v>-91067.740000000049</v>
      </c>
      <c r="E24" s="383">
        <v>18363558.319999997</v>
      </c>
      <c r="F24" s="383">
        <v>114488298.35000016</v>
      </c>
      <c r="G24" s="383">
        <v>11126635.459999999</v>
      </c>
      <c r="H24" s="383">
        <v>1189275472.0900011</v>
      </c>
      <c r="I24" s="383">
        <v>603724.80000000028</v>
      </c>
      <c r="J24" s="383">
        <v>16671290.410000002</v>
      </c>
      <c r="K24" s="383">
        <v>2911974319.590003</v>
      </c>
      <c r="L24" s="383">
        <v>2866875709.3899994</v>
      </c>
      <c r="M24" s="383">
        <v>1300088999.3899987</v>
      </c>
      <c r="N24" s="383">
        <v>3036081618.7800007</v>
      </c>
      <c r="O24" s="383">
        <v>1068974460.3499995</v>
      </c>
      <c r="P24" s="383">
        <v>387348409.40999997</v>
      </c>
      <c r="Q24" s="383">
        <v>780528187.22999978</v>
      </c>
      <c r="R24" s="383">
        <v>1674437791.7999997</v>
      </c>
      <c r="S24" s="382">
        <v>-48025629.149999991</v>
      </c>
      <c r="T24" s="382">
        <v>457431402.41000003</v>
      </c>
      <c r="U24" s="382">
        <v>31965922.41</v>
      </c>
      <c r="V24" s="382">
        <v>1722.92</v>
      </c>
      <c r="W24" s="382">
        <v>230216.77000000002</v>
      </c>
      <c r="X24" s="382">
        <v>970063.41999999993</v>
      </c>
      <c r="Y24" s="382">
        <v>12499334.699999988</v>
      </c>
      <c r="Z24" s="382">
        <v>28307131.479999997</v>
      </c>
      <c r="AA24" s="382">
        <v>96160979.209999979</v>
      </c>
      <c r="AB24" s="382">
        <v>39440739.62999998</v>
      </c>
      <c r="AC24" s="556">
        <f t="shared" si="1"/>
        <v>15995729291.430002</v>
      </c>
      <c r="AD24" s="320">
        <f t="shared" si="0"/>
        <v>111</v>
      </c>
      <c r="AE24" s="506"/>
    </row>
    <row r="25" spans="1:33">
      <c r="A25" s="320">
        <f t="shared" si="2"/>
        <v>112</v>
      </c>
      <c r="B25" s="552" t="s">
        <v>75</v>
      </c>
      <c r="C25" s="197">
        <f>'1-DRR'!$K$2</f>
        <v>2021</v>
      </c>
      <c r="D25" s="383">
        <v>-154848.06000000008</v>
      </c>
      <c r="E25" s="383">
        <v>18684579.360000011</v>
      </c>
      <c r="F25" s="383">
        <v>114665948.34000027</v>
      </c>
      <c r="G25" s="383">
        <v>11131641.540000005</v>
      </c>
      <c r="H25" s="383">
        <v>1196338603.2199993</v>
      </c>
      <c r="I25" s="383">
        <v>585947.57000000007</v>
      </c>
      <c r="J25" s="383">
        <v>16837101.329999998</v>
      </c>
      <c r="K25" s="383">
        <v>2935023572.7500005</v>
      </c>
      <c r="L25" s="383">
        <v>2876709145.9000025</v>
      </c>
      <c r="M25" s="383">
        <v>1306423836.6400023</v>
      </c>
      <c r="N25" s="383">
        <v>3042472839.0100012</v>
      </c>
      <c r="O25" s="383">
        <v>1075305915.950001</v>
      </c>
      <c r="P25" s="383">
        <v>390265109.80999994</v>
      </c>
      <c r="Q25" s="383">
        <v>783180834.98000026</v>
      </c>
      <c r="R25" s="383">
        <v>1680213155.3599999</v>
      </c>
      <c r="S25" s="382">
        <v>-48152844.489999995</v>
      </c>
      <c r="T25" s="382">
        <v>474060807.31999999</v>
      </c>
      <c r="U25" s="382">
        <v>31965922.330000002</v>
      </c>
      <c r="V25" s="382">
        <v>1808.15</v>
      </c>
      <c r="W25" s="382">
        <v>241046.47000000003</v>
      </c>
      <c r="X25" s="382">
        <v>970063.41</v>
      </c>
      <c r="Y25" s="382">
        <v>12541471.209999997</v>
      </c>
      <c r="Z25" s="382">
        <v>28428570.900000002</v>
      </c>
      <c r="AA25" s="382">
        <v>96557244.170000032</v>
      </c>
      <c r="AB25" s="382">
        <v>39578288.850000009</v>
      </c>
      <c r="AC25" s="556">
        <f t="shared" si="1"/>
        <v>16083875762.020004</v>
      </c>
      <c r="AD25" s="320">
        <f t="shared" si="0"/>
        <v>112</v>
      </c>
      <c r="AE25" s="506"/>
      <c r="AF25" s="17"/>
      <c r="AG25" s="17"/>
    </row>
    <row r="26" spans="1:33">
      <c r="A26" s="320">
        <f t="shared" si="2"/>
        <v>113</v>
      </c>
      <c r="B26" s="557" t="s">
        <v>197</v>
      </c>
      <c r="C26" s="558"/>
      <c r="D26" s="549">
        <f>SUM(D13:D25)/13</f>
        <v>-50653.410769230795</v>
      </c>
      <c r="E26" s="549">
        <f t="shared" ref="E26:Q26" si="3">SUM(E13:E25)/13</f>
        <v>16764687.622307692</v>
      </c>
      <c r="F26" s="549">
        <f t="shared" si="3"/>
        <v>112965470.64384626</v>
      </c>
      <c r="G26" s="549">
        <f t="shared" si="3"/>
        <v>10849465.456923077</v>
      </c>
      <c r="H26" s="549">
        <f t="shared" si="3"/>
        <v>1162363700.9269233</v>
      </c>
      <c r="I26" s="549">
        <f t="shared" si="3"/>
        <v>638678.84692307701</v>
      </c>
      <c r="J26" s="549">
        <f t="shared" si="3"/>
        <v>15837551.260769229</v>
      </c>
      <c r="K26" s="549">
        <f t="shared" si="3"/>
        <v>2823856014.2369223</v>
      </c>
      <c r="L26" s="549">
        <f t="shared" si="3"/>
        <v>2832832729.0276928</v>
      </c>
      <c r="M26" s="549">
        <f t="shared" si="3"/>
        <v>1269512591.6169233</v>
      </c>
      <c r="N26" s="549">
        <f t="shared" si="3"/>
        <v>2972285410.1646161</v>
      </c>
      <c r="O26" s="549">
        <f t="shared" si="3"/>
        <v>1039240662.39</v>
      </c>
      <c r="P26" s="549">
        <f t="shared" si="3"/>
        <v>373524964.17307693</v>
      </c>
      <c r="Q26" s="549">
        <f t="shared" si="3"/>
        <v>767600685.79384625</v>
      </c>
      <c r="R26" s="549">
        <f>SUM(R13:R25)/13</f>
        <v>1646716553.9123077</v>
      </c>
      <c r="S26" s="549">
        <f t="shared" ref="S26:AC26" si="4">SUM(S13:S25)/13</f>
        <v>-49623617.327692308</v>
      </c>
      <c r="T26" s="549">
        <f t="shared" si="4"/>
        <v>433815140.59461534</v>
      </c>
      <c r="U26" s="549">
        <f t="shared" si="4"/>
        <v>31965922.418461539</v>
      </c>
      <c r="V26" s="549">
        <f t="shared" si="4"/>
        <v>1316.0346153846153</v>
      </c>
      <c r="W26" s="549">
        <f t="shared" si="4"/>
        <v>178095.85923076927</v>
      </c>
      <c r="X26" s="549">
        <f t="shared" si="4"/>
        <v>970063.4261538462</v>
      </c>
      <c r="Y26" s="549">
        <f t="shared" si="4"/>
        <v>12311172.386923075</v>
      </c>
      <c r="Z26" s="549">
        <f t="shared" si="4"/>
        <v>27877533.240769226</v>
      </c>
      <c r="AA26" s="549">
        <f t="shared" si="4"/>
        <v>94334049.19076921</v>
      </c>
      <c r="AB26" s="549">
        <f t="shared" si="4"/>
        <v>38516742.13076923</v>
      </c>
      <c r="AC26" s="549">
        <f t="shared" si="4"/>
        <v>15635284930.61692</v>
      </c>
      <c r="AD26" s="320">
        <f t="shared" si="0"/>
        <v>113</v>
      </c>
      <c r="AE26" s="506"/>
    </row>
    <row r="27" spans="1:33">
      <c r="A27" s="318"/>
      <c r="B27" s="317"/>
      <c r="C27" s="317"/>
      <c r="D27" s="317"/>
      <c r="E27" s="317"/>
      <c r="F27" s="317"/>
      <c r="G27" s="317"/>
      <c r="H27" s="317"/>
      <c r="I27" s="317"/>
      <c r="J27" s="317"/>
      <c r="K27" s="317"/>
      <c r="L27" s="317"/>
      <c r="M27" s="317"/>
      <c r="N27" s="317"/>
      <c r="O27" s="317"/>
      <c r="P27" s="317"/>
      <c r="Q27" s="317"/>
      <c r="AD27" s="320"/>
    </row>
    <row r="28" spans="1:33">
      <c r="A28" s="318"/>
      <c r="B28" s="317"/>
      <c r="C28" s="317"/>
      <c r="D28" s="317"/>
      <c r="E28" s="317"/>
      <c r="F28" s="317"/>
      <c r="G28" s="317"/>
      <c r="H28" s="317"/>
      <c r="I28" s="317"/>
      <c r="J28" s="317"/>
      <c r="K28" s="317"/>
      <c r="L28" s="317"/>
      <c r="M28" s="317"/>
      <c r="N28" s="317"/>
      <c r="O28" s="317"/>
      <c r="P28" s="317"/>
      <c r="Q28" s="317"/>
      <c r="V28" s="123"/>
      <c r="W28" s="123"/>
      <c r="AD28" s="320"/>
    </row>
    <row r="29" spans="1:33">
      <c r="B29" s="65" t="s">
        <v>1053</v>
      </c>
      <c r="C29" s="65"/>
      <c r="D29" s="138"/>
      <c r="E29" s="138"/>
      <c r="F29" s="551"/>
      <c r="G29" s="551"/>
      <c r="H29" s="551"/>
      <c r="I29" s="138"/>
      <c r="J29" s="138"/>
      <c r="K29" s="138"/>
      <c r="L29" s="138"/>
      <c r="M29" s="138"/>
      <c r="N29" s="138"/>
      <c r="O29" s="138"/>
      <c r="P29" s="138"/>
      <c r="Q29" s="138"/>
      <c r="R29" s="551"/>
      <c r="S29" s="551"/>
      <c r="T29" s="551"/>
      <c r="U29" s="551"/>
      <c r="V29" s="551"/>
      <c r="W29" s="551"/>
      <c r="X29" s="551"/>
      <c r="Y29" s="551"/>
      <c r="Z29" s="551"/>
      <c r="AA29" s="551"/>
      <c r="AB29" s="551"/>
      <c r="AC29" s="551"/>
    </row>
    <row r="30" spans="1:33">
      <c r="B30" s="663" t="s">
        <v>1180</v>
      </c>
      <c r="C30" s="7"/>
      <c r="D30" s="319"/>
      <c r="E30" s="319"/>
      <c r="F30" s="163"/>
      <c r="G30" s="163"/>
      <c r="H30" s="163"/>
      <c r="I30" s="319"/>
      <c r="J30" s="319"/>
      <c r="K30" s="319"/>
      <c r="L30" s="319"/>
      <c r="M30" s="319"/>
      <c r="N30" s="317"/>
      <c r="O30" s="317"/>
      <c r="P30" s="317"/>
      <c r="Q30" s="317"/>
    </row>
    <row r="31" spans="1:33">
      <c r="C31" s="2"/>
      <c r="D31" s="317"/>
      <c r="E31" s="317"/>
      <c r="I31" s="317"/>
      <c r="J31" s="317"/>
      <c r="K31" s="317"/>
      <c r="L31" s="317"/>
      <c r="M31" s="317"/>
      <c r="N31" s="317"/>
      <c r="O31" s="317"/>
      <c r="P31" s="317"/>
      <c r="Q31" s="317"/>
    </row>
    <row r="32" spans="1:33">
      <c r="C32" s="2"/>
      <c r="D32" s="317"/>
      <c r="E32" s="317"/>
      <c r="I32" s="317"/>
      <c r="J32" s="317"/>
      <c r="K32" s="317"/>
      <c r="L32" s="317"/>
      <c r="M32" s="317"/>
      <c r="N32" s="317"/>
      <c r="O32" s="317"/>
      <c r="P32" s="317"/>
      <c r="Q32" s="317"/>
    </row>
    <row r="33" spans="1:30">
      <c r="A33" s="639"/>
      <c r="D33" s="394" t="s">
        <v>62</v>
      </c>
      <c r="E33" s="394" t="s">
        <v>63</v>
      </c>
      <c r="F33" s="394" t="s">
        <v>64</v>
      </c>
      <c r="G33" s="394" t="s">
        <v>65</v>
      </c>
      <c r="H33" s="394" t="s">
        <v>66</v>
      </c>
      <c r="I33" s="394" t="s">
        <v>67</v>
      </c>
      <c r="J33" s="394" t="s">
        <v>68</v>
      </c>
      <c r="K33" s="394" t="s">
        <v>69</v>
      </c>
      <c r="L33" s="394" t="s">
        <v>70</v>
      </c>
      <c r="M33" s="394" t="s">
        <v>141</v>
      </c>
      <c r="N33" s="394" t="s">
        <v>142</v>
      </c>
      <c r="O33" s="394" t="s">
        <v>143</v>
      </c>
      <c r="P33" s="394" t="s">
        <v>144</v>
      </c>
      <c r="Q33" s="394" t="s">
        <v>145</v>
      </c>
      <c r="R33" s="394" t="s">
        <v>452</v>
      </c>
      <c r="S33" s="394" t="s">
        <v>807</v>
      </c>
      <c r="T33" s="394" t="s">
        <v>808</v>
      </c>
      <c r="U33" s="394" t="s">
        <v>865</v>
      </c>
      <c r="V33" s="394" t="s">
        <v>866</v>
      </c>
      <c r="W33" s="394" t="s">
        <v>867</v>
      </c>
      <c r="X33" s="394" t="s">
        <v>868</v>
      </c>
      <c r="Y33" s="394" t="s">
        <v>869</v>
      </c>
      <c r="Z33" s="394" t="s">
        <v>870</v>
      </c>
      <c r="AA33" s="394" t="s">
        <v>871</v>
      </c>
      <c r="AB33" s="394" t="s">
        <v>1130</v>
      </c>
      <c r="AC33" s="394" t="s">
        <v>1051</v>
      </c>
    </row>
    <row r="34" spans="1:30" ht="60">
      <c r="D34" s="664" t="s">
        <v>1083</v>
      </c>
      <c r="E34" s="664" t="s">
        <v>1132</v>
      </c>
      <c r="F34" s="664" t="s">
        <v>1133</v>
      </c>
      <c r="G34" s="664" t="s">
        <v>1134</v>
      </c>
      <c r="H34" s="664" t="s">
        <v>1135</v>
      </c>
      <c r="I34" s="664" t="s">
        <v>1136</v>
      </c>
      <c r="J34" s="664" t="s">
        <v>1137</v>
      </c>
      <c r="K34" s="664" t="s">
        <v>1138</v>
      </c>
      <c r="L34" s="664" t="s">
        <v>1139</v>
      </c>
      <c r="M34" s="664" t="s">
        <v>1140</v>
      </c>
      <c r="N34" s="664" t="s">
        <v>1141</v>
      </c>
      <c r="O34" s="664" t="s">
        <v>1142</v>
      </c>
      <c r="P34" s="664" t="s">
        <v>1143</v>
      </c>
      <c r="Q34" s="664" t="s">
        <v>1144</v>
      </c>
      <c r="R34" s="664" t="s">
        <v>1145</v>
      </c>
      <c r="S34" s="664" t="s">
        <v>1146</v>
      </c>
      <c r="T34" s="664" t="s">
        <v>1147</v>
      </c>
      <c r="U34" s="664" t="s">
        <v>1148</v>
      </c>
      <c r="V34" s="664" t="s">
        <v>1149</v>
      </c>
      <c r="W34" s="664" t="s">
        <v>1150</v>
      </c>
      <c r="X34" s="664" t="s">
        <v>1151</v>
      </c>
      <c r="Y34" s="664" t="s">
        <v>1152</v>
      </c>
      <c r="Z34" s="664" t="s">
        <v>1153</v>
      </c>
      <c r="AA34" s="664" t="s">
        <v>1154</v>
      </c>
      <c r="AB34" s="664" t="s">
        <v>1155</v>
      </c>
      <c r="AC34" s="555" t="s">
        <v>1052</v>
      </c>
    </row>
    <row r="35" spans="1:30">
      <c r="B35" s="639"/>
      <c r="C35" s="639"/>
      <c r="L35" s="147"/>
      <c r="R35" s="467"/>
      <c r="S35" s="467"/>
      <c r="T35" s="467"/>
      <c r="AC35" s="467"/>
    </row>
    <row r="36" spans="1:30">
      <c r="A36" s="320"/>
      <c r="B36" s="320"/>
      <c r="C36" s="327" t="s">
        <v>195</v>
      </c>
      <c r="D36" s="115">
        <v>360</v>
      </c>
      <c r="E36" s="115">
        <v>360</v>
      </c>
      <c r="F36" s="115">
        <v>361</v>
      </c>
      <c r="G36" s="115">
        <v>361</v>
      </c>
      <c r="H36" s="115">
        <v>362</v>
      </c>
      <c r="I36" s="115">
        <v>363</v>
      </c>
      <c r="J36" s="115">
        <v>363</v>
      </c>
      <c r="K36" s="115">
        <v>364</v>
      </c>
      <c r="L36" s="115">
        <v>365</v>
      </c>
      <c r="M36" s="115">
        <v>366</v>
      </c>
      <c r="N36" s="115">
        <v>367</v>
      </c>
      <c r="O36" s="115">
        <v>368</v>
      </c>
      <c r="P36" s="115">
        <v>368</v>
      </c>
      <c r="Q36" s="115">
        <v>369</v>
      </c>
      <c r="R36" s="115">
        <v>369</v>
      </c>
      <c r="S36" s="115">
        <v>370</v>
      </c>
      <c r="T36" s="115">
        <v>370</v>
      </c>
      <c r="U36" s="115">
        <v>371</v>
      </c>
      <c r="V36" s="115">
        <v>371</v>
      </c>
      <c r="W36" s="115">
        <v>371</v>
      </c>
      <c r="X36" s="115">
        <v>372</v>
      </c>
      <c r="Y36" s="115">
        <v>373</v>
      </c>
      <c r="Z36" s="115">
        <v>373</v>
      </c>
      <c r="AA36" s="115">
        <v>373</v>
      </c>
      <c r="AB36" s="115">
        <v>373</v>
      </c>
    </row>
    <row r="37" spans="1:30">
      <c r="A37" s="324" t="s">
        <v>86</v>
      </c>
      <c r="B37" s="324" t="s">
        <v>58</v>
      </c>
      <c r="C37" s="324" t="s">
        <v>73</v>
      </c>
      <c r="D37" s="394" t="s">
        <v>971</v>
      </c>
      <c r="E37" s="394" t="s">
        <v>956</v>
      </c>
      <c r="F37" s="394" t="s">
        <v>957</v>
      </c>
      <c r="G37" s="394" t="s">
        <v>958</v>
      </c>
      <c r="H37" s="394" t="s">
        <v>959</v>
      </c>
      <c r="I37" s="394" t="s">
        <v>960</v>
      </c>
      <c r="J37" s="394" t="s">
        <v>961</v>
      </c>
      <c r="K37" s="394" t="s">
        <v>962</v>
      </c>
      <c r="L37" s="394" t="s">
        <v>963</v>
      </c>
      <c r="M37" s="394" t="s">
        <v>964</v>
      </c>
      <c r="N37" s="394" t="s">
        <v>965</v>
      </c>
      <c r="O37" s="394" t="s">
        <v>966</v>
      </c>
      <c r="P37" s="394" t="s">
        <v>967</v>
      </c>
      <c r="Q37" s="394" t="s">
        <v>968</v>
      </c>
      <c r="R37" s="394" t="s">
        <v>969</v>
      </c>
      <c r="S37" s="394" t="s">
        <v>972</v>
      </c>
      <c r="T37" s="394" t="s">
        <v>970</v>
      </c>
      <c r="U37" s="394" t="s">
        <v>973</v>
      </c>
      <c r="V37" s="394" t="s">
        <v>974</v>
      </c>
      <c r="W37" s="394" t="s">
        <v>975</v>
      </c>
      <c r="X37" s="394" t="s">
        <v>976</v>
      </c>
      <c r="Y37" s="394" t="s">
        <v>977</v>
      </c>
      <c r="Z37" s="394" t="s">
        <v>978</v>
      </c>
      <c r="AA37" s="394" t="s">
        <v>979</v>
      </c>
      <c r="AB37" s="394" t="s">
        <v>980</v>
      </c>
      <c r="AC37" s="324" t="s">
        <v>196</v>
      </c>
      <c r="AD37" s="324" t="str">
        <f t="shared" ref="AD37:AD51" si="5">A37</f>
        <v>Line</v>
      </c>
    </row>
    <row r="38" spans="1:30">
      <c r="A38" s="320">
        <v>200</v>
      </c>
      <c r="B38" s="552" t="s">
        <v>75</v>
      </c>
      <c r="C38" s="197">
        <f>'1-DRR'!$K$2-1</f>
        <v>2020</v>
      </c>
      <c r="D38" s="386">
        <f>D$13*'6-PlantJurisdiction'!$E$37</f>
        <v>11.467328079850455</v>
      </c>
      <c r="E38" s="386">
        <f>E$13*'6-PlantJurisdiction'!$E$37</f>
        <v>7603466.1111562457</v>
      </c>
      <c r="F38" s="386">
        <f>F$13*'6-PlantJurisdiction'!$E$38</f>
        <v>111278185.31000006</v>
      </c>
      <c r="G38" s="386">
        <f>G$13*'6-PlantJurisdiction'!$E$38</f>
        <v>10674465.230000004</v>
      </c>
      <c r="H38" s="386">
        <f>H$13*'6-PlantJurisdiction'!$E$39</f>
        <v>1132892113.4000032</v>
      </c>
      <c r="I38" s="386">
        <f>I$13*'6-PlantJurisdiction'!$E$40</f>
        <v>629292.68000000005</v>
      </c>
      <c r="J38" s="386">
        <f>J$13*'6-PlantJurisdiction'!$E$40</f>
        <v>14827148.080000002</v>
      </c>
      <c r="K38" s="386">
        <f>K$13*'6-PlantJurisdiction'!$E$41</f>
        <v>2159248360.2513928</v>
      </c>
      <c r="L38" s="386">
        <f>L$13*'6-PlantJurisdiction'!$E$42</f>
        <v>2226581429.2214737</v>
      </c>
      <c r="M38" s="386">
        <f>M$13*'6-PlantJurisdiction'!$E$43</f>
        <v>481609084.67699701</v>
      </c>
      <c r="N38" s="386">
        <f>N$13*'6-PlantJurisdiction'!$E$44</f>
        <v>1129945148.4350138</v>
      </c>
      <c r="O38" s="386">
        <f>O$13*'6-PlantJurisdiction'!$E$45</f>
        <v>0</v>
      </c>
      <c r="P38" s="386">
        <f>P$13*'6-PlantJurisdiction'!$E$45</f>
        <v>0</v>
      </c>
      <c r="Q38" s="386">
        <f>Q$13*'6-PlantJurisdiction'!$E$46</f>
        <v>0</v>
      </c>
      <c r="R38" s="386">
        <f>R$13*'6-PlantJurisdiction'!$E$46</f>
        <v>0</v>
      </c>
      <c r="S38" s="386">
        <f>S$13*'6-PlantJurisdiction'!$E$47</f>
        <v>0</v>
      </c>
      <c r="T38" s="386">
        <f>T$13*'6-PlantJurisdiction'!$E$47</f>
        <v>0</v>
      </c>
      <c r="U38" s="386">
        <f>U$13*'6-PlantJurisdiction'!$E$48</f>
        <v>0</v>
      </c>
      <c r="V38" s="386">
        <f>V$13*'6-PlantJurisdiction'!$E$48</f>
        <v>0</v>
      </c>
      <c r="W38" s="386">
        <f>W$13*'6-PlantJurisdiction'!$E$48</f>
        <v>0</v>
      </c>
      <c r="X38" s="386">
        <f>X$13*'6-PlantJurisdiction'!$E$49</f>
        <v>0</v>
      </c>
      <c r="Y38" s="386">
        <f>Y$13*'6-PlantJurisdiction'!$E$50</f>
        <v>0</v>
      </c>
      <c r="Z38" s="386">
        <f>Z$13*'6-PlantJurisdiction'!$E$50</f>
        <v>0</v>
      </c>
      <c r="AA38" s="386">
        <f>AA$13*'6-PlantJurisdiction'!$E$50</f>
        <v>0</v>
      </c>
      <c r="AB38" s="386">
        <f>AB$13*'6-PlantJurisdiction'!$E$50</f>
        <v>0</v>
      </c>
      <c r="AC38" s="556">
        <f t="shared" ref="AC38:AC50" si="6">SUM(D38:AB38)</f>
        <v>7275288704.8633652</v>
      </c>
      <c r="AD38" s="320">
        <f t="shared" si="5"/>
        <v>200</v>
      </c>
    </row>
    <row r="39" spans="1:30">
      <c r="A39" s="320">
        <f>A38+1</f>
        <v>201</v>
      </c>
      <c r="B39" s="552" t="s">
        <v>76</v>
      </c>
      <c r="C39" s="197">
        <f>'1-DRR'!$K$2</f>
        <v>2021</v>
      </c>
      <c r="D39" s="386">
        <f>D$14*'6-PlantJurisdiction'!$E$37</f>
        <v>11.487814597188276</v>
      </c>
      <c r="E39" s="386">
        <f>E$14*'6-PlantJurisdiction'!$E$37</f>
        <v>7767223.863426785</v>
      </c>
      <c r="F39" s="386">
        <f>F$14*'6-PlantJurisdiction'!$E$38</f>
        <v>111580593.79000008</v>
      </c>
      <c r="G39" s="386">
        <f>G$14*'6-PlantJurisdiction'!$E$38</f>
        <v>10659298.489999996</v>
      </c>
      <c r="H39" s="386">
        <f>H$14*'6-PlantJurisdiction'!$E$39</f>
        <v>1131379858.2200007</v>
      </c>
      <c r="I39" s="386">
        <f>I$14*'6-PlantJurisdiction'!$E$40</f>
        <v>635537.76999999979</v>
      </c>
      <c r="J39" s="386">
        <f>J$14*'6-PlantJurisdiction'!$E$40</f>
        <v>15006811.799999999</v>
      </c>
      <c r="K39" s="386">
        <f>K$14*'6-PlantJurisdiction'!$E$41</f>
        <v>2178697211.8620558</v>
      </c>
      <c r="L39" s="386">
        <f>L$14*'6-PlantJurisdiction'!$E$42</f>
        <v>2235116632.4652109</v>
      </c>
      <c r="M39" s="386">
        <f>M$14*'6-PlantJurisdiction'!$E$43</f>
        <v>483744288.61825264</v>
      </c>
      <c r="N39" s="386">
        <f>N$14*'6-PlantJurisdiction'!$E$44</f>
        <v>1134524605.8055015</v>
      </c>
      <c r="O39" s="386">
        <f>O$14*'6-PlantJurisdiction'!$E$45</f>
        <v>0</v>
      </c>
      <c r="P39" s="386">
        <f>P$14*'6-PlantJurisdiction'!$E$45</f>
        <v>0</v>
      </c>
      <c r="Q39" s="386">
        <f>Q$14*'6-PlantJurisdiction'!$E$46</f>
        <v>0</v>
      </c>
      <c r="R39" s="386">
        <f>R$14*'6-PlantJurisdiction'!$E$46</f>
        <v>0</v>
      </c>
      <c r="S39" s="386">
        <f>S$14*'6-PlantJurisdiction'!$E$47</f>
        <v>0</v>
      </c>
      <c r="T39" s="386">
        <f>T$14*'6-PlantJurisdiction'!$E$47</f>
        <v>0</v>
      </c>
      <c r="U39" s="386">
        <f>U$14*'6-PlantJurisdiction'!$E$48</f>
        <v>0</v>
      </c>
      <c r="V39" s="386">
        <f>V$14*'6-PlantJurisdiction'!$E$48</f>
        <v>0</v>
      </c>
      <c r="W39" s="386">
        <f>W$14*'6-PlantJurisdiction'!$E$48</f>
        <v>0</v>
      </c>
      <c r="X39" s="386">
        <f>X$14*'6-PlantJurisdiction'!$E$49</f>
        <v>0</v>
      </c>
      <c r="Y39" s="386">
        <f>Y$14*'6-PlantJurisdiction'!$E$50</f>
        <v>0</v>
      </c>
      <c r="Z39" s="386">
        <f>Z$14*'6-PlantJurisdiction'!$E$50</f>
        <v>0</v>
      </c>
      <c r="AA39" s="386">
        <f>AA$14*'6-PlantJurisdiction'!$E$50</f>
        <v>0</v>
      </c>
      <c r="AB39" s="386">
        <f>AB$14*'6-PlantJurisdiction'!$E$50</f>
        <v>0</v>
      </c>
      <c r="AC39" s="556">
        <f t="shared" si="6"/>
        <v>7309112074.1722622</v>
      </c>
      <c r="AD39" s="320">
        <f t="shared" si="5"/>
        <v>201</v>
      </c>
    </row>
    <row r="40" spans="1:30">
      <c r="A40" s="320">
        <f t="shared" ref="A40:A51" si="7">A39+1</f>
        <v>202</v>
      </c>
      <c r="B40" s="552" t="s">
        <v>77</v>
      </c>
      <c r="C40" s="197">
        <f>'1-DRR'!$K$2</f>
        <v>2021</v>
      </c>
      <c r="D40" s="386">
        <f>D$15*'6-PlantJurisdiction'!$E$37</f>
        <v>11.482692967853808</v>
      </c>
      <c r="E40" s="386">
        <f>E$15*'6-PlantJurisdiction'!$E$37</f>
        <v>7930998.4863443403</v>
      </c>
      <c r="F40" s="386">
        <f>F$15*'6-PlantJurisdiction'!$E$38</f>
        <v>111844664.45999998</v>
      </c>
      <c r="G40" s="386">
        <f>G$15*'6-PlantJurisdiction'!$E$38</f>
        <v>10712023.909999995</v>
      </c>
      <c r="H40" s="386">
        <f>H$15*'6-PlantJurisdiction'!$E$39</f>
        <v>1137539005.9199982</v>
      </c>
      <c r="I40" s="386">
        <f>I$15*'6-PlantJurisdiction'!$E$40</f>
        <v>642539.53000000014</v>
      </c>
      <c r="J40" s="386">
        <f>J$15*'6-PlantJurisdiction'!$E$40</f>
        <v>15172622.4</v>
      </c>
      <c r="K40" s="386">
        <f>K$15*'6-PlantJurisdiction'!$E$41</f>
        <v>2197094119.1827993</v>
      </c>
      <c r="L40" s="386">
        <f>L$15*'6-PlantJurisdiction'!$E$42</f>
        <v>2242824983.3435359</v>
      </c>
      <c r="M40" s="386">
        <f>M$15*'6-PlantJurisdiction'!$E$43</f>
        <v>486264839.40673053</v>
      </c>
      <c r="N40" s="386">
        <f>N$15*'6-PlantJurisdiction'!$E$44</f>
        <v>1139949111.9878531</v>
      </c>
      <c r="O40" s="386">
        <f>O$15*'6-PlantJurisdiction'!$E$45</f>
        <v>0</v>
      </c>
      <c r="P40" s="386">
        <f>P$15*'6-PlantJurisdiction'!$E$45</f>
        <v>0</v>
      </c>
      <c r="Q40" s="386">
        <f>Q$15*'6-PlantJurisdiction'!$E$46</f>
        <v>0</v>
      </c>
      <c r="R40" s="386">
        <f>R$15*'6-PlantJurisdiction'!$E$46</f>
        <v>0</v>
      </c>
      <c r="S40" s="386">
        <f>S$15*'6-PlantJurisdiction'!$E$47</f>
        <v>0</v>
      </c>
      <c r="T40" s="386">
        <f>T$15*'6-PlantJurisdiction'!$E$47</f>
        <v>0</v>
      </c>
      <c r="U40" s="386">
        <f>U$15*'6-PlantJurisdiction'!$E$48</f>
        <v>0</v>
      </c>
      <c r="V40" s="386">
        <f>V$15*'6-PlantJurisdiction'!$E$48</f>
        <v>0</v>
      </c>
      <c r="W40" s="386">
        <f>W$15*'6-PlantJurisdiction'!$E$48</f>
        <v>0</v>
      </c>
      <c r="X40" s="386">
        <f>X$15*'6-PlantJurisdiction'!$E$49</f>
        <v>0</v>
      </c>
      <c r="Y40" s="386">
        <f>Y$15*'6-PlantJurisdiction'!$E$50</f>
        <v>0</v>
      </c>
      <c r="Z40" s="386">
        <f>Z$15*'6-PlantJurisdiction'!$E$50</f>
        <v>0</v>
      </c>
      <c r="AA40" s="386">
        <f>AA$15*'6-PlantJurisdiction'!$E$50</f>
        <v>0</v>
      </c>
      <c r="AB40" s="386">
        <f>AB$15*'6-PlantJurisdiction'!$E$50</f>
        <v>0</v>
      </c>
      <c r="AC40" s="556">
        <f t="shared" si="6"/>
        <v>7349974920.1099539</v>
      </c>
      <c r="AD40" s="320">
        <f t="shared" si="5"/>
        <v>202</v>
      </c>
    </row>
    <row r="41" spans="1:30">
      <c r="A41" s="320">
        <f t="shared" si="7"/>
        <v>203</v>
      </c>
      <c r="B41" s="552" t="s">
        <v>78</v>
      </c>
      <c r="C41" s="197">
        <f>'1-DRR'!$K$2</f>
        <v>2021</v>
      </c>
      <c r="D41" s="386">
        <f>D$16*'6-PlantJurisdiction'!$E$37</f>
        <v>11.405868527836956</v>
      </c>
      <c r="E41" s="386">
        <f>E$16*'6-PlantJurisdiction'!$E$37</f>
        <v>8094808.909450951</v>
      </c>
      <c r="F41" s="386">
        <f>F$16*'6-PlantJurisdiction'!$E$38</f>
        <v>112138871.92999995</v>
      </c>
      <c r="G41" s="386">
        <f>G$16*'6-PlantJurisdiction'!$E$38</f>
        <v>10647725.149999995</v>
      </c>
      <c r="H41" s="386">
        <f>H$16*'6-PlantJurisdiction'!$E$39</f>
        <v>1145016323.7000015</v>
      </c>
      <c r="I41" s="386">
        <f>I$16*'6-PlantJurisdiction'!$E$40</f>
        <v>649614.03</v>
      </c>
      <c r="J41" s="386">
        <f>J$16*'6-PlantJurisdiction'!$E$40</f>
        <v>15338434.4</v>
      </c>
      <c r="K41" s="386">
        <f>K$16*'6-PlantJurisdiction'!$E$41</f>
        <v>2209259870.4600182</v>
      </c>
      <c r="L41" s="386">
        <f>L$16*'6-PlantJurisdiction'!$E$42</f>
        <v>2245927784.197897</v>
      </c>
      <c r="M41" s="386">
        <f>M$16*'6-PlantJurisdiction'!$E$43</f>
        <v>488616502.82415348</v>
      </c>
      <c r="N41" s="386">
        <f>N$16*'6-PlantJurisdiction'!$E$44</f>
        <v>1147323834.9796891</v>
      </c>
      <c r="O41" s="386">
        <f>O$16*'6-PlantJurisdiction'!$E$45</f>
        <v>0</v>
      </c>
      <c r="P41" s="386">
        <f>P$16*'6-PlantJurisdiction'!$E$45</f>
        <v>0</v>
      </c>
      <c r="Q41" s="386">
        <f>Q$16*'6-PlantJurisdiction'!$E$46</f>
        <v>0</v>
      </c>
      <c r="R41" s="386">
        <f>R$16*'6-PlantJurisdiction'!$E$46</f>
        <v>0</v>
      </c>
      <c r="S41" s="386">
        <f>S$16*'6-PlantJurisdiction'!$E$47</f>
        <v>0</v>
      </c>
      <c r="T41" s="386">
        <f>T$16*'6-PlantJurisdiction'!$E$47</f>
        <v>0</v>
      </c>
      <c r="U41" s="386">
        <f>U$16*'6-PlantJurisdiction'!$E$48</f>
        <v>0</v>
      </c>
      <c r="V41" s="386">
        <f>V$16*'6-PlantJurisdiction'!$E$48</f>
        <v>0</v>
      </c>
      <c r="W41" s="386">
        <f>W$16*'6-PlantJurisdiction'!$E$48</f>
        <v>0</v>
      </c>
      <c r="X41" s="386">
        <f>X$16*'6-PlantJurisdiction'!$E$49</f>
        <v>0</v>
      </c>
      <c r="Y41" s="386">
        <f>Y$16*'6-PlantJurisdiction'!$E$50</f>
        <v>0</v>
      </c>
      <c r="Z41" s="386">
        <f>Z$16*'6-PlantJurisdiction'!$E$50</f>
        <v>0</v>
      </c>
      <c r="AA41" s="386">
        <f>AA$16*'6-PlantJurisdiction'!$E$50</f>
        <v>0</v>
      </c>
      <c r="AB41" s="386">
        <f>AB$16*'6-PlantJurisdiction'!$E$50</f>
        <v>0</v>
      </c>
      <c r="AC41" s="556">
        <f t="shared" si="6"/>
        <v>7383013781.9870796</v>
      </c>
      <c r="AD41" s="320">
        <f t="shared" si="5"/>
        <v>203</v>
      </c>
    </row>
    <row r="42" spans="1:30">
      <c r="A42" s="320">
        <f t="shared" si="7"/>
        <v>204</v>
      </c>
      <c r="B42" s="552" t="s">
        <v>79</v>
      </c>
      <c r="C42" s="197">
        <f>'1-DRR'!$K$2</f>
        <v>2021</v>
      </c>
      <c r="D42" s="386">
        <f>D$17*'6-PlantJurisdiction'!$E$37</f>
        <v>11.467328079850462</v>
      </c>
      <c r="E42" s="386">
        <f>E$17*'6-PlantJurisdiction'!$E$37</f>
        <v>8258619.3428008202</v>
      </c>
      <c r="F42" s="386">
        <f>F$17*'6-PlantJurisdiction'!$E$38</f>
        <v>112415199.97000015</v>
      </c>
      <c r="G42" s="386">
        <f>G$17*'6-PlantJurisdiction'!$E$38</f>
        <v>10704504.069999998</v>
      </c>
      <c r="H42" s="386">
        <f>H$17*'6-PlantJurisdiction'!$E$39</f>
        <v>1149783421.2900002</v>
      </c>
      <c r="I42" s="386">
        <f>I$17*'6-PlantJurisdiction'!$E$40</f>
        <v>656795</v>
      </c>
      <c r="J42" s="386">
        <f>J$17*'6-PlantJurisdiction'!$E$40</f>
        <v>15504245.060000001</v>
      </c>
      <c r="K42" s="386">
        <f>K$17*'6-PlantJurisdiction'!$E$41</f>
        <v>2225356129.100688</v>
      </c>
      <c r="L42" s="386">
        <f>L$17*'6-PlantJurisdiction'!$E$42</f>
        <v>2250242418.0092278</v>
      </c>
      <c r="M42" s="386">
        <f>M$17*'6-PlantJurisdiction'!$E$43</f>
        <v>491026797.14345336</v>
      </c>
      <c r="N42" s="386">
        <f>N$17*'6-PlantJurisdiction'!$E$44</f>
        <v>1151931737.8685689</v>
      </c>
      <c r="O42" s="386">
        <f>O$17*'6-PlantJurisdiction'!$E$45</f>
        <v>0</v>
      </c>
      <c r="P42" s="386">
        <f>P$17*'6-PlantJurisdiction'!$E$45</f>
        <v>0</v>
      </c>
      <c r="Q42" s="386">
        <f>Q$17*'6-PlantJurisdiction'!$E$46</f>
        <v>0</v>
      </c>
      <c r="R42" s="386">
        <f>R$17*'6-PlantJurisdiction'!$E$46</f>
        <v>0</v>
      </c>
      <c r="S42" s="386">
        <f>S$17*'6-PlantJurisdiction'!$E$47</f>
        <v>0</v>
      </c>
      <c r="T42" s="386">
        <f>T$17*'6-PlantJurisdiction'!$E$47</f>
        <v>0</v>
      </c>
      <c r="U42" s="386">
        <f>U$17*'6-PlantJurisdiction'!$E$48</f>
        <v>0</v>
      </c>
      <c r="V42" s="386">
        <f>V$17*'6-PlantJurisdiction'!$E$48</f>
        <v>0</v>
      </c>
      <c r="W42" s="386">
        <f>W$17*'6-PlantJurisdiction'!$E$48</f>
        <v>0</v>
      </c>
      <c r="X42" s="386">
        <f>X$17*'6-PlantJurisdiction'!$E$49</f>
        <v>0</v>
      </c>
      <c r="Y42" s="386">
        <f>Y$17*'6-PlantJurisdiction'!$E$50</f>
        <v>0</v>
      </c>
      <c r="Z42" s="386">
        <f>Z$17*'6-PlantJurisdiction'!$E$50</f>
        <v>0</v>
      </c>
      <c r="AA42" s="386">
        <f>AA$17*'6-PlantJurisdiction'!$E$50</f>
        <v>0</v>
      </c>
      <c r="AB42" s="386">
        <f>AB$17*'6-PlantJurisdiction'!$E$50</f>
        <v>0</v>
      </c>
      <c r="AC42" s="556">
        <f t="shared" si="6"/>
        <v>7415879878.3220673</v>
      </c>
      <c r="AD42" s="320">
        <f t="shared" si="5"/>
        <v>204</v>
      </c>
    </row>
    <row r="43" spans="1:30">
      <c r="A43" s="320">
        <f t="shared" si="7"/>
        <v>205</v>
      </c>
      <c r="B43" s="552" t="s">
        <v>61</v>
      </c>
      <c r="C43" s="197">
        <f>'1-DRR'!$K$2</f>
        <v>2021</v>
      </c>
      <c r="D43" s="386">
        <f>D$18*'6-PlantJurisdiction'!$E$37</f>
        <v>-24439.068195516487</v>
      </c>
      <c r="E43" s="386">
        <f>E$18*'6-PlantJurisdiction'!$E$37</f>
        <v>8422427.5226337835</v>
      </c>
      <c r="F43" s="386">
        <f>F$18*'6-PlantJurisdiction'!$E$38</f>
        <v>112737625.5800001</v>
      </c>
      <c r="G43" s="386">
        <f>G$18*'6-PlantJurisdiction'!$E$38</f>
        <v>10760759.169999996</v>
      </c>
      <c r="H43" s="386">
        <f>H$18*'6-PlantJurisdiction'!$E$39</f>
        <v>1155575826.7199996</v>
      </c>
      <c r="I43" s="386">
        <f>I$18*'6-PlantJurisdiction'!$E$40</f>
        <v>664001.86</v>
      </c>
      <c r="J43" s="386">
        <f>J$18*'6-PlantJurisdiction'!$E$40</f>
        <v>15671076.77</v>
      </c>
      <c r="K43" s="386">
        <f>K$18*'6-PlantJurisdiction'!$E$41</f>
        <v>2241706657.1891613</v>
      </c>
      <c r="L43" s="386">
        <f>L$18*'6-PlantJurisdiction'!$E$42</f>
        <v>2254095540.5608487</v>
      </c>
      <c r="M43" s="386">
        <f>M$18*'6-PlantJurisdiction'!$E$43</f>
        <v>493269104.21850765</v>
      </c>
      <c r="N43" s="386">
        <f>N$18*'6-PlantJurisdiction'!$E$44</f>
        <v>1156294921.9501059</v>
      </c>
      <c r="O43" s="386">
        <f>O$18*'6-PlantJurisdiction'!$E$45</f>
        <v>0</v>
      </c>
      <c r="P43" s="386">
        <f>P$18*'6-PlantJurisdiction'!$E$45</f>
        <v>0</v>
      </c>
      <c r="Q43" s="386">
        <f>Q$18*'6-PlantJurisdiction'!$E$46</f>
        <v>0</v>
      </c>
      <c r="R43" s="386">
        <f>R$18*'6-PlantJurisdiction'!$E$46</f>
        <v>0</v>
      </c>
      <c r="S43" s="386">
        <f>S$18*'6-PlantJurisdiction'!$E$47</f>
        <v>0</v>
      </c>
      <c r="T43" s="386">
        <f>T$18*'6-PlantJurisdiction'!$E$47</f>
        <v>0</v>
      </c>
      <c r="U43" s="386">
        <f>U$18*'6-PlantJurisdiction'!$E$48</f>
        <v>0</v>
      </c>
      <c r="V43" s="386">
        <f>V$18*'6-PlantJurisdiction'!$E$48</f>
        <v>0</v>
      </c>
      <c r="W43" s="386">
        <f>W$18*'6-PlantJurisdiction'!$E$48</f>
        <v>0</v>
      </c>
      <c r="X43" s="386">
        <f>X$18*'6-PlantJurisdiction'!$E$49</f>
        <v>0</v>
      </c>
      <c r="Y43" s="386">
        <f>Y$18*'6-PlantJurisdiction'!$E$50</f>
        <v>0</v>
      </c>
      <c r="Z43" s="386">
        <f>Z$18*'6-PlantJurisdiction'!$E$50</f>
        <v>0</v>
      </c>
      <c r="AA43" s="386">
        <f>AA$18*'6-PlantJurisdiction'!$E$50</f>
        <v>0</v>
      </c>
      <c r="AB43" s="386">
        <f>AB$18*'6-PlantJurisdiction'!$E$50</f>
        <v>0</v>
      </c>
      <c r="AC43" s="556">
        <f t="shared" si="6"/>
        <v>7449173502.4730606</v>
      </c>
      <c r="AD43" s="320">
        <f t="shared" si="5"/>
        <v>205</v>
      </c>
    </row>
    <row r="44" spans="1:30">
      <c r="A44" s="320">
        <f t="shared" si="7"/>
        <v>206</v>
      </c>
      <c r="B44" s="552" t="s">
        <v>146</v>
      </c>
      <c r="C44" s="197">
        <f>'1-DRR'!$K$2</f>
        <v>2021</v>
      </c>
      <c r="D44" s="386">
        <f>D$19*'6-PlantJurisdiction'!$E$37</f>
        <v>-27333.213864719768</v>
      </c>
      <c r="E44" s="386">
        <f>E$19*'6-PlantJurisdiction'!$E$37</f>
        <v>8586235.2722498812</v>
      </c>
      <c r="F44" s="386">
        <f>F$19*'6-PlantJurisdiction'!$E$38</f>
        <v>112674171.10999994</v>
      </c>
      <c r="G44" s="386">
        <f>G$19*'6-PlantJurisdiction'!$E$38</f>
        <v>10817540.080000006</v>
      </c>
      <c r="H44" s="386">
        <f>H$19*'6-PlantJurisdiction'!$E$39</f>
        <v>1162799450.4200003</v>
      </c>
      <c r="I44" s="386">
        <f>I$19*'6-PlantJurisdiction'!$E$40</f>
        <v>671250.0199999999</v>
      </c>
      <c r="J44" s="386">
        <f>J$19*'6-PlantJurisdiction'!$E$40</f>
        <v>15838005.710000001</v>
      </c>
      <c r="K44" s="386">
        <f>K$19*'6-PlantJurisdiction'!$E$41</f>
        <v>2256231458.0797744</v>
      </c>
      <c r="L44" s="386">
        <f>L$19*'6-PlantJurisdiction'!$E$42</f>
        <v>2258814203.6854348</v>
      </c>
      <c r="M44" s="386">
        <f>M$19*'6-PlantJurisdiction'!$E$43</f>
        <v>495673190.71836096</v>
      </c>
      <c r="N44" s="386">
        <f>N$19*'6-PlantJurisdiction'!$E$44</f>
        <v>1161429750.0263355</v>
      </c>
      <c r="O44" s="386">
        <f>O$19*'6-PlantJurisdiction'!$E$45</f>
        <v>0</v>
      </c>
      <c r="P44" s="386">
        <f>P$19*'6-PlantJurisdiction'!$E$45</f>
        <v>0</v>
      </c>
      <c r="Q44" s="386">
        <f>Q$19*'6-PlantJurisdiction'!$E$46</f>
        <v>0</v>
      </c>
      <c r="R44" s="386">
        <f>R$19*'6-PlantJurisdiction'!$E$46</f>
        <v>0</v>
      </c>
      <c r="S44" s="386">
        <f>S$19*'6-PlantJurisdiction'!$E$47</f>
        <v>0</v>
      </c>
      <c r="T44" s="386">
        <f>T$19*'6-PlantJurisdiction'!$E$47</f>
        <v>0</v>
      </c>
      <c r="U44" s="386">
        <f>U$19*'6-PlantJurisdiction'!$E$48</f>
        <v>0</v>
      </c>
      <c r="V44" s="386">
        <f>V$19*'6-PlantJurisdiction'!$E$48</f>
        <v>0</v>
      </c>
      <c r="W44" s="386">
        <f>W$19*'6-PlantJurisdiction'!$E$48</f>
        <v>0</v>
      </c>
      <c r="X44" s="386">
        <f>X$19*'6-PlantJurisdiction'!$E$49</f>
        <v>0</v>
      </c>
      <c r="Y44" s="386">
        <f>Y$19*'6-PlantJurisdiction'!$E$50</f>
        <v>0</v>
      </c>
      <c r="Z44" s="386">
        <f>Z$19*'6-PlantJurisdiction'!$E$50</f>
        <v>0</v>
      </c>
      <c r="AA44" s="386">
        <f>AA$19*'6-PlantJurisdiction'!$E$50</f>
        <v>0</v>
      </c>
      <c r="AB44" s="386">
        <f>AB$19*'6-PlantJurisdiction'!$E$50</f>
        <v>0</v>
      </c>
      <c r="AC44" s="556">
        <f t="shared" si="6"/>
        <v>7483507921.9082918</v>
      </c>
      <c r="AD44" s="320">
        <f t="shared" si="5"/>
        <v>206</v>
      </c>
    </row>
    <row r="45" spans="1:30">
      <c r="A45" s="320">
        <f t="shared" si="7"/>
        <v>207</v>
      </c>
      <c r="B45" s="552" t="s">
        <v>81</v>
      </c>
      <c r="C45" s="197">
        <f>'1-DRR'!$K$2</f>
        <v>2021</v>
      </c>
      <c r="D45" s="386">
        <f>D20*'6-PlantJurisdiction'!$E$37</f>
        <v>-29068.217018060615</v>
      </c>
      <c r="E45" s="386">
        <f>E20*'6-PlantJurisdiction'!$E$37</f>
        <v>8750042.9399199076</v>
      </c>
      <c r="F45" s="386">
        <f>F$20*'6-PlantJurisdiction'!$E$38</f>
        <v>113244413.2400001</v>
      </c>
      <c r="G45" s="386">
        <f>G$20*'6-PlantJurisdiction'!$E$38</f>
        <v>10874209.400000008</v>
      </c>
      <c r="H45" s="386">
        <f>H$20*'6-PlantJurisdiction'!$E$39</f>
        <v>1167779546.599999</v>
      </c>
      <c r="I45" s="386">
        <f>I$20*'6-PlantJurisdiction'!$E$40</f>
        <v>678556.02999999991</v>
      </c>
      <c r="J45" s="386">
        <f>J$20*'6-PlantJurisdiction'!$E$40</f>
        <v>16005178.970000001</v>
      </c>
      <c r="K45" s="386">
        <f>K$20*'6-PlantJurisdiction'!$E$41</f>
        <v>2270979404.4181962</v>
      </c>
      <c r="L45" s="386">
        <f>L$20*'6-PlantJurisdiction'!$E$42</f>
        <v>2264923389.4522543</v>
      </c>
      <c r="M45" s="386">
        <f>M$20*'6-PlantJurisdiction'!$E$43</f>
        <v>497821756.11598557</v>
      </c>
      <c r="N45" s="386">
        <f>N$20*'6-PlantJurisdiction'!$E$44</f>
        <v>1166038144.3837123</v>
      </c>
      <c r="O45" s="386">
        <f>O$20*'6-PlantJurisdiction'!$E$45</f>
        <v>0</v>
      </c>
      <c r="P45" s="386">
        <f>P$20*'6-PlantJurisdiction'!$E$45</f>
        <v>0</v>
      </c>
      <c r="Q45" s="386">
        <f>Q$20*'6-PlantJurisdiction'!$E$46</f>
        <v>0</v>
      </c>
      <c r="R45" s="386">
        <f>R$20*'6-PlantJurisdiction'!$E$46</f>
        <v>0</v>
      </c>
      <c r="S45" s="386">
        <f>S$20*'6-PlantJurisdiction'!$E$47</f>
        <v>0</v>
      </c>
      <c r="T45" s="386">
        <f>T$20*'6-PlantJurisdiction'!$E$47</f>
        <v>0</v>
      </c>
      <c r="U45" s="386">
        <f>U$20*'6-PlantJurisdiction'!$E$48</f>
        <v>0</v>
      </c>
      <c r="V45" s="386">
        <f>V$20*'6-PlantJurisdiction'!$E$48</f>
        <v>0</v>
      </c>
      <c r="W45" s="386">
        <f>W$20*'6-PlantJurisdiction'!$E$48</f>
        <v>0</v>
      </c>
      <c r="X45" s="386">
        <f>X$20*'6-PlantJurisdiction'!$E$49</f>
        <v>0</v>
      </c>
      <c r="Y45" s="386">
        <f>Y$20*'6-PlantJurisdiction'!$E$50</f>
        <v>0</v>
      </c>
      <c r="Z45" s="386">
        <f>Z$20*'6-PlantJurisdiction'!$E$50</f>
        <v>0</v>
      </c>
      <c r="AA45" s="386">
        <f>AA$20*'6-PlantJurisdiction'!$E$50</f>
        <v>0</v>
      </c>
      <c r="AB45" s="386">
        <f>AB$20*'6-PlantJurisdiction'!$E$50</f>
        <v>0</v>
      </c>
      <c r="AC45" s="556">
        <f t="shared" si="6"/>
        <v>7517065573.3330498</v>
      </c>
      <c r="AD45" s="320">
        <f t="shared" si="5"/>
        <v>207</v>
      </c>
    </row>
    <row r="46" spans="1:30">
      <c r="A46" s="320">
        <f t="shared" si="7"/>
        <v>208</v>
      </c>
      <c r="B46" s="552" t="s">
        <v>82</v>
      </c>
      <c r="C46" s="197">
        <f>'1-DRR'!$K$2</f>
        <v>2021</v>
      </c>
      <c r="D46" s="386">
        <f>D$21*'6-PlantJurisdiction'!$E$37</f>
        <v>-39784.919102653017</v>
      </c>
      <c r="E46" s="386">
        <f>E$21*'6-PlantJurisdiction'!$E$37</f>
        <v>8913816.01098378</v>
      </c>
      <c r="F46" s="386">
        <f>F$21*'6-PlantJurisdiction'!$E$38</f>
        <v>113571641.36000007</v>
      </c>
      <c r="G46" s="386">
        <f>G$21*'6-PlantJurisdiction'!$E$38</f>
        <v>10928328.18999999</v>
      </c>
      <c r="H46" s="386">
        <f>H$21*'6-PlantJurisdiction'!$E$39</f>
        <v>1175882931.2200007</v>
      </c>
      <c r="I46" s="386">
        <f>I$21*'6-PlantJurisdiction'!$E$40</f>
        <v>686029.79</v>
      </c>
      <c r="J46" s="386">
        <f>J$21*'6-PlantJurisdiction'!$E$40</f>
        <v>16172223.880000001</v>
      </c>
      <c r="K46" s="386">
        <f>K$21*'6-PlantJurisdiction'!$E$41</f>
        <v>2285844677.1154842</v>
      </c>
      <c r="L46" s="386">
        <f>L$21*'6-PlantJurisdiction'!$E$42</f>
        <v>2271964506.9551425</v>
      </c>
      <c r="M46" s="386">
        <f>M$21*'6-PlantJurisdiction'!$E$43</f>
        <v>500739846.67347842</v>
      </c>
      <c r="N46" s="386">
        <f>N$21*'6-PlantJurisdiction'!$E$44</f>
        <v>1171161772.8034766</v>
      </c>
      <c r="O46" s="386">
        <f>O$21*'6-PlantJurisdiction'!$E$45</f>
        <v>0</v>
      </c>
      <c r="P46" s="386">
        <f>P$21*'6-PlantJurisdiction'!$E$45</f>
        <v>0</v>
      </c>
      <c r="Q46" s="386">
        <f>Q$21*'6-PlantJurisdiction'!$E$46</f>
        <v>0</v>
      </c>
      <c r="R46" s="386">
        <f>R$21*'6-PlantJurisdiction'!$E$46</f>
        <v>0</v>
      </c>
      <c r="S46" s="386">
        <f>S$21*'6-PlantJurisdiction'!$E$47</f>
        <v>0</v>
      </c>
      <c r="T46" s="386">
        <f>T$21*'6-PlantJurisdiction'!$E$47</f>
        <v>0</v>
      </c>
      <c r="U46" s="386">
        <f>U$21*'6-PlantJurisdiction'!$E$48</f>
        <v>0</v>
      </c>
      <c r="V46" s="386">
        <f>V$21*'6-PlantJurisdiction'!$E$48</f>
        <v>0</v>
      </c>
      <c r="W46" s="386">
        <f>W$21*'6-PlantJurisdiction'!$E$48</f>
        <v>0</v>
      </c>
      <c r="X46" s="386">
        <f>X$21*'6-PlantJurisdiction'!$E$49</f>
        <v>0</v>
      </c>
      <c r="Y46" s="386">
        <f>Y$21*'6-PlantJurisdiction'!$E$50</f>
        <v>0</v>
      </c>
      <c r="Z46" s="386">
        <f>Z$21*'6-PlantJurisdiction'!$E$50</f>
        <v>0</v>
      </c>
      <c r="AA46" s="386">
        <f>AA$21*'6-PlantJurisdiction'!$E$50</f>
        <v>0</v>
      </c>
      <c r="AB46" s="386">
        <f>AB$21*'6-PlantJurisdiction'!$E$50</f>
        <v>0</v>
      </c>
      <c r="AC46" s="556">
        <f t="shared" si="6"/>
        <v>7555825989.079463</v>
      </c>
      <c r="AD46" s="320">
        <f t="shared" si="5"/>
        <v>208</v>
      </c>
    </row>
    <row r="47" spans="1:30">
      <c r="A47" s="320">
        <f t="shared" si="7"/>
        <v>209</v>
      </c>
      <c r="B47" s="552" t="s">
        <v>83</v>
      </c>
      <c r="C47" s="197">
        <f>'1-DRR'!$K$2</f>
        <v>2021</v>
      </c>
      <c r="D47" s="386">
        <f>D$22*'6-PlantJurisdiction'!$E$37</f>
        <v>-45035.910550840294</v>
      </c>
      <c r="E47" s="386">
        <f>E$22*'6-PlantJurisdiction'!$E$37</f>
        <v>9077588.5033035427</v>
      </c>
      <c r="F47" s="386">
        <f>F$22*'6-PlantJurisdiction'!$E$38</f>
        <v>113807522.87000012</v>
      </c>
      <c r="G47" s="386">
        <f>G$22*'6-PlantJurisdiction'!$E$38</f>
        <v>10976068.430000007</v>
      </c>
      <c r="H47" s="386">
        <f>H$22*'6-PlantJurisdiction'!$E$39</f>
        <v>1179214283.029999</v>
      </c>
      <c r="I47" s="386">
        <f>I$22*'6-PlantJurisdiction'!$E$40</f>
        <v>598456.54</v>
      </c>
      <c r="J47" s="386">
        <f>J$22*'6-PlantJurisdiction'!$E$40</f>
        <v>16338548.65</v>
      </c>
      <c r="K47" s="386">
        <f>K$22*'6-PlantJurisdiction'!$E$41</f>
        <v>2300048843.6549006</v>
      </c>
      <c r="L47" s="386">
        <f>L$22*'6-PlantJurisdiction'!$E$42</f>
        <v>2277551223.7170196</v>
      </c>
      <c r="M47" s="386">
        <f>M$22*'6-PlantJurisdiction'!$E$43</f>
        <v>502456186.56179446</v>
      </c>
      <c r="N47" s="386">
        <f>N$22*'6-PlantJurisdiction'!$E$44</f>
        <v>1175052789.6039586</v>
      </c>
      <c r="O47" s="386">
        <f>O$22*'6-PlantJurisdiction'!$E$45</f>
        <v>0</v>
      </c>
      <c r="P47" s="386">
        <f>P$22*'6-PlantJurisdiction'!$E$45</f>
        <v>0</v>
      </c>
      <c r="Q47" s="386">
        <f>Q$22*'6-PlantJurisdiction'!$E$46</f>
        <v>0</v>
      </c>
      <c r="R47" s="386">
        <f>R$22*'6-PlantJurisdiction'!$E$46</f>
        <v>0</v>
      </c>
      <c r="S47" s="386">
        <f>S$22*'6-PlantJurisdiction'!$E$47</f>
        <v>0</v>
      </c>
      <c r="T47" s="386">
        <f>T$22*'6-PlantJurisdiction'!$E$47</f>
        <v>0</v>
      </c>
      <c r="U47" s="386">
        <f>U$22*'6-PlantJurisdiction'!$E$48</f>
        <v>0</v>
      </c>
      <c r="V47" s="386">
        <f>V$22*'6-PlantJurisdiction'!$E$48</f>
        <v>0</v>
      </c>
      <c r="W47" s="386">
        <f>W$22*'6-PlantJurisdiction'!$E$48</f>
        <v>0</v>
      </c>
      <c r="X47" s="386">
        <f>X$22*'6-PlantJurisdiction'!$E$49</f>
        <v>0</v>
      </c>
      <c r="Y47" s="386">
        <f>Y$22*'6-PlantJurisdiction'!$E$50</f>
        <v>0</v>
      </c>
      <c r="Z47" s="386">
        <f>Z$22*'6-PlantJurisdiction'!$E$50</f>
        <v>0</v>
      </c>
      <c r="AA47" s="386">
        <f>AA$22*'6-PlantJurisdiction'!$E$50</f>
        <v>0</v>
      </c>
      <c r="AB47" s="386">
        <f>AB$22*'6-PlantJurisdiction'!$E$50</f>
        <v>0</v>
      </c>
      <c r="AC47" s="556">
        <f t="shared" si="6"/>
        <v>7585076475.650425</v>
      </c>
      <c r="AD47" s="320">
        <f t="shared" si="5"/>
        <v>209</v>
      </c>
    </row>
    <row r="48" spans="1:30">
      <c r="A48" s="320">
        <f t="shared" si="7"/>
        <v>210</v>
      </c>
      <c r="B48" s="552" t="s">
        <v>84</v>
      </c>
      <c r="C48" s="197">
        <f>'1-DRR'!$K$2</f>
        <v>2021</v>
      </c>
      <c r="D48" s="386">
        <f>D$23*'6-PlantJurisdiction'!$E$37</f>
        <v>-45703.417623629466</v>
      </c>
      <c r="E48" s="386">
        <f>E$23*'6-PlantJurisdiction'!$E$37</f>
        <v>9241360.8470960576</v>
      </c>
      <c r="F48" s="386">
        <f>F$23*'6-PlantJurisdiction'!$E$38</f>
        <v>114103982.06000008</v>
      </c>
      <c r="G48" s="386">
        <f>G$23*'6-PlantJurisdiction'!$E$38</f>
        <v>11029851.82</v>
      </c>
      <c r="H48" s="386">
        <f>H$23*'6-PlantJurisdiction'!$E$39</f>
        <v>1187251276.2199996</v>
      </c>
      <c r="I48" s="386">
        <f>I$23*'6-PlantJurisdiction'!$E$40</f>
        <v>601079.39000000013</v>
      </c>
      <c r="J48" s="386">
        <f>J$23*'6-PlantJurisdiction'!$E$40</f>
        <v>16505478.929999998</v>
      </c>
      <c r="K48" s="386">
        <f>K$23*'6-PlantJurisdiction'!$E$41</f>
        <v>2309500629.0232725</v>
      </c>
      <c r="L48" s="386">
        <f>L$23*'6-PlantJurisdiction'!$E$42</f>
        <v>2281610301.313767</v>
      </c>
      <c r="M48" s="386">
        <f>M$23*'6-PlantJurisdiction'!$E$43</f>
        <v>505409240.39689076</v>
      </c>
      <c r="N48" s="386">
        <f>N$23*'6-PlantJurisdiction'!$E$44</f>
        <v>1180995552.0669806</v>
      </c>
      <c r="O48" s="386">
        <f>O$23*'6-PlantJurisdiction'!$E$45</f>
        <v>0</v>
      </c>
      <c r="P48" s="386">
        <f>P$23*'6-PlantJurisdiction'!$E$45</f>
        <v>0</v>
      </c>
      <c r="Q48" s="386">
        <f>Q$23*'6-PlantJurisdiction'!$E$46</f>
        <v>0</v>
      </c>
      <c r="R48" s="386">
        <f>R$23*'6-PlantJurisdiction'!$E$46</f>
        <v>0</v>
      </c>
      <c r="S48" s="386">
        <f>S$23*'6-PlantJurisdiction'!$E$47</f>
        <v>0</v>
      </c>
      <c r="T48" s="386">
        <f>T$23*'6-PlantJurisdiction'!$E$47</f>
        <v>0</v>
      </c>
      <c r="U48" s="386">
        <f>U$23*'6-PlantJurisdiction'!$E$48</f>
        <v>0</v>
      </c>
      <c r="V48" s="386">
        <f>V$23*'6-PlantJurisdiction'!$E$48</f>
        <v>0</v>
      </c>
      <c r="W48" s="386">
        <f>W$23*'6-PlantJurisdiction'!$E$48</f>
        <v>0</v>
      </c>
      <c r="X48" s="386">
        <f>X$23*'6-PlantJurisdiction'!$E$49</f>
        <v>0</v>
      </c>
      <c r="Y48" s="386">
        <f>Y$23*'6-PlantJurisdiction'!$E$50</f>
        <v>0</v>
      </c>
      <c r="Z48" s="386">
        <f>Z$23*'6-PlantJurisdiction'!$E$50</f>
        <v>0</v>
      </c>
      <c r="AA48" s="386">
        <f>AA$23*'6-PlantJurisdiction'!$E$50</f>
        <v>0</v>
      </c>
      <c r="AB48" s="386">
        <f>AB$23*'6-PlantJurisdiction'!$E$50</f>
        <v>0</v>
      </c>
      <c r="AC48" s="556">
        <f t="shared" si="6"/>
        <v>7616203048.650383</v>
      </c>
      <c r="AD48" s="320">
        <f t="shared" si="5"/>
        <v>210</v>
      </c>
    </row>
    <row r="49" spans="1:30">
      <c r="A49" s="320">
        <f t="shared" si="7"/>
        <v>211</v>
      </c>
      <c r="B49" s="552" t="s">
        <v>85</v>
      </c>
      <c r="C49" s="197">
        <f>'1-DRR'!$K$2</f>
        <v>2021</v>
      </c>
      <c r="D49" s="386">
        <f>D$24*'6-PlantJurisdiction'!$E$37</f>
        <v>-46641.520860675388</v>
      </c>
      <c r="E49" s="386">
        <f>E$24*'6-PlantJurisdiction'!$E$37</f>
        <v>9405133.8976734076</v>
      </c>
      <c r="F49" s="386">
        <f>F$24*'6-PlantJurisdiction'!$E$38</f>
        <v>114488298.35000016</v>
      </c>
      <c r="G49" s="386">
        <f>G$24*'6-PlantJurisdiction'!$E$38</f>
        <v>11126635.459999999</v>
      </c>
      <c r="H49" s="386">
        <f>H$24*'6-PlantJurisdiction'!$E$39</f>
        <v>1189275472.0900011</v>
      </c>
      <c r="I49" s="386">
        <f>I$24*'6-PlantJurisdiction'!$E$40</f>
        <v>603724.80000000028</v>
      </c>
      <c r="J49" s="386">
        <f>J$24*'6-PlantJurisdiction'!$E$40</f>
        <v>16671290.410000002</v>
      </c>
      <c r="K49" s="386">
        <f>K$24*'6-PlantJurisdiction'!$E$41</f>
        <v>2324245132.0563521</v>
      </c>
      <c r="L49" s="386">
        <f>L$24*'6-PlantJurisdiction'!$E$42</f>
        <v>2288248858.1487498</v>
      </c>
      <c r="M49" s="386">
        <f>M$24*'6-PlantJurisdiction'!$E$43</f>
        <v>507665429.33956903</v>
      </c>
      <c r="N49" s="386">
        <f>N$24*'6-PlantJurisdiction'!$E$44</f>
        <v>1185544742.8838384</v>
      </c>
      <c r="O49" s="386">
        <f>O$24*'6-PlantJurisdiction'!$E$45</f>
        <v>0</v>
      </c>
      <c r="P49" s="386">
        <f>P$24*'6-PlantJurisdiction'!$E$45</f>
        <v>0</v>
      </c>
      <c r="Q49" s="386">
        <f>Q$24*'6-PlantJurisdiction'!$E$46</f>
        <v>0</v>
      </c>
      <c r="R49" s="386">
        <f>R$24*'6-PlantJurisdiction'!$E$46</f>
        <v>0</v>
      </c>
      <c r="S49" s="386">
        <f>S$24*'6-PlantJurisdiction'!$E$47</f>
        <v>0</v>
      </c>
      <c r="T49" s="386">
        <f>T$24*'6-PlantJurisdiction'!$E$47</f>
        <v>0</v>
      </c>
      <c r="U49" s="386">
        <f>U$24*'6-PlantJurisdiction'!$E$48</f>
        <v>0</v>
      </c>
      <c r="V49" s="386">
        <f>V$24*'6-PlantJurisdiction'!$E$48</f>
        <v>0</v>
      </c>
      <c r="W49" s="386">
        <f>W$24*'6-PlantJurisdiction'!$E$48</f>
        <v>0</v>
      </c>
      <c r="X49" s="386">
        <f>X$24*'6-PlantJurisdiction'!$E$49</f>
        <v>0</v>
      </c>
      <c r="Y49" s="386">
        <f>Y$24*'6-PlantJurisdiction'!$E$50</f>
        <v>0</v>
      </c>
      <c r="Z49" s="386">
        <f>Z$24*'6-PlantJurisdiction'!$E$50</f>
        <v>0</v>
      </c>
      <c r="AA49" s="386">
        <f>AA$24*'6-PlantJurisdiction'!$E$50</f>
        <v>0</v>
      </c>
      <c r="AB49" s="386">
        <f>AB$24*'6-PlantJurisdiction'!$E$50</f>
        <v>0</v>
      </c>
      <c r="AC49" s="556">
        <f t="shared" si="6"/>
        <v>7647228075.9153233</v>
      </c>
      <c r="AD49" s="320">
        <f t="shared" si="5"/>
        <v>211</v>
      </c>
    </row>
    <row r="50" spans="1:30">
      <c r="A50" s="320">
        <f t="shared" si="7"/>
        <v>212</v>
      </c>
      <c r="B50" s="552" t="s">
        <v>75</v>
      </c>
      <c r="C50" s="197">
        <f>'1-DRR'!$K$2</f>
        <v>2021</v>
      </c>
      <c r="D50" s="386">
        <f>D$25*'6-PlantJurisdiction'!$E$37</f>
        <v>-79307.436647984388</v>
      </c>
      <c r="E50" s="386">
        <f>E$25*'6-PlantJurisdiction'!$E$37</f>
        <v>9569548.9752176218</v>
      </c>
      <c r="F50" s="386">
        <f>F$25*'6-PlantJurisdiction'!$E$38</f>
        <v>114665948.34000027</v>
      </c>
      <c r="G50" s="386">
        <f>G$25*'6-PlantJurisdiction'!$E$38</f>
        <v>11131641.540000005</v>
      </c>
      <c r="H50" s="386">
        <f>H$25*'6-PlantJurisdiction'!$E$39</f>
        <v>1196338603.2199993</v>
      </c>
      <c r="I50" s="386">
        <f>I$25*'6-PlantJurisdiction'!$E$40</f>
        <v>585947.57000000007</v>
      </c>
      <c r="J50" s="386">
        <f>J$25*'6-PlantJurisdiction'!$E$40</f>
        <v>16837101.329999998</v>
      </c>
      <c r="K50" s="386">
        <f>K$25*'6-PlantJurisdiction'!$E$41</f>
        <v>2342642311.6242685</v>
      </c>
      <c r="L50" s="386">
        <f>L$25*'6-PlantJurisdiction'!$E$42</f>
        <v>2296097593.8968654</v>
      </c>
      <c r="M50" s="386">
        <f>M$25*'6-PlantJurisdiction'!$E$43</f>
        <v>510139089.12272871</v>
      </c>
      <c r="N50" s="386">
        <f>N$25*'6-PlantJurisdiction'!$E$44</f>
        <v>1188040419.3825929</v>
      </c>
      <c r="O50" s="386">
        <f>O$25*'6-PlantJurisdiction'!$E$45</f>
        <v>0</v>
      </c>
      <c r="P50" s="386">
        <f>P$25*'6-PlantJurisdiction'!$E$45</f>
        <v>0</v>
      </c>
      <c r="Q50" s="386">
        <f>Q$25*'6-PlantJurisdiction'!$E$46</f>
        <v>0</v>
      </c>
      <c r="R50" s="386">
        <f>R$25*'6-PlantJurisdiction'!$E$46</f>
        <v>0</v>
      </c>
      <c r="S50" s="386">
        <f>S$25*'6-PlantJurisdiction'!$E$47</f>
        <v>0</v>
      </c>
      <c r="T50" s="386">
        <f>T$25*'6-PlantJurisdiction'!$E$47</f>
        <v>0</v>
      </c>
      <c r="U50" s="386">
        <f>U$25*'6-PlantJurisdiction'!$E$48</f>
        <v>0</v>
      </c>
      <c r="V50" s="386">
        <f>V$25*'6-PlantJurisdiction'!$E$48</f>
        <v>0</v>
      </c>
      <c r="W50" s="386">
        <f>W$25*'6-PlantJurisdiction'!$E$48</f>
        <v>0</v>
      </c>
      <c r="X50" s="386">
        <f>X$25*'6-PlantJurisdiction'!$E$49</f>
        <v>0</v>
      </c>
      <c r="Y50" s="386">
        <f>Y$25*'6-PlantJurisdiction'!$E$50</f>
        <v>0</v>
      </c>
      <c r="Z50" s="386">
        <f>Z$25*'6-PlantJurisdiction'!$E$50</f>
        <v>0</v>
      </c>
      <c r="AA50" s="386">
        <f>AA$25*'6-PlantJurisdiction'!$E$50</f>
        <v>0</v>
      </c>
      <c r="AB50" s="386">
        <f>AB$25*'6-PlantJurisdiction'!$E$50</f>
        <v>0</v>
      </c>
      <c r="AC50" s="556">
        <f t="shared" si="6"/>
        <v>7685968897.5650244</v>
      </c>
      <c r="AD50" s="320">
        <f t="shared" si="5"/>
        <v>212</v>
      </c>
    </row>
    <row r="51" spans="1:30">
      <c r="A51" s="320">
        <f t="shared" si="7"/>
        <v>213</v>
      </c>
      <c r="B51" s="557" t="s">
        <v>197</v>
      </c>
      <c r="C51" s="558"/>
      <c r="D51" s="549">
        <f>SUM(D38:D50)/13</f>
        <v>-25942.799448602062</v>
      </c>
      <c r="E51" s="549">
        <f t="shared" ref="E51:AC51" si="8">SUM(E38:E50)/13</f>
        <v>8586251.5909428559</v>
      </c>
      <c r="F51" s="549">
        <f t="shared" si="8"/>
        <v>112965470.64384626</v>
      </c>
      <c r="G51" s="549">
        <f t="shared" si="8"/>
        <v>10849465.456923077</v>
      </c>
      <c r="H51" s="549">
        <f t="shared" si="8"/>
        <v>1162363700.9269233</v>
      </c>
      <c r="I51" s="549">
        <f t="shared" si="8"/>
        <v>638678.84692307701</v>
      </c>
      <c r="J51" s="549">
        <f t="shared" si="8"/>
        <v>15837551.260769229</v>
      </c>
      <c r="K51" s="549">
        <f t="shared" si="8"/>
        <v>2253911908.0014129</v>
      </c>
      <c r="L51" s="549">
        <f t="shared" si="8"/>
        <v>2261076835.7667251</v>
      </c>
      <c r="M51" s="549">
        <f t="shared" si="8"/>
        <v>495725796.60130018</v>
      </c>
      <c r="N51" s="549">
        <f t="shared" si="8"/>
        <v>1160633271.7059712</v>
      </c>
      <c r="O51" s="549">
        <f t="shared" si="8"/>
        <v>0</v>
      </c>
      <c r="P51" s="549">
        <f t="shared" si="8"/>
        <v>0</v>
      </c>
      <c r="Q51" s="549">
        <f t="shared" si="8"/>
        <v>0</v>
      </c>
      <c r="R51" s="549">
        <f t="shared" si="8"/>
        <v>0</v>
      </c>
      <c r="S51" s="549">
        <f t="shared" si="8"/>
        <v>0</v>
      </c>
      <c r="T51" s="549">
        <f t="shared" si="8"/>
        <v>0</v>
      </c>
      <c r="U51" s="549">
        <f t="shared" si="8"/>
        <v>0</v>
      </c>
      <c r="V51" s="549">
        <f t="shared" si="8"/>
        <v>0</v>
      </c>
      <c r="W51" s="549">
        <f t="shared" si="8"/>
        <v>0</v>
      </c>
      <c r="X51" s="549">
        <f t="shared" si="8"/>
        <v>0</v>
      </c>
      <c r="Y51" s="549">
        <f t="shared" si="8"/>
        <v>0</v>
      </c>
      <c r="Z51" s="549">
        <f t="shared" si="8"/>
        <v>0</v>
      </c>
      <c r="AA51" s="549">
        <f t="shared" si="8"/>
        <v>0</v>
      </c>
      <c r="AB51" s="549">
        <f t="shared" si="8"/>
        <v>0</v>
      </c>
      <c r="AC51" s="549">
        <f t="shared" si="8"/>
        <v>7482562988.0022888</v>
      </c>
      <c r="AD51" s="320">
        <f t="shared" si="5"/>
        <v>213</v>
      </c>
    </row>
    <row r="52" spans="1:30">
      <c r="A52" s="318"/>
      <c r="B52" s="317"/>
      <c r="C52" s="317"/>
      <c r="D52" s="317"/>
      <c r="E52" s="317"/>
      <c r="F52" s="317"/>
      <c r="G52" s="317"/>
      <c r="H52" s="317"/>
      <c r="I52" s="317"/>
      <c r="J52" s="317"/>
      <c r="K52" s="317"/>
      <c r="L52" s="317"/>
      <c r="M52" s="317"/>
      <c r="N52" s="317"/>
      <c r="O52" s="317"/>
      <c r="P52" s="317"/>
      <c r="Q52" s="317"/>
      <c r="AD52" s="320"/>
    </row>
    <row r="53" spans="1:30">
      <c r="A53" s="318"/>
      <c r="B53" s="317"/>
      <c r="C53" s="317"/>
      <c r="D53" s="317"/>
      <c r="E53" s="317"/>
      <c r="F53" s="317"/>
      <c r="G53" s="317"/>
      <c r="H53" s="317"/>
      <c r="I53" s="317"/>
      <c r="J53" s="317"/>
      <c r="K53" s="317"/>
      <c r="L53" s="317"/>
      <c r="M53" s="317"/>
      <c r="N53" s="317"/>
      <c r="O53" s="317"/>
      <c r="P53" s="317"/>
      <c r="Q53" s="317"/>
      <c r="AD53" s="320"/>
    </row>
    <row r="54" spans="1:30">
      <c r="B54" s="65" t="s">
        <v>1054</v>
      </c>
      <c r="C54" s="65"/>
      <c r="D54" s="138"/>
      <c r="E54" s="138"/>
      <c r="F54" s="138"/>
      <c r="G54" s="138"/>
      <c r="H54" s="551"/>
      <c r="I54" s="138"/>
      <c r="J54" s="138"/>
      <c r="K54" s="138"/>
      <c r="L54" s="138"/>
      <c r="M54" s="138"/>
      <c r="N54" s="138"/>
      <c r="O54" s="138"/>
      <c r="P54" s="138"/>
      <c r="Q54" s="138"/>
      <c r="R54" s="551"/>
      <c r="S54" s="551"/>
      <c r="T54" s="551"/>
      <c r="U54" s="551"/>
      <c r="V54" s="551"/>
      <c r="W54" s="551"/>
      <c r="X54" s="551"/>
      <c r="Y54" s="551"/>
      <c r="Z54" s="551"/>
      <c r="AA54" s="551"/>
      <c r="AB54" s="551"/>
      <c r="AC54" s="551"/>
    </row>
    <row r="55" spans="1:30">
      <c r="B55" s="663" t="s">
        <v>1180</v>
      </c>
      <c r="C55" s="7"/>
      <c r="D55" s="319"/>
      <c r="E55" s="319"/>
      <c r="F55" s="163"/>
      <c r="G55" s="163"/>
      <c r="H55" s="163"/>
      <c r="I55" s="319"/>
      <c r="J55" s="319"/>
      <c r="K55" s="319"/>
      <c r="L55" s="319"/>
      <c r="M55" s="319"/>
      <c r="N55" s="317"/>
      <c r="O55" s="317"/>
      <c r="P55" s="317"/>
      <c r="Q55" s="317"/>
    </row>
    <row r="56" spans="1:30">
      <c r="C56" s="2"/>
      <c r="D56" s="317"/>
      <c r="E56" s="317"/>
      <c r="F56" s="317"/>
      <c r="G56" s="317"/>
      <c r="I56" s="317"/>
      <c r="J56" s="317"/>
      <c r="K56" s="317"/>
      <c r="L56" s="317"/>
      <c r="M56" s="317"/>
      <c r="N56" s="317"/>
      <c r="O56" s="317"/>
      <c r="P56" s="317"/>
      <c r="Q56" s="317"/>
    </row>
    <row r="57" spans="1:30">
      <c r="B57" s="552"/>
      <c r="C57" s="2"/>
      <c r="D57" s="317"/>
      <c r="E57" s="317"/>
      <c r="F57" s="317"/>
      <c r="G57" s="317"/>
      <c r="I57" s="317"/>
      <c r="J57" s="317"/>
      <c r="K57" s="317"/>
      <c r="L57" s="317"/>
      <c r="M57" s="317"/>
      <c r="N57" s="317"/>
      <c r="O57" s="317"/>
      <c r="P57" s="317"/>
      <c r="Q57" s="317"/>
    </row>
    <row r="58" spans="1:30">
      <c r="A58" s="639"/>
      <c r="D58" s="394" t="s">
        <v>62</v>
      </c>
      <c r="E58" s="394" t="s">
        <v>63</v>
      </c>
      <c r="F58" s="394" t="s">
        <v>64</v>
      </c>
      <c r="G58" s="394" t="s">
        <v>65</v>
      </c>
      <c r="H58" s="394" t="s">
        <v>66</v>
      </c>
      <c r="I58" s="394" t="s">
        <v>67</v>
      </c>
      <c r="J58" s="394" t="s">
        <v>68</v>
      </c>
      <c r="K58" s="394" t="s">
        <v>69</v>
      </c>
      <c r="L58" s="394" t="s">
        <v>70</v>
      </c>
      <c r="M58" s="394" t="s">
        <v>141</v>
      </c>
      <c r="N58" s="394" t="s">
        <v>142</v>
      </c>
      <c r="O58" s="394" t="s">
        <v>143</v>
      </c>
      <c r="P58" s="394" t="s">
        <v>144</v>
      </c>
      <c r="Q58" s="394" t="s">
        <v>145</v>
      </c>
      <c r="R58" s="394" t="s">
        <v>452</v>
      </c>
      <c r="S58" s="394" t="s">
        <v>807</v>
      </c>
      <c r="T58" s="394" t="s">
        <v>808</v>
      </c>
      <c r="U58" s="394" t="s">
        <v>865</v>
      </c>
      <c r="V58" s="394" t="s">
        <v>866</v>
      </c>
      <c r="W58" s="394" t="s">
        <v>867</v>
      </c>
      <c r="X58" s="394" t="s">
        <v>868</v>
      </c>
      <c r="Y58" s="394" t="s">
        <v>869</v>
      </c>
      <c r="Z58" s="394" t="s">
        <v>870</v>
      </c>
      <c r="AA58" s="394" t="s">
        <v>871</v>
      </c>
      <c r="AB58" s="394" t="s">
        <v>1130</v>
      </c>
      <c r="AC58" s="394" t="s">
        <v>1051</v>
      </c>
      <c r="AD58" s="320"/>
    </row>
    <row r="59" spans="1:30" ht="60">
      <c r="B59" s="639"/>
      <c r="C59" s="639"/>
      <c r="D59" s="664" t="s">
        <v>1084</v>
      </c>
      <c r="E59" s="664" t="s">
        <v>1156</v>
      </c>
      <c r="F59" s="664" t="s">
        <v>1157</v>
      </c>
      <c r="G59" s="664" t="s">
        <v>1158</v>
      </c>
      <c r="H59" s="664" t="s">
        <v>1159</v>
      </c>
      <c r="I59" s="664" t="s">
        <v>1160</v>
      </c>
      <c r="J59" s="664" t="s">
        <v>1161</v>
      </c>
      <c r="K59" s="664" t="s">
        <v>1162</v>
      </c>
      <c r="L59" s="664" t="s">
        <v>1163</v>
      </c>
      <c r="M59" s="664" t="s">
        <v>1164</v>
      </c>
      <c r="N59" s="664" t="s">
        <v>1165</v>
      </c>
      <c r="O59" s="664" t="s">
        <v>1166</v>
      </c>
      <c r="P59" s="664" t="s">
        <v>1167</v>
      </c>
      <c r="Q59" s="664" t="s">
        <v>1168</v>
      </c>
      <c r="R59" s="664" t="s">
        <v>1169</v>
      </c>
      <c r="S59" s="664" t="s">
        <v>1170</v>
      </c>
      <c r="T59" s="664" t="s">
        <v>1171</v>
      </c>
      <c r="U59" s="664" t="s">
        <v>1172</v>
      </c>
      <c r="V59" s="664" t="s">
        <v>1173</v>
      </c>
      <c r="W59" s="664" t="s">
        <v>1174</v>
      </c>
      <c r="X59" s="664" t="s">
        <v>1175</v>
      </c>
      <c r="Y59" s="664" t="s">
        <v>1176</v>
      </c>
      <c r="Z59" s="664" t="s">
        <v>1177</v>
      </c>
      <c r="AA59" s="664" t="s">
        <v>1178</v>
      </c>
      <c r="AB59" s="664" t="s">
        <v>1179</v>
      </c>
      <c r="AC59" s="555" t="s">
        <v>1052</v>
      </c>
      <c r="AD59" s="320"/>
    </row>
    <row r="60" spans="1:30">
      <c r="B60" s="639"/>
      <c r="C60" s="639"/>
      <c r="L60" s="147"/>
      <c r="R60" s="467"/>
      <c r="S60" s="467"/>
      <c r="T60" s="467"/>
      <c r="AC60" s="467"/>
      <c r="AD60" s="320"/>
    </row>
    <row r="61" spans="1:30">
      <c r="A61" s="320"/>
      <c r="B61" s="320"/>
      <c r="C61" s="327" t="s">
        <v>195</v>
      </c>
      <c r="D61" s="115">
        <v>360</v>
      </c>
      <c r="E61" s="115">
        <v>360</v>
      </c>
      <c r="F61" s="115">
        <v>361</v>
      </c>
      <c r="G61" s="115">
        <v>361</v>
      </c>
      <c r="H61" s="115">
        <v>362</v>
      </c>
      <c r="I61" s="115">
        <v>363</v>
      </c>
      <c r="J61" s="115">
        <v>363</v>
      </c>
      <c r="K61" s="115">
        <v>364</v>
      </c>
      <c r="L61" s="115">
        <v>365</v>
      </c>
      <c r="M61" s="115">
        <v>366</v>
      </c>
      <c r="N61" s="115">
        <v>367</v>
      </c>
      <c r="O61" s="115">
        <v>368</v>
      </c>
      <c r="P61" s="115">
        <v>368</v>
      </c>
      <c r="Q61" s="115">
        <v>369</v>
      </c>
      <c r="R61" s="115">
        <v>369</v>
      </c>
      <c r="S61" s="115">
        <v>370</v>
      </c>
      <c r="T61" s="115">
        <v>370</v>
      </c>
      <c r="U61" s="115">
        <v>371</v>
      </c>
      <c r="V61" s="115">
        <v>371</v>
      </c>
      <c r="W61" s="115">
        <v>371</v>
      </c>
      <c r="X61" s="115">
        <v>372</v>
      </c>
      <c r="Y61" s="115">
        <v>373</v>
      </c>
      <c r="Z61" s="115">
        <v>373</v>
      </c>
      <c r="AA61" s="115">
        <v>373</v>
      </c>
      <c r="AB61" s="115">
        <v>373</v>
      </c>
      <c r="AD61" s="320"/>
    </row>
    <row r="62" spans="1:30">
      <c r="A62" s="324" t="s">
        <v>86</v>
      </c>
      <c r="B62" s="324" t="s">
        <v>58</v>
      </c>
      <c r="C62" s="324" t="s">
        <v>73</v>
      </c>
      <c r="D62" s="394" t="s">
        <v>971</v>
      </c>
      <c r="E62" s="394" t="s">
        <v>956</v>
      </c>
      <c r="F62" s="394" t="s">
        <v>957</v>
      </c>
      <c r="G62" s="394" t="s">
        <v>958</v>
      </c>
      <c r="H62" s="394" t="s">
        <v>959</v>
      </c>
      <c r="I62" s="394" t="s">
        <v>960</v>
      </c>
      <c r="J62" s="394" t="s">
        <v>961</v>
      </c>
      <c r="K62" s="394" t="s">
        <v>962</v>
      </c>
      <c r="L62" s="394" t="s">
        <v>963</v>
      </c>
      <c r="M62" s="394" t="s">
        <v>964</v>
      </c>
      <c r="N62" s="394" t="s">
        <v>965</v>
      </c>
      <c r="O62" s="394" t="s">
        <v>966</v>
      </c>
      <c r="P62" s="394" t="s">
        <v>967</v>
      </c>
      <c r="Q62" s="394" t="s">
        <v>968</v>
      </c>
      <c r="R62" s="394" t="s">
        <v>969</v>
      </c>
      <c r="S62" s="394" t="s">
        <v>972</v>
      </c>
      <c r="T62" s="394" t="s">
        <v>970</v>
      </c>
      <c r="U62" s="394" t="s">
        <v>973</v>
      </c>
      <c r="V62" s="394" t="s">
        <v>974</v>
      </c>
      <c r="W62" s="394" t="s">
        <v>975</v>
      </c>
      <c r="X62" s="394" t="s">
        <v>976</v>
      </c>
      <c r="Y62" s="394" t="s">
        <v>977</v>
      </c>
      <c r="Z62" s="394" t="s">
        <v>978</v>
      </c>
      <c r="AA62" s="394" t="s">
        <v>979</v>
      </c>
      <c r="AB62" s="394" t="s">
        <v>980</v>
      </c>
      <c r="AC62" s="324" t="s">
        <v>196</v>
      </c>
      <c r="AD62" s="324" t="str">
        <f t="shared" ref="AD62:AD76" si="9">A62</f>
        <v>Line</v>
      </c>
    </row>
    <row r="63" spans="1:30">
      <c r="A63" s="320">
        <v>300</v>
      </c>
      <c r="B63" s="552" t="s">
        <v>75</v>
      </c>
      <c r="C63" s="197">
        <f>'1-DRR'!$K$2-1</f>
        <v>2020</v>
      </c>
      <c r="D63" s="386">
        <f>D$13*'6-PlantJurisdiction'!$F$37</f>
        <v>10.922671920149524</v>
      </c>
      <c r="E63" s="386">
        <f>E$13*'6-PlantJurisdiction'!$F$37</f>
        <v>7242329.268843757</v>
      </c>
      <c r="F63" s="386">
        <f>F$13*'6-PlantJurisdiction'!$F$38</f>
        <v>0</v>
      </c>
      <c r="G63" s="386">
        <f>G$13*'6-PlantJurisdiction'!$F$38</f>
        <v>0</v>
      </c>
      <c r="H63" s="386">
        <f>H$13*'6-PlantJurisdiction'!$F$39</f>
        <v>0</v>
      </c>
      <c r="I63" s="386">
        <f>I$13*'6-PlantJurisdiction'!$F$40</f>
        <v>0</v>
      </c>
      <c r="J63" s="386">
        <f>J$13*'6-PlantJurisdiction'!$F$40</f>
        <v>0</v>
      </c>
      <c r="K63" s="386">
        <f>K$13*'6-PlantJurisdiction'!$F$41</f>
        <v>546006644.02860868</v>
      </c>
      <c r="L63" s="386">
        <f>L$13*'6-PlantJurisdiction'!$F$42</f>
        <v>563033079.56852973</v>
      </c>
      <c r="M63" s="386">
        <f>M$13*'6-PlantJurisdiction'!$F$43</f>
        <v>751751780.19300199</v>
      </c>
      <c r="N63" s="386">
        <f>N$13*'6-PlantJurisdiction'!$F$44</f>
        <v>1763750526.8949904</v>
      </c>
      <c r="O63" s="386">
        <f>O$13*'6-PlantJurisdiction'!$F$45</f>
        <v>1006636449.2200009</v>
      </c>
      <c r="P63" s="386">
        <f>P$13*'6-PlantJurisdiction'!$F$45</f>
        <v>356273171.3300001</v>
      </c>
      <c r="Q63" s="386">
        <f>Q$13*'6-PlantJurisdiction'!$F$46</f>
        <v>751224092.45000112</v>
      </c>
      <c r="R63" s="386">
        <f>R$13*'6-PlantJurisdiction'!$F$46</f>
        <v>1613948215.6699991</v>
      </c>
      <c r="S63" s="386">
        <f>S$13*'6-PlantJurisdiction'!$F$47</f>
        <v>0</v>
      </c>
      <c r="T63" s="386">
        <f>T$13*'6-PlantJurisdiction'!$F$47</f>
        <v>0</v>
      </c>
      <c r="U63" s="386">
        <f>U$13*'6-PlantJurisdiction'!$F$48</f>
        <v>0</v>
      </c>
      <c r="V63" s="386">
        <f>V$13*'6-PlantJurisdiction'!$F$48</f>
        <v>0</v>
      </c>
      <c r="W63" s="386">
        <f>W$13*'6-PlantJurisdiction'!$F$48</f>
        <v>0</v>
      </c>
      <c r="X63" s="386">
        <f>X$13*'6-PlantJurisdiction'!$F$49</f>
        <v>0</v>
      </c>
      <c r="Y63" s="386">
        <f>Y$13*'6-PlantJurisdiction'!$F$50</f>
        <v>0</v>
      </c>
      <c r="Z63" s="386">
        <f>Z$13*'6-PlantJurisdiction'!$F$50</f>
        <v>0</v>
      </c>
      <c r="AA63" s="386">
        <f>AA$13*'6-PlantJurisdiction'!$F$50</f>
        <v>0</v>
      </c>
      <c r="AB63" s="386">
        <f>AB$13*'6-PlantJurisdiction'!$F$50</f>
        <v>0</v>
      </c>
      <c r="AC63" s="556">
        <f t="shared" ref="AC63:AC75" si="10">SUM(D63:AB63)</f>
        <v>7359866299.5466471</v>
      </c>
      <c r="AD63" s="320">
        <f t="shared" si="9"/>
        <v>300</v>
      </c>
    </row>
    <row r="64" spans="1:30">
      <c r="A64" s="320">
        <f>A63+1</f>
        <v>301</v>
      </c>
      <c r="B64" s="552" t="s">
        <v>76</v>
      </c>
      <c r="C64" s="197">
        <f>'1-DRR'!$K$2</f>
        <v>2021</v>
      </c>
      <c r="D64" s="386">
        <f>D$14*'6-PlantJurisdiction'!$F$37</f>
        <v>10.942185402811685</v>
      </c>
      <c r="E64" s="386">
        <f>E$14*'6-PlantJurisdiction'!$F$37</f>
        <v>7398309.1265732264</v>
      </c>
      <c r="F64" s="386">
        <f>F$14*'6-PlantJurisdiction'!$F$38</f>
        <v>0</v>
      </c>
      <c r="G64" s="386">
        <f>G$14*'6-PlantJurisdiction'!$F$38</f>
        <v>0</v>
      </c>
      <c r="H64" s="386">
        <f>H$14*'6-PlantJurisdiction'!$F$39</f>
        <v>0</v>
      </c>
      <c r="I64" s="386">
        <f>I$14*'6-PlantJurisdiction'!$F$40</f>
        <v>0</v>
      </c>
      <c r="J64" s="386">
        <f>J$14*'6-PlantJurisdiction'!$F$40</f>
        <v>0</v>
      </c>
      <c r="K64" s="386">
        <f>K$14*'6-PlantJurisdiction'!$F$41</f>
        <v>550924652.71794355</v>
      </c>
      <c r="L64" s="386">
        <f>L$14*'6-PlantJurisdiction'!$F$42</f>
        <v>565191366.57478809</v>
      </c>
      <c r="M64" s="386">
        <f>M$14*'6-PlantJurisdiction'!$F$43</f>
        <v>755084656.20174789</v>
      </c>
      <c r="N64" s="386">
        <f>N$14*'6-PlantJurisdiction'!$F$44</f>
        <v>1770898679.4945014</v>
      </c>
      <c r="O64" s="386">
        <f>O$14*'6-PlantJurisdiction'!$F$45</f>
        <v>1012167591.9200001</v>
      </c>
      <c r="P64" s="386">
        <f>P$14*'6-PlantJurisdiction'!$F$45</f>
        <v>359446480.3300001</v>
      </c>
      <c r="Q64" s="386">
        <f>Q$14*'6-PlantJurisdiction'!$F$46</f>
        <v>754211892.03000069</v>
      </c>
      <c r="R64" s="386">
        <f>R$14*'6-PlantJurisdiction'!$F$46</f>
        <v>1619896785.6499987</v>
      </c>
      <c r="S64" s="386">
        <f>S$14*'6-PlantJurisdiction'!$F$47</f>
        <v>0</v>
      </c>
      <c r="T64" s="386">
        <f>T$14*'6-PlantJurisdiction'!$F$47</f>
        <v>0</v>
      </c>
      <c r="U64" s="386">
        <f>U$14*'6-PlantJurisdiction'!$F$48</f>
        <v>0</v>
      </c>
      <c r="V64" s="386">
        <f>V$14*'6-PlantJurisdiction'!$F$48</f>
        <v>0</v>
      </c>
      <c r="W64" s="386">
        <f>W$14*'6-PlantJurisdiction'!$F$48</f>
        <v>0</v>
      </c>
      <c r="X64" s="386">
        <f>X$14*'6-PlantJurisdiction'!$F$49</f>
        <v>0</v>
      </c>
      <c r="Y64" s="386">
        <f>Y$14*'6-PlantJurisdiction'!$F$50</f>
        <v>0</v>
      </c>
      <c r="Z64" s="386">
        <f>Z$14*'6-PlantJurisdiction'!$F$50</f>
        <v>0</v>
      </c>
      <c r="AA64" s="386">
        <f>AA$14*'6-PlantJurisdiction'!$F$50</f>
        <v>0</v>
      </c>
      <c r="AB64" s="386">
        <f>AB$14*'6-PlantJurisdiction'!$F$50</f>
        <v>0</v>
      </c>
      <c r="AC64" s="556">
        <f t="shared" si="10"/>
        <v>7395220424.9877386</v>
      </c>
      <c r="AD64" s="320">
        <f t="shared" si="9"/>
        <v>301</v>
      </c>
    </row>
    <row r="65" spans="1:30">
      <c r="A65" s="320">
        <f t="shared" ref="A65:A76" si="11">A64+1</f>
        <v>302</v>
      </c>
      <c r="B65" s="552" t="s">
        <v>77</v>
      </c>
      <c r="C65" s="197">
        <f>'1-DRR'!$K$2</f>
        <v>2021</v>
      </c>
      <c r="D65" s="386">
        <f>D$15*'6-PlantJurisdiction'!$F$37</f>
        <v>10.937307032146133</v>
      </c>
      <c r="E65" s="386">
        <f>E$15*'6-PlantJurisdiction'!$F$37</f>
        <v>7554305.053655657</v>
      </c>
      <c r="F65" s="386">
        <f>F$15*'6-PlantJurisdiction'!$F$38</f>
        <v>0</v>
      </c>
      <c r="G65" s="386">
        <f>G$15*'6-PlantJurisdiction'!$F$38</f>
        <v>0</v>
      </c>
      <c r="H65" s="386">
        <f>H$15*'6-PlantJurisdiction'!$F$39</f>
        <v>0</v>
      </c>
      <c r="I65" s="386">
        <f>I$15*'6-PlantJurisdiction'!$F$40</f>
        <v>0</v>
      </c>
      <c r="J65" s="386">
        <f>J$15*'6-PlantJurisdiction'!$F$40</f>
        <v>0</v>
      </c>
      <c r="K65" s="386">
        <f>K$15*'6-PlantJurisdiction'!$F$41</f>
        <v>555576657.46719587</v>
      </c>
      <c r="L65" s="386">
        <f>L$15*'6-PlantJurisdiction'!$F$42</f>
        <v>567140568.37646472</v>
      </c>
      <c r="M65" s="386">
        <f>M$15*'6-PlantJurisdiction'!$F$43</f>
        <v>759019026.63326907</v>
      </c>
      <c r="N65" s="386">
        <f>N$15*'6-PlantJurisdiction'!$F$44</f>
        <v>1779365883.1021447</v>
      </c>
      <c r="O65" s="386">
        <f>O$15*'6-PlantJurisdiction'!$F$45</f>
        <v>1018910363.1399995</v>
      </c>
      <c r="P65" s="386">
        <f>P$15*'6-PlantJurisdiction'!$F$45</f>
        <v>362424553.52999991</v>
      </c>
      <c r="Q65" s="386">
        <f>Q$15*'6-PlantJurisdiction'!$F$46</f>
        <v>757204897.70999992</v>
      </c>
      <c r="R65" s="386">
        <f>R$15*'6-PlantJurisdiction'!$F$46</f>
        <v>1623959984.5400012</v>
      </c>
      <c r="S65" s="386">
        <f>S$15*'6-PlantJurisdiction'!$F$47</f>
        <v>0</v>
      </c>
      <c r="T65" s="386">
        <f>T$15*'6-PlantJurisdiction'!$F$47</f>
        <v>0</v>
      </c>
      <c r="U65" s="386">
        <f>U$15*'6-PlantJurisdiction'!$F$48</f>
        <v>0</v>
      </c>
      <c r="V65" s="386">
        <f>V$15*'6-PlantJurisdiction'!$F$48</f>
        <v>0</v>
      </c>
      <c r="W65" s="386">
        <f>W$15*'6-PlantJurisdiction'!$F$48</f>
        <v>0</v>
      </c>
      <c r="X65" s="386">
        <f>X$15*'6-PlantJurisdiction'!$F$49</f>
        <v>0</v>
      </c>
      <c r="Y65" s="386">
        <f>Y$15*'6-PlantJurisdiction'!$F$50</f>
        <v>0</v>
      </c>
      <c r="Z65" s="386">
        <f>Z$15*'6-PlantJurisdiction'!$F$50</f>
        <v>0</v>
      </c>
      <c r="AA65" s="386">
        <f>AA$15*'6-PlantJurisdiction'!$F$50</f>
        <v>0</v>
      </c>
      <c r="AB65" s="386">
        <f>AB$15*'6-PlantJurisdiction'!$F$50</f>
        <v>0</v>
      </c>
      <c r="AC65" s="556">
        <f t="shared" si="10"/>
        <v>7431156250.490037</v>
      </c>
      <c r="AD65" s="320">
        <f t="shared" si="9"/>
        <v>302</v>
      </c>
    </row>
    <row r="66" spans="1:30">
      <c r="A66" s="320">
        <f t="shared" si="11"/>
        <v>303</v>
      </c>
      <c r="B66" s="552" t="s">
        <v>78</v>
      </c>
      <c r="C66" s="197">
        <f>'1-DRR'!$K$2</f>
        <v>2021</v>
      </c>
      <c r="D66" s="386">
        <f>D$16*'6-PlantJurisdiction'!$F$37</f>
        <v>10.864131472163008</v>
      </c>
      <c r="E66" s="386">
        <f>E$16*'6-PlantJurisdiction'!$F$37</f>
        <v>7710335.0805490473</v>
      </c>
      <c r="F66" s="386">
        <f>F$16*'6-PlantJurisdiction'!$F$38</f>
        <v>0</v>
      </c>
      <c r="G66" s="386">
        <f>G$16*'6-PlantJurisdiction'!$F$38</f>
        <v>0</v>
      </c>
      <c r="H66" s="386">
        <f>H$16*'6-PlantJurisdiction'!$F$39</f>
        <v>0</v>
      </c>
      <c r="I66" s="386">
        <f>I$16*'6-PlantJurisdiction'!$F$40</f>
        <v>0</v>
      </c>
      <c r="J66" s="386">
        <f>J$16*'6-PlantJurisdiction'!$F$40</f>
        <v>0</v>
      </c>
      <c r="K66" s="386">
        <f>K$16*'6-PlantJurisdiction'!$F$41</f>
        <v>558652996.96997893</v>
      </c>
      <c r="L66" s="386">
        <f>L$16*'6-PlantJurisdiction'!$F$42</f>
        <v>567925170.0521059</v>
      </c>
      <c r="M66" s="386">
        <f>M$16*'6-PlantJurisdiction'!$F$43</f>
        <v>762689777.9058454</v>
      </c>
      <c r="N66" s="386">
        <f>N$16*'6-PlantJurisdiction'!$F$44</f>
        <v>1790877213.1703081</v>
      </c>
      <c r="O66" s="386">
        <f>O$16*'6-PlantJurisdiction'!$F$45</f>
        <v>1023152389.4799995</v>
      </c>
      <c r="P66" s="386">
        <f>P$16*'6-PlantJurisdiction'!$F$45</f>
        <v>365035614.32999986</v>
      </c>
      <c r="Q66" s="386">
        <f>Q$16*'6-PlantJurisdiction'!$F$46</f>
        <v>759752889.91000009</v>
      </c>
      <c r="R66" s="386">
        <f>R$16*'6-PlantJurisdiction'!$F$46</f>
        <v>1629927011.7300005</v>
      </c>
      <c r="S66" s="386">
        <f>S$16*'6-PlantJurisdiction'!$F$47</f>
        <v>0</v>
      </c>
      <c r="T66" s="386">
        <f>T$16*'6-PlantJurisdiction'!$F$47</f>
        <v>0</v>
      </c>
      <c r="U66" s="386">
        <f>U$16*'6-PlantJurisdiction'!$F$48</f>
        <v>0</v>
      </c>
      <c r="V66" s="386">
        <f>V$16*'6-PlantJurisdiction'!$F$48</f>
        <v>0</v>
      </c>
      <c r="W66" s="386">
        <f>W$16*'6-PlantJurisdiction'!$F$48</f>
        <v>0</v>
      </c>
      <c r="X66" s="386">
        <f>X$16*'6-PlantJurisdiction'!$F$49</f>
        <v>0</v>
      </c>
      <c r="Y66" s="386">
        <f>Y$16*'6-PlantJurisdiction'!$F$50</f>
        <v>0</v>
      </c>
      <c r="Z66" s="386">
        <f>Z$16*'6-PlantJurisdiction'!$F$50</f>
        <v>0</v>
      </c>
      <c r="AA66" s="386">
        <f>AA$16*'6-PlantJurisdiction'!$F$50</f>
        <v>0</v>
      </c>
      <c r="AB66" s="386">
        <f>AB$16*'6-PlantJurisdiction'!$F$50</f>
        <v>0</v>
      </c>
      <c r="AC66" s="556">
        <f t="shared" si="10"/>
        <v>7465723409.492919</v>
      </c>
      <c r="AD66" s="320">
        <f t="shared" si="9"/>
        <v>303</v>
      </c>
    </row>
    <row r="67" spans="1:30">
      <c r="A67" s="320">
        <f t="shared" si="11"/>
        <v>304</v>
      </c>
      <c r="B67" s="552" t="s">
        <v>79</v>
      </c>
      <c r="C67" s="197">
        <f>'1-DRR'!$K$2</f>
        <v>2021</v>
      </c>
      <c r="D67" s="386">
        <f>D$17*'6-PlantJurisdiction'!$F$37</f>
        <v>10.922671920149531</v>
      </c>
      <c r="E67" s="386">
        <f>E$17*'6-PlantJurisdiction'!$F$37</f>
        <v>7866365.1171991769</v>
      </c>
      <c r="F67" s="386">
        <f>F$17*'6-PlantJurisdiction'!$F$38</f>
        <v>0</v>
      </c>
      <c r="G67" s="386">
        <f>G$17*'6-PlantJurisdiction'!$F$38</f>
        <v>0</v>
      </c>
      <c r="H67" s="386">
        <f>H$17*'6-PlantJurisdiction'!$F$39</f>
        <v>0</v>
      </c>
      <c r="I67" s="386">
        <f>I$17*'6-PlantJurisdiction'!$F$40</f>
        <v>0</v>
      </c>
      <c r="J67" s="386">
        <f>J$17*'6-PlantJurisdiction'!$F$40</f>
        <v>0</v>
      </c>
      <c r="K67" s="386">
        <f>K$17*'6-PlantJurisdiction'!$F$41</f>
        <v>562723239.3393122</v>
      </c>
      <c r="L67" s="386">
        <f>L$17*'6-PlantJurisdiction'!$F$42</f>
        <v>569016206.53077328</v>
      </c>
      <c r="M67" s="386">
        <f>M$17*'6-PlantJurisdiction'!$F$43</f>
        <v>766452047.1465472</v>
      </c>
      <c r="N67" s="386">
        <f>N$17*'6-PlantJurisdiction'!$F$44</f>
        <v>1798069766.8614311</v>
      </c>
      <c r="O67" s="386">
        <f>O$17*'6-PlantJurisdiction'!$F$45</f>
        <v>1028299270.0899994</v>
      </c>
      <c r="P67" s="386">
        <f>P$17*'6-PlantJurisdiction'!$F$45</f>
        <v>367755618.94000012</v>
      </c>
      <c r="Q67" s="386">
        <f>Q$17*'6-PlantJurisdiction'!$F$46</f>
        <v>762577996.21000147</v>
      </c>
      <c r="R67" s="386">
        <f>R$17*'6-PlantJurisdiction'!$F$46</f>
        <v>1635707976.0099988</v>
      </c>
      <c r="S67" s="386">
        <f>S$17*'6-PlantJurisdiction'!$F$47</f>
        <v>0</v>
      </c>
      <c r="T67" s="386">
        <f>T$17*'6-PlantJurisdiction'!$F$47</f>
        <v>0</v>
      </c>
      <c r="U67" s="386">
        <f>U$17*'6-PlantJurisdiction'!$F$48</f>
        <v>0</v>
      </c>
      <c r="V67" s="386">
        <f>V$17*'6-PlantJurisdiction'!$F$48</f>
        <v>0</v>
      </c>
      <c r="W67" s="386">
        <f>W$17*'6-PlantJurisdiction'!$F$48</f>
        <v>0</v>
      </c>
      <c r="X67" s="386">
        <f>X$17*'6-PlantJurisdiction'!$F$49</f>
        <v>0</v>
      </c>
      <c r="Y67" s="386">
        <f>Y$17*'6-PlantJurisdiction'!$F$50</f>
        <v>0</v>
      </c>
      <c r="Z67" s="386">
        <f>Z$17*'6-PlantJurisdiction'!$F$50</f>
        <v>0</v>
      </c>
      <c r="AA67" s="386">
        <f>AA$17*'6-PlantJurisdiction'!$F$50</f>
        <v>0</v>
      </c>
      <c r="AB67" s="386">
        <f>AB$17*'6-PlantJurisdiction'!$F$50</f>
        <v>0</v>
      </c>
      <c r="AC67" s="556">
        <f t="shared" si="10"/>
        <v>7498468497.1679344</v>
      </c>
      <c r="AD67" s="320">
        <f t="shared" si="9"/>
        <v>304</v>
      </c>
    </row>
    <row r="68" spans="1:30">
      <c r="A68" s="320">
        <f t="shared" si="11"/>
        <v>305</v>
      </c>
      <c r="B68" s="552" t="s">
        <v>61</v>
      </c>
      <c r="C68" s="197">
        <f>'1-DRR'!$K$2</f>
        <v>2021</v>
      </c>
      <c r="D68" s="386">
        <f>D$18*'6-PlantJurisdiction'!$F$37</f>
        <v>-23278.301804483508</v>
      </c>
      <c r="E68" s="386">
        <f>E$18*'6-PlantJurisdiction'!$F$37</f>
        <v>8022393.0073662177</v>
      </c>
      <c r="F68" s="386">
        <f>F$18*'6-PlantJurisdiction'!$F$38</f>
        <v>0</v>
      </c>
      <c r="G68" s="386">
        <f>G$18*'6-PlantJurisdiction'!$F$38</f>
        <v>0</v>
      </c>
      <c r="H68" s="386">
        <f>H$18*'6-PlantJurisdiction'!$F$39</f>
        <v>0</v>
      </c>
      <c r="I68" s="386">
        <f>I$18*'6-PlantJurisdiction'!$F$40</f>
        <v>0</v>
      </c>
      <c r="J68" s="386">
        <f>J$18*'6-PlantJurisdiction'!$F$40</f>
        <v>0</v>
      </c>
      <c r="K68" s="386">
        <f>K$18*'6-PlantJurisdiction'!$F$41</f>
        <v>566857778.53083134</v>
      </c>
      <c r="L68" s="386">
        <f>L$18*'6-PlantJurisdiction'!$F$42</f>
        <v>569990541.18915248</v>
      </c>
      <c r="M68" s="386">
        <f>M$18*'6-PlantJurisdiction'!$F$43</f>
        <v>769952102.25149179</v>
      </c>
      <c r="N68" s="386">
        <f>N$18*'6-PlantJurisdiction'!$F$44</f>
        <v>1804880334.8198926</v>
      </c>
      <c r="O68" s="386">
        <f>O$18*'6-PlantJurisdiction'!$F$45</f>
        <v>1032237163.6999995</v>
      </c>
      <c r="P68" s="386">
        <f>P$18*'6-PlantJurisdiction'!$F$45</f>
        <v>370707821.55000013</v>
      </c>
      <c r="Q68" s="386">
        <f>Q$18*'6-PlantJurisdiction'!$F$46</f>
        <v>765315345.13999951</v>
      </c>
      <c r="R68" s="386">
        <f>R$18*'6-PlantJurisdiction'!$F$46</f>
        <v>1640955239.4599981</v>
      </c>
      <c r="S68" s="386">
        <f>S$18*'6-PlantJurisdiction'!$F$47</f>
        <v>0</v>
      </c>
      <c r="T68" s="386">
        <f>T$18*'6-PlantJurisdiction'!$F$47</f>
        <v>0</v>
      </c>
      <c r="U68" s="386">
        <f>U$18*'6-PlantJurisdiction'!$F$48</f>
        <v>0</v>
      </c>
      <c r="V68" s="386">
        <f>V$18*'6-PlantJurisdiction'!$F$48</f>
        <v>0</v>
      </c>
      <c r="W68" s="386">
        <f>W$18*'6-PlantJurisdiction'!$F$48</f>
        <v>0</v>
      </c>
      <c r="X68" s="386">
        <f>X$18*'6-PlantJurisdiction'!$F$49</f>
        <v>0</v>
      </c>
      <c r="Y68" s="386">
        <f>Y$18*'6-PlantJurisdiction'!$F$50</f>
        <v>0</v>
      </c>
      <c r="Z68" s="386">
        <f>Z$18*'6-PlantJurisdiction'!$F$50</f>
        <v>0</v>
      </c>
      <c r="AA68" s="386">
        <f>AA$18*'6-PlantJurisdiction'!$F$50</f>
        <v>0</v>
      </c>
      <c r="AB68" s="386">
        <f>AB$18*'6-PlantJurisdiction'!$F$50</f>
        <v>0</v>
      </c>
      <c r="AC68" s="556">
        <f t="shared" si="10"/>
        <v>7528895441.3469276</v>
      </c>
      <c r="AD68" s="320">
        <f t="shared" si="9"/>
        <v>305</v>
      </c>
    </row>
    <row r="69" spans="1:30">
      <c r="A69" s="320">
        <f t="shared" si="11"/>
        <v>306</v>
      </c>
      <c r="B69" s="552" t="s">
        <v>146</v>
      </c>
      <c r="C69" s="197">
        <f>'1-DRR'!$K$2</f>
        <v>2021</v>
      </c>
      <c r="D69" s="386">
        <f>D$19*'6-PlantJurisdiction'!$F$37</f>
        <v>-26034.986135280236</v>
      </c>
      <c r="E69" s="386">
        <f>E$19*'6-PlantJurisdiction'!$F$37</f>
        <v>8178420.4877501195</v>
      </c>
      <c r="F69" s="386">
        <f>F$19*'6-PlantJurisdiction'!$F$38</f>
        <v>0</v>
      </c>
      <c r="G69" s="386">
        <f>G$19*'6-PlantJurisdiction'!$F$38</f>
        <v>0</v>
      </c>
      <c r="H69" s="386">
        <f>H$19*'6-PlantJurisdiction'!$F$39</f>
        <v>0</v>
      </c>
      <c r="I69" s="386">
        <f>I$19*'6-PlantJurisdiction'!$F$40</f>
        <v>0</v>
      </c>
      <c r="J69" s="386">
        <f>J$19*'6-PlantJurisdiction'!$F$40</f>
        <v>0</v>
      </c>
      <c r="K69" s="386">
        <f>K$19*'6-PlantJurisdiction'!$F$41</f>
        <v>570530648.19022703</v>
      </c>
      <c r="L69" s="386">
        <f>L$19*'6-PlantJurisdiction'!$F$42</f>
        <v>571183744.09456396</v>
      </c>
      <c r="M69" s="386">
        <f>M$19*'6-PlantJurisdiction'!$F$43</f>
        <v>773704681.60163999</v>
      </c>
      <c r="N69" s="386">
        <f>N$19*'6-PlantJurisdiction'!$F$44</f>
        <v>1812895374.9636631</v>
      </c>
      <c r="O69" s="386">
        <f>O$19*'6-PlantJurisdiction'!$F$45</f>
        <v>1037179349.9800003</v>
      </c>
      <c r="P69" s="386">
        <f>P$19*'6-PlantJurisdiction'!$F$45</f>
        <v>373509545.00000024</v>
      </c>
      <c r="Q69" s="386">
        <f>Q$19*'6-PlantJurisdiction'!$F$46</f>
        <v>767856245.95999932</v>
      </c>
      <c r="R69" s="386">
        <f>R$19*'6-PlantJurisdiction'!$F$46</f>
        <v>1646968831.170002</v>
      </c>
      <c r="S69" s="386">
        <f>S$19*'6-PlantJurisdiction'!$F$47</f>
        <v>0</v>
      </c>
      <c r="T69" s="386">
        <f>T$19*'6-PlantJurisdiction'!$F$47</f>
        <v>0</v>
      </c>
      <c r="U69" s="386">
        <f>U$19*'6-PlantJurisdiction'!$F$48</f>
        <v>0</v>
      </c>
      <c r="V69" s="386">
        <f>V$19*'6-PlantJurisdiction'!$F$48</f>
        <v>0</v>
      </c>
      <c r="W69" s="386">
        <f>W$19*'6-PlantJurisdiction'!$F$48</f>
        <v>0</v>
      </c>
      <c r="X69" s="386">
        <f>X$19*'6-PlantJurisdiction'!$F$49</f>
        <v>0</v>
      </c>
      <c r="Y69" s="386">
        <f>Y$19*'6-PlantJurisdiction'!$F$50</f>
        <v>0</v>
      </c>
      <c r="Z69" s="386">
        <f>Z$19*'6-PlantJurisdiction'!$F$50</f>
        <v>0</v>
      </c>
      <c r="AA69" s="386">
        <f>AA$19*'6-PlantJurisdiction'!$F$50</f>
        <v>0</v>
      </c>
      <c r="AB69" s="386">
        <f>AB$19*'6-PlantJurisdiction'!$F$50</f>
        <v>0</v>
      </c>
      <c r="AC69" s="556">
        <f t="shared" si="10"/>
        <v>7561980806.46171</v>
      </c>
      <c r="AD69" s="320">
        <f t="shared" si="9"/>
        <v>306</v>
      </c>
    </row>
    <row r="70" spans="1:30">
      <c r="A70" s="320">
        <f t="shared" si="11"/>
        <v>307</v>
      </c>
      <c r="B70" s="552" t="s">
        <v>81</v>
      </c>
      <c r="C70" s="197">
        <f>'1-DRR'!$K$2</f>
        <v>2021</v>
      </c>
      <c r="D70" s="386">
        <f>D$20*'6-PlantJurisdiction'!$F$37</f>
        <v>-27687.582981939395</v>
      </c>
      <c r="E70" s="815">
        <f>E20*'6-PlantJurisdiction'!$F$37</f>
        <v>8334447.8900800878</v>
      </c>
      <c r="F70" s="386">
        <f>F$20*'6-PlantJurisdiction'!$F$38</f>
        <v>0</v>
      </c>
      <c r="G70" s="386">
        <f>G$20*'6-PlantJurisdiction'!$F$38</f>
        <v>0</v>
      </c>
      <c r="H70" s="386">
        <f>H$20*'6-PlantJurisdiction'!$F$39</f>
        <v>0</v>
      </c>
      <c r="I70" s="386">
        <f>I$20*'6-PlantJurisdiction'!$F$40</f>
        <v>0</v>
      </c>
      <c r="J70" s="386">
        <f>J$20*'6-PlantJurisdiction'!$F$40</f>
        <v>0</v>
      </c>
      <c r="K70" s="386">
        <f>K$20*'6-PlantJurisdiction'!$F$41</f>
        <v>574259944.38180459</v>
      </c>
      <c r="L70" s="386">
        <f>L$20*'6-PlantJurisdiction'!$F$42</f>
        <v>572728566.85774994</v>
      </c>
      <c r="M70" s="386">
        <f>M$20*'6-PlantJurisdiction'!$F$43</f>
        <v>777058413.73401582</v>
      </c>
      <c r="N70" s="386">
        <f>N$20*'6-PlantJurisdiction'!$F$44</f>
        <v>1820088695.7962897</v>
      </c>
      <c r="O70" s="386">
        <f>O$20*'6-PlantJurisdiction'!$F$45</f>
        <v>1042875606.559999</v>
      </c>
      <c r="P70" s="386">
        <f>P$20*'6-PlantJurisdiction'!$F$45</f>
        <v>376373298.28999978</v>
      </c>
      <c r="Q70" s="386">
        <f>Q$20*'6-PlantJurisdiction'!$F$46</f>
        <v>770191986.41000056</v>
      </c>
      <c r="R70" s="386">
        <f>R$20*'6-PlantJurisdiction'!$F$46</f>
        <v>1652117710.5599988</v>
      </c>
      <c r="S70" s="386">
        <f>S$20*'6-PlantJurisdiction'!$F$47</f>
        <v>0</v>
      </c>
      <c r="T70" s="386">
        <f>T$20*'6-PlantJurisdiction'!$F$47</f>
        <v>0</v>
      </c>
      <c r="U70" s="386">
        <f>U$20*'6-PlantJurisdiction'!$F$48</f>
        <v>0</v>
      </c>
      <c r="V70" s="386">
        <f>V$20*'6-PlantJurisdiction'!$F$48</f>
        <v>0</v>
      </c>
      <c r="W70" s="386">
        <f>W$20*'6-PlantJurisdiction'!$F$48</f>
        <v>0</v>
      </c>
      <c r="X70" s="386">
        <f>X$20*'6-PlantJurisdiction'!$F$49</f>
        <v>0</v>
      </c>
      <c r="Y70" s="386">
        <f>Y$20*'6-PlantJurisdiction'!$F$50</f>
        <v>0</v>
      </c>
      <c r="Z70" s="386">
        <f>Z$20*'6-PlantJurisdiction'!$F$50</f>
        <v>0</v>
      </c>
      <c r="AA70" s="386">
        <f>AA$20*'6-PlantJurisdiction'!$F$50</f>
        <v>0</v>
      </c>
      <c r="AB70" s="386">
        <f>AB$20*'6-PlantJurisdiction'!$F$50</f>
        <v>0</v>
      </c>
      <c r="AC70" s="556">
        <f t="shared" si="10"/>
        <v>7594000982.8969564</v>
      </c>
      <c r="AD70" s="320">
        <f t="shared" si="9"/>
        <v>307</v>
      </c>
    </row>
    <row r="71" spans="1:30">
      <c r="A71" s="320">
        <f t="shared" si="11"/>
        <v>308</v>
      </c>
      <c r="B71" s="552" t="s">
        <v>82</v>
      </c>
      <c r="C71" s="197">
        <f>'1-DRR'!$K$2</f>
        <v>2021</v>
      </c>
      <c r="D71" s="386">
        <f>D$21*'6-PlantJurisdiction'!$F$37</f>
        <v>-37895.280897347067</v>
      </c>
      <c r="E71" s="386">
        <f>E$21*'6-PlantJurisdiction'!$F$37</f>
        <v>8490442.339016214</v>
      </c>
      <c r="F71" s="386">
        <f>F$21*'6-PlantJurisdiction'!$F$38</f>
        <v>0</v>
      </c>
      <c r="G71" s="386">
        <f>G$21*'6-PlantJurisdiction'!$F$38</f>
        <v>0</v>
      </c>
      <c r="H71" s="386">
        <f>H$21*'6-PlantJurisdiction'!$F$39</f>
        <v>0</v>
      </c>
      <c r="I71" s="386">
        <f>I$21*'6-PlantJurisdiction'!$F$40</f>
        <v>0</v>
      </c>
      <c r="J71" s="386">
        <f>J$21*'6-PlantJurisdiction'!$F$40</f>
        <v>0</v>
      </c>
      <c r="K71" s="386">
        <f>K$21*'6-PlantJurisdiction'!$F$41</f>
        <v>578018908.75451422</v>
      </c>
      <c r="L71" s="386">
        <f>L$21*'6-PlantJurisdiction'!$F$42</f>
        <v>574509046.12485731</v>
      </c>
      <c r="M71" s="386">
        <f>M$21*'6-PlantJurisdiction'!$F$43</f>
        <v>781613310.72652364</v>
      </c>
      <c r="N71" s="386">
        <f>N$21*'6-PlantJurisdiction'!$F$44</f>
        <v>1828086254.2065272</v>
      </c>
      <c r="O71" s="386">
        <f>O$21*'6-PlantJurisdiction'!$F$45</f>
        <v>1049061020.6700002</v>
      </c>
      <c r="P71" s="386">
        <f>P$21*'6-PlantJurisdiction'!$F$45</f>
        <v>379335383.86000013</v>
      </c>
      <c r="Q71" s="386">
        <f>Q$21*'6-PlantJurisdiction'!$F$46</f>
        <v>772893706.46000016</v>
      </c>
      <c r="R71" s="386">
        <f>R$21*'6-PlantJurisdiction'!$F$46</f>
        <v>1657226312.0199988</v>
      </c>
      <c r="S71" s="386">
        <f>S$21*'6-PlantJurisdiction'!$F$47</f>
        <v>0</v>
      </c>
      <c r="T71" s="386">
        <f>T$21*'6-PlantJurisdiction'!$F$47</f>
        <v>0</v>
      </c>
      <c r="U71" s="386">
        <f>U$21*'6-PlantJurisdiction'!$F$48</f>
        <v>0</v>
      </c>
      <c r="V71" s="386">
        <f>V$21*'6-PlantJurisdiction'!$F$48</f>
        <v>0</v>
      </c>
      <c r="W71" s="386">
        <f>W$21*'6-PlantJurisdiction'!$F$48</f>
        <v>0</v>
      </c>
      <c r="X71" s="386">
        <f>X$21*'6-PlantJurisdiction'!$F$49</f>
        <v>0</v>
      </c>
      <c r="Y71" s="386">
        <f>Y$21*'6-PlantJurisdiction'!$F$50</f>
        <v>0</v>
      </c>
      <c r="Z71" s="386">
        <f>Z$21*'6-PlantJurisdiction'!$F$50</f>
        <v>0</v>
      </c>
      <c r="AA71" s="386">
        <f>AA$21*'6-PlantJurisdiction'!$F$50</f>
        <v>0</v>
      </c>
      <c r="AB71" s="386">
        <f>AB$21*'6-PlantJurisdiction'!$F$50</f>
        <v>0</v>
      </c>
      <c r="AC71" s="556">
        <f t="shared" si="10"/>
        <v>7629196489.8805399</v>
      </c>
      <c r="AD71" s="320">
        <f t="shared" si="9"/>
        <v>308</v>
      </c>
    </row>
    <row r="72" spans="1:30">
      <c r="A72" s="320">
        <f t="shared" si="11"/>
        <v>309</v>
      </c>
      <c r="B72" s="552" t="s">
        <v>83</v>
      </c>
      <c r="C72" s="197">
        <f>'1-DRR'!$K$2</f>
        <v>2021</v>
      </c>
      <c r="D72" s="386">
        <f>D$22*'6-PlantJurisdiction'!$F$37</f>
        <v>-42896.869449159778</v>
      </c>
      <c r="E72" s="386">
        <f>E$22*'6-PlantJurisdiction'!$F$37</f>
        <v>8646436.2366964556</v>
      </c>
      <c r="F72" s="386">
        <f>F$22*'6-PlantJurisdiction'!$F$38</f>
        <v>0</v>
      </c>
      <c r="G72" s="386">
        <f>G$22*'6-PlantJurisdiction'!$F$38</f>
        <v>0</v>
      </c>
      <c r="H72" s="386">
        <f>H$22*'6-PlantJurisdiction'!$F$39</f>
        <v>0</v>
      </c>
      <c r="I72" s="386">
        <f>I$22*'6-PlantJurisdiction'!$F$40</f>
        <v>0</v>
      </c>
      <c r="J72" s="386">
        <f>J$22*'6-PlantJurisdiction'!$F$40</f>
        <v>0</v>
      </c>
      <c r="K72" s="386">
        <f>K$22*'6-PlantJurisdiction'!$F$41</f>
        <v>581610699.97509766</v>
      </c>
      <c r="L72" s="386">
        <f>L$22*'6-PlantJurisdiction'!$F$42</f>
        <v>575921752.75298023</v>
      </c>
      <c r="M72" s="386">
        <f>M$22*'6-PlantJurisdiction'!$F$43</f>
        <v>784292374.73820674</v>
      </c>
      <c r="N72" s="386">
        <f>N$22*'6-PlantJurisdiction'!$F$44</f>
        <v>1834159808.2560422</v>
      </c>
      <c r="O72" s="386">
        <f>O$22*'6-PlantJurisdiction'!$F$45</f>
        <v>1055345340.4099993</v>
      </c>
      <c r="P72" s="386">
        <f>P$22*'6-PlantJurisdiction'!$F$45</f>
        <v>382036487.25000018</v>
      </c>
      <c r="Q72" s="386">
        <f>Q$22*'6-PlantJurisdiction'!$F$46</f>
        <v>776015484.28999949</v>
      </c>
      <c r="R72" s="386">
        <f>R$22*'6-PlantJurisdiction'!$F$46</f>
        <v>1663431578.8200016</v>
      </c>
      <c r="S72" s="386">
        <f>S$22*'6-PlantJurisdiction'!$F$47</f>
        <v>0</v>
      </c>
      <c r="T72" s="386">
        <f>T$22*'6-PlantJurisdiction'!$F$47</f>
        <v>0</v>
      </c>
      <c r="U72" s="386">
        <f>U$22*'6-PlantJurisdiction'!$F$48</f>
        <v>0</v>
      </c>
      <c r="V72" s="386">
        <f>V$22*'6-PlantJurisdiction'!$F$48</f>
        <v>0</v>
      </c>
      <c r="W72" s="386">
        <f>W$22*'6-PlantJurisdiction'!$F$48</f>
        <v>0</v>
      </c>
      <c r="X72" s="386">
        <f>X$22*'6-PlantJurisdiction'!$F$49</f>
        <v>0</v>
      </c>
      <c r="Y72" s="386">
        <f>Y$22*'6-PlantJurisdiction'!$F$50</f>
        <v>0</v>
      </c>
      <c r="Z72" s="386">
        <f>Z$22*'6-PlantJurisdiction'!$F$50</f>
        <v>0</v>
      </c>
      <c r="AA72" s="386">
        <f>AA$22*'6-PlantJurisdiction'!$F$50</f>
        <v>0</v>
      </c>
      <c r="AB72" s="386">
        <f>AB$22*'6-PlantJurisdiction'!$F$50</f>
        <v>0</v>
      </c>
      <c r="AC72" s="556">
        <f t="shared" si="10"/>
        <v>7661417065.8595734</v>
      </c>
      <c r="AD72" s="320">
        <f t="shared" si="9"/>
        <v>309</v>
      </c>
    </row>
    <row r="73" spans="1:30">
      <c r="A73" s="320">
        <f t="shared" si="11"/>
        <v>310</v>
      </c>
      <c r="B73" s="552" t="s">
        <v>84</v>
      </c>
      <c r="C73" s="197">
        <f>'1-DRR'!$K$2</f>
        <v>2021</v>
      </c>
      <c r="D73" s="386">
        <f>D$23*'6-PlantJurisdiction'!$F$37</f>
        <v>-43532.672376370574</v>
      </c>
      <c r="E73" s="386">
        <f>E$23*'6-PlantJurisdiction'!$F$37</f>
        <v>8802429.9929039534</v>
      </c>
      <c r="F73" s="386">
        <f>F$23*'6-PlantJurisdiction'!$F$38</f>
        <v>0</v>
      </c>
      <c r="G73" s="386">
        <f>G$23*'6-PlantJurisdiction'!$F$38</f>
        <v>0</v>
      </c>
      <c r="H73" s="386">
        <f>H$23*'6-PlantJurisdiction'!$F$39</f>
        <v>0</v>
      </c>
      <c r="I73" s="386">
        <f>I$23*'6-PlantJurisdiction'!$F$40</f>
        <v>0</v>
      </c>
      <c r="J73" s="386">
        <f>J$23*'6-PlantJurisdiction'!$F$40</f>
        <v>0</v>
      </c>
      <c r="K73" s="386">
        <f>K$23*'6-PlantJurisdiction'!$F$41</f>
        <v>584000762.04672635</v>
      </c>
      <c r="L73" s="386">
        <f>L$23*'6-PlantJurisdiction'!$F$42</f>
        <v>576948167.02622938</v>
      </c>
      <c r="M73" s="386">
        <f>M$23*'6-PlantJurisdiction'!$F$43</f>
        <v>788901846.50310981</v>
      </c>
      <c r="N73" s="386">
        <f>N$23*'6-PlantJurisdiction'!$F$44</f>
        <v>1843435966.8730195</v>
      </c>
      <c r="O73" s="386">
        <f>O$23*'6-PlantJurisdiction'!$F$45</f>
        <v>1059983689.6000004</v>
      </c>
      <c r="P73" s="386">
        <f>P$23*'6-PlantJurisdiction'!$F$45</f>
        <v>385313040.61999977</v>
      </c>
      <c r="Q73" s="386">
        <f>Q$23*'6-PlantJurisdiction'!$F$46</f>
        <v>777855356.53999937</v>
      </c>
      <c r="R73" s="386">
        <f>R$23*'6-PlantJurisdiction'!$F$46</f>
        <v>1668524608.0700011</v>
      </c>
      <c r="S73" s="386">
        <f>S$23*'6-PlantJurisdiction'!$F$47</f>
        <v>0</v>
      </c>
      <c r="T73" s="386">
        <f>T$23*'6-PlantJurisdiction'!$F$47</f>
        <v>0</v>
      </c>
      <c r="U73" s="386">
        <f>U$23*'6-PlantJurisdiction'!$F$48</f>
        <v>0</v>
      </c>
      <c r="V73" s="386">
        <f>V$23*'6-PlantJurisdiction'!$F$48</f>
        <v>0</v>
      </c>
      <c r="W73" s="386">
        <f>W$23*'6-PlantJurisdiction'!$F$48</f>
        <v>0</v>
      </c>
      <c r="X73" s="386">
        <f>X$23*'6-PlantJurisdiction'!$F$49</f>
        <v>0</v>
      </c>
      <c r="Y73" s="386">
        <f>Y$23*'6-PlantJurisdiction'!$F$50</f>
        <v>0</v>
      </c>
      <c r="Z73" s="386">
        <f>Z$23*'6-PlantJurisdiction'!$F$50</f>
        <v>0</v>
      </c>
      <c r="AA73" s="386">
        <f>AA$23*'6-PlantJurisdiction'!$F$50</f>
        <v>0</v>
      </c>
      <c r="AB73" s="386">
        <f>AB$23*'6-PlantJurisdiction'!$F$50</f>
        <v>0</v>
      </c>
      <c r="AC73" s="556">
        <f t="shared" si="10"/>
        <v>7693722334.5996132</v>
      </c>
      <c r="AD73" s="320">
        <f t="shared" si="9"/>
        <v>310</v>
      </c>
    </row>
    <row r="74" spans="1:30">
      <c r="A74" s="320">
        <f t="shared" si="11"/>
        <v>311</v>
      </c>
      <c r="B74" s="552" t="s">
        <v>85</v>
      </c>
      <c r="C74" s="197">
        <f>'1-DRR'!$K$2</f>
        <v>2021</v>
      </c>
      <c r="D74" s="386">
        <f>D$24*'6-PlantJurisdiction'!$F$37</f>
        <v>-44426.219139324661</v>
      </c>
      <c r="E74" s="386">
        <f>E$24*'6-PlantJurisdiction'!$F$37</f>
        <v>8958424.422326589</v>
      </c>
      <c r="F74" s="386">
        <f>F$24*'6-PlantJurisdiction'!$F$38</f>
        <v>0</v>
      </c>
      <c r="G74" s="386">
        <f>G$24*'6-PlantJurisdiction'!$F$38</f>
        <v>0</v>
      </c>
      <c r="H74" s="386">
        <f>H$24*'6-PlantJurisdiction'!$F$39</f>
        <v>0</v>
      </c>
      <c r="I74" s="386">
        <f>I$24*'6-PlantJurisdiction'!$F$40</f>
        <v>0</v>
      </c>
      <c r="J74" s="386">
        <f>J$24*'6-PlantJurisdiction'!$F$40</f>
        <v>0</v>
      </c>
      <c r="K74" s="386">
        <f>K$24*'6-PlantJurisdiction'!$F$41</f>
        <v>587729187.53365099</v>
      </c>
      <c r="L74" s="386">
        <f>L$24*'6-PlantJurisdiction'!$F$42</f>
        <v>578626851.24124956</v>
      </c>
      <c r="M74" s="386">
        <f>M$24*'6-PlantJurisdiction'!$F$43</f>
        <v>792423570.0504297</v>
      </c>
      <c r="N74" s="386">
        <f>N$24*'6-PlantJurisdiction'!$F$44</f>
        <v>1850536875.8961625</v>
      </c>
      <c r="O74" s="386">
        <f>O$24*'6-PlantJurisdiction'!$F$45</f>
        <v>1068974460.3499995</v>
      </c>
      <c r="P74" s="386">
        <f>P$24*'6-PlantJurisdiction'!$F$45</f>
        <v>387348409.40999997</v>
      </c>
      <c r="Q74" s="386">
        <f>Q$24*'6-PlantJurisdiction'!$F$46</f>
        <v>780528187.22999978</v>
      </c>
      <c r="R74" s="386">
        <f>R$24*'6-PlantJurisdiction'!$F$46</f>
        <v>1674437791.7999997</v>
      </c>
      <c r="S74" s="386">
        <f>S$24*'6-PlantJurisdiction'!$F$47</f>
        <v>0</v>
      </c>
      <c r="T74" s="386">
        <f>T$24*'6-PlantJurisdiction'!$F$47</f>
        <v>0</v>
      </c>
      <c r="U74" s="386">
        <f>U$24*'6-PlantJurisdiction'!$F$48</f>
        <v>0</v>
      </c>
      <c r="V74" s="386">
        <f>V$24*'6-PlantJurisdiction'!$F$48</f>
        <v>0</v>
      </c>
      <c r="W74" s="386">
        <f>W$24*'6-PlantJurisdiction'!$F$48</f>
        <v>0</v>
      </c>
      <c r="X74" s="386">
        <f>X$24*'6-PlantJurisdiction'!$F$49</f>
        <v>0</v>
      </c>
      <c r="Y74" s="386">
        <f>Y$24*'6-PlantJurisdiction'!$F$50</f>
        <v>0</v>
      </c>
      <c r="Z74" s="386">
        <f>Z$24*'6-PlantJurisdiction'!$F$50</f>
        <v>0</v>
      </c>
      <c r="AA74" s="386">
        <f>AA$24*'6-PlantJurisdiction'!$F$50</f>
        <v>0</v>
      </c>
      <c r="AB74" s="386">
        <f>AB$24*'6-PlantJurisdiction'!$F$50</f>
        <v>0</v>
      </c>
      <c r="AC74" s="556">
        <f t="shared" si="10"/>
        <v>7729519331.7146797</v>
      </c>
      <c r="AD74" s="320">
        <f t="shared" si="9"/>
        <v>311</v>
      </c>
    </row>
    <row r="75" spans="1:30">
      <c r="A75" s="320">
        <f t="shared" si="11"/>
        <v>312</v>
      </c>
      <c r="B75" s="552" t="s">
        <v>75</v>
      </c>
      <c r="C75" s="197">
        <f>'1-DRR'!$K$2</f>
        <v>2021</v>
      </c>
      <c r="D75" s="386">
        <f>D$25*'6-PlantJurisdiction'!$F$37</f>
        <v>-75540.623352015697</v>
      </c>
      <c r="E75" s="386">
        <f>E$25*'6-PlantJurisdiction'!$F$37</f>
        <v>9115030.3847823888</v>
      </c>
      <c r="F75" s="386">
        <f>F$25*'6-PlantJurisdiction'!$F$38</f>
        <v>0</v>
      </c>
      <c r="G75" s="386">
        <f>G$25*'6-PlantJurisdiction'!$F$38</f>
        <v>0</v>
      </c>
      <c r="H75" s="386">
        <f>H$25*'6-PlantJurisdiction'!$F$39</f>
        <v>0</v>
      </c>
      <c r="I75" s="386">
        <f>I$25*'6-PlantJurisdiction'!$F$40</f>
        <v>0</v>
      </c>
      <c r="J75" s="386">
        <f>J$25*'6-PlantJurisdiction'!$F$40</f>
        <v>0</v>
      </c>
      <c r="K75" s="386">
        <f>K$25*'6-PlantJurisdiction'!$F$41</f>
        <v>592381261.12573195</v>
      </c>
      <c r="L75" s="386">
        <f>L$25*'6-PlantJurisdiction'!$F$42</f>
        <v>580611552.00313735</v>
      </c>
      <c r="M75" s="386">
        <f>M$25*'6-PlantJurisdiction'!$F$43</f>
        <v>796284747.51727366</v>
      </c>
      <c r="N75" s="386">
        <f>N$25*'6-PlantJurisdiction'!$F$44</f>
        <v>1854432419.6274083</v>
      </c>
      <c r="O75" s="386">
        <f>O$25*'6-PlantJurisdiction'!$F$45</f>
        <v>1075305915.950001</v>
      </c>
      <c r="P75" s="386">
        <f>P$25*'6-PlantJurisdiction'!$F$45</f>
        <v>390265109.80999994</v>
      </c>
      <c r="Q75" s="386">
        <f>Q$25*'6-PlantJurisdiction'!$F$46</f>
        <v>783180834.98000026</v>
      </c>
      <c r="R75" s="386">
        <f>R$25*'6-PlantJurisdiction'!$F$46</f>
        <v>1680213155.3599999</v>
      </c>
      <c r="S75" s="386">
        <f>S$25*'6-PlantJurisdiction'!$F$47</f>
        <v>0</v>
      </c>
      <c r="T75" s="386">
        <f>T$25*'6-PlantJurisdiction'!$F$47</f>
        <v>0</v>
      </c>
      <c r="U75" s="386">
        <f>U$25*'6-PlantJurisdiction'!$F$48</f>
        <v>0</v>
      </c>
      <c r="V75" s="386">
        <f>V$25*'6-PlantJurisdiction'!$F$48</f>
        <v>0</v>
      </c>
      <c r="W75" s="386">
        <f>W$25*'6-PlantJurisdiction'!$F$48</f>
        <v>0</v>
      </c>
      <c r="X75" s="386">
        <f>X$25*'6-PlantJurisdiction'!$F$49</f>
        <v>0</v>
      </c>
      <c r="Y75" s="386">
        <f>Y$25*'6-PlantJurisdiction'!$F$50</f>
        <v>0</v>
      </c>
      <c r="Z75" s="386">
        <f>Z$25*'6-PlantJurisdiction'!$F$50</f>
        <v>0</v>
      </c>
      <c r="AA75" s="386">
        <f>AA$25*'6-PlantJurisdiction'!$F$50</f>
        <v>0</v>
      </c>
      <c r="AB75" s="386">
        <f>AB$25*'6-PlantJurisdiction'!$F$50</f>
        <v>0</v>
      </c>
      <c r="AC75" s="556">
        <f t="shared" si="10"/>
        <v>7761714486.1349831</v>
      </c>
      <c r="AD75" s="320">
        <f t="shared" si="9"/>
        <v>312</v>
      </c>
    </row>
    <row r="76" spans="1:30">
      <c r="A76" s="320">
        <f t="shared" si="11"/>
        <v>313</v>
      </c>
      <c r="B76" s="557" t="s">
        <v>197</v>
      </c>
      <c r="C76" s="558"/>
      <c r="D76" s="549">
        <f>SUM(D63:D75)/13</f>
        <v>-24710.61132062873</v>
      </c>
      <c r="E76" s="549">
        <f t="shared" ref="E76:AC76" si="12">SUM(E63:E75)/13</f>
        <v>8178436.0313648377</v>
      </c>
      <c r="F76" s="549">
        <f t="shared" si="12"/>
        <v>0</v>
      </c>
      <c r="G76" s="549">
        <f t="shared" si="12"/>
        <v>0</v>
      </c>
      <c r="H76" s="549">
        <f t="shared" si="12"/>
        <v>0</v>
      </c>
      <c r="I76" s="549">
        <f t="shared" si="12"/>
        <v>0</v>
      </c>
      <c r="J76" s="549">
        <f t="shared" si="12"/>
        <v>0</v>
      </c>
      <c r="K76" s="549">
        <f t="shared" si="12"/>
        <v>569944106.23550963</v>
      </c>
      <c r="L76" s="549">
        <f t="shared" si="12"/>
        <v>571755893.26096773</v>
      </c>
      <c r="M76" s="549">
        <f t="shared" si="12"/>
        <v>773786795.01562321</v>
      </c>
      <c r="N76" s="549">
        <f t="shared" si="12"/>
        <v>1811652138.4586449</v>
      </c>
      <c r="O76" s="549">
        <f t="shared" si="12"/>
        <v>1039240662.39</v>
      </c>
      <c r="P76" s="549">
        <f t="shared" si="12"/>
        <v>373524964.17307693</v>
      </c>
      <c r="Q76" s="549">
        <f t="shared" si="12"/>
        <v>767600685.79384625</v>
      </c>
      <c r="R76" s="549">
        <f t="shared" si="12"/>
        <v>1646716553.9123077</v>
      </c>
      <c r="S76" s="549">
        <f t="shared" si="12"/>
        <v>0</v>
      </c>
      <c r="T76" s="549">
        <f t="shared" si="12"/>
        <v>0</v>
      </c>
      <c r="U76" s="549">
        <f t="shared" si="12"/>
        <v>0</v>
      </c>
      <c r="V76" s="549">
        <f t="shared" si="12"/>
        <v>0</v>
      </c>
      <c r="W76" s="549">
        <f t="shared" si="12"/>
        <v>0</v>
      </c>
      <c r="X76" s="549">
        <f t="shared" si="12"/>
        <v>0</v>
      </c>
      <c r="Y76" s="549">
        <f t="shared" si="12"/>
        <v>0</v>
      </c>
      <c r="Z76" s="549">
        <f t="shared" si="12"/>
        <v>0</v>
      </c>
      <c r="AA76" s="549">
        <f t="shared" si="12"/>
        <v>0</v>
      </c>
      <c r="AB76" s="549">
        <f t="shared" si="12"/>
        <v>0</v>
      </c>
      <c r="AC76" s="549">
        <f t="shared" si="12"/>
        <v>7562375524.6600189</v>
      </c>
      <c r="AD76" s="320">
        <f t="shared" si="9"/>
        <v>313</v>
      </c>
    </row>
    <row r="77" spans="1:30">
      <c r="A77" s="320"/>
      <c r="B77" s="559"/>
      <c r="C77" s="559"/>
      <c r="D77" s="560"/>
      <c r="E77" s="560"/>
      <c r="F77" s="560"/>
      <c r="G77" s="560"/>
      <c r="H77" s="560"/>
      <c r="I77" s="560"/>
      <c r="J77" s="560"/>
      <c r="K77" s="560"/>
      <c r="L77" s="560"/>
      <c r="M77" s="560"/>
      <c r="N77" s="560"/>
      <c r="O77" s="560"/>
      <c r="P77" s="560"/>
      <c r="Q77" s="560"/>
      <c r="R77" s="560"/>
      <c r="S77" s="560"/>
      <c r="T77" s="560"/>
      <c r="U77" s="560"/>
      <c r="V77" s="560"/>
      <c r="W77" s="560"/>
      <c r="X77" s="560"/>
      <c r="Y77" s="560"/>
      <c r="Z77" s="560"/>
      <c r="AA77" s="560"/>
      <c r="AB77" s="560"/>
      <c r="AD77" s="320"/>
    </row>
    <row r="78" spans="1:30">
      <c r="A78" s="320"/>
      <c r="B78" s="559"/>
      <c r="C78" s="559"/>
      <c r="D78" s="560"/>
      <c r="E78" s="560"/>
      <c r="F78" s="560"/>
      <c r="G78" s="560"/>
      <c r="H78" s="560"/>
      <c r="I78" s="560"/>
      <c r="J78" s="560"/>
      <c r="K78" s="560"/>
      <c r="L78" s="560"/>
      <c r="M78" s="560"/>
      <c r="N78" s="560"/>
      <c r="O78" s="560"/>
      <c r="P78" s="560"/>
      <c r="Q78" s="560"/>
      <c r="R78" s="560"/>
      <c r="S78" s="560"/>
      <c r="T78" s="560"/>
      <c r="U78" s="560"/>
      <c r="V78" s="560"/>
      <c r="W78" s="560"/>
      <c r="X78" s="560"/>
      <c r="Y78" s="560"/>
      <c r="Z78" s="560"/>
      <c r="AA78" s="560"/>
      <c r="AB78" s="560"/>
      <c r="AD78" s="320"/>
    </row>
    <row r="79" spans="1:30">
      <c r="B79" s="65" t="s">
        <v>1055</v>
      </c>
      <c r="C79" s="65"/>
      <c r="D79" s="138"/>
      <c r="E79" s="138"/>
      <c r="F79" s="138"/>
      <c r="G79" s="138"/>
      <c r="H79" s="138"/>
      <c r="I79" s="551"/>
      <c r="J79" s="551"/>
      <c r="K79" s="551"/>
      <c r="L79" s="138"/>
      <c r="M79" s="138"/>
      <c r="N79" s="138"/>
      <c r="O79" s="138"/>
      <c r="P79" s="138"/>
      <c r="Q79" s="138"/>
      <c r="R79" s="551"/>
      <c r="S79" s="551"/>
      <c r="T79" s="551"/>
      <c r="U79" s="551"/>
      <c r="V79" s="551"/>
      <c r="W79" s="551"/>
      <c r="X79" s="551"/>
      <c r="Y79" s="551"/>
      <c r="Z79" s="551"/>
      <c r="AA79" s="551"/>
      <c r="AB79" s="551"/>
      <c r="AC79" s="551"/>
    </row>
    <row r="80" spans="1:30">
      <c r="B80" s="552" t="s">
        <v>208</v>
      </c>
      <c r="C80" s="552"/>
      <c r="D80" s="552"/>
      <c r="E80" s="552"/>
      <c r="F80" s="552"/>
      <c r="G80" s="552"/>
      <c r="H80" s="552"/>
      <c r="I80" s="552"/>
      <c r="J80" s="552"/>
      <c r="K80" s="552"/>
      <c r="L80" s="552"/>
      <c r="M80" s="552"/>
      <c r="N80" s="552"/>
      <c r="O80" s="552"/>
      <c r="P80" s="552"/>
      <c r="Q80" s="552"/>
      <c r="R80" s="552"/>
      <c r="S80" s="552"/>
      <c r="T80" s="552"/>
      <c r="U80" s="552"/>
      <c r="V80" s="552"/>
      <c r="W80" s="552"/>
      <c r="X80" s="552"/>
      <c r="Y80" s="552"/>
      <c r="Z80" s="552"/>
      <c r="AA80" s="552"/>
      <c r="AB80" s="552"/>
      <c r="AC80" s="552"/>
    </row>
    <row r="81" spans="1:30">
      <c r="B81" s="552"/>
      <c r="C81" s="552"/>
      <c r="D81" s="552"/>
      <c r="E81" s="552"/>
      <c r="F81" s="552"/>
      <c r="G81" s="552"/>
      <c r="H81" s="552"/>
      <c r="I81" s="552"/>
      <c r="J81" s="552"/>
      <c r="K81" s="552"/>
      <c r="L81" s="552"/>
      <c r="M81" s="552"/>
      <c r="N81" s="552"/>
      <c r="O81" s="552"/>
      <c r="P81" s="552"/>
      <c r="Q81" s="552"/>
      <c r="R81" s="552"/>
      <c r="S81" s="552"/>
      <c r="T81" s="552"/>
      <c r="U81" s="552"/>
      <c r="V81" s="552"/>
      <c r="W81" s="552"/>
      <c r="X81" s="552"/>
      <c r="Y81" s="552"/>
      <c r="Z81" s="552"/>
      <c r="AA81" s="552"/>
      <c r="AB81" s="552"/>
      <c r="AC81" s="552"/>
    </row>
    <row r="82" spans="1:30">
      <c r="A82" s="639"/>
      <c r="D82" s="394" t="s">
        <v>62</v>
      </c>
      <c r="E82" s="394" t="s">
        <v>63</v>
      </c>
      <c r="F82" s="394" t="s">
        <v>64</v>
      </c>
      <c r="G82" s="394"/>
      <c r="H82" s="394"/>
      <c r="I82" s="394"/>
      <c r="J82" s="394"/>
      <c r="K82" s="394"/>
      <c r="L82" s="394"/>
      <c r="M82" s="394"/>
      <c r="N82" s="394"/>
      <c r="O82" s="394"/>
      <c r="P82" s="394"/>
      <c r="AC82" s="320"/>
      <c r="AD82"/>
    </row>
    <row r="83" spans="1:30" ht="45">
      <c r="B83" s="320"/>
      <c r="C83" s="320"/>
      <c r="D83" s="326" t="s">
        <v>87</v>
      </c>
      <c r="E83" s="661" t="s">
        <v>1101</v>
      </c>
      <c r="F83" s="661" t="s">
        <v>1102</v>
      </c>
      <c r="AC83" s="320"/>
      <c r="AD83"/>
    </row>
    <row r="84" spans="1:30">
      <c r="B84" s="320"/>
      <c r="C84" s="320"/>
      <c r="D84" s="326"/>
      <c r="E84" s="326"/>
      <c r="AC84" s="320"/>
      <c r="AD84"/>
    </row>
    <row r="85" spans="1:30">
      <c r="B85" s="320"/>
      <c r="C85" s="320"/>
      <c r="D85" s="115" t="s">
        <v>198</v>
      </c>
      <c r="E85" s="708" t="s">
        <v>926</v>
      </c>
      <c r="F85" s="708" t="s">
        <v>927</v>
      </c>
      <c r="AC85" s="320"/>
      <c r="AD85"/>
    </row>
    <row r="86" spans="1:30">
      <c r="A86" s="324" t="s">
        <v>86</v>
      </c>
      <c r="B86" s="324" t="s">
        <v>58</v>
      </c>
      <c r="C86" s="324" t="s">
        <v>73</v>
      </c>
      <c r="D86" s="561" t="s">
        <v>199</v>
      </c>
      <c r="E86" s="3" t="s">
        <v>59</v>
      </c>
      <c r="F86" s="3" t="s">
        <v>59</v>
      </c>
      <c r="G86" s="394"/>
      <c r="H86" s="394"/>
      <c r="I86" s="394"/>
      <c r="J86" s="394"/>
      <c r="K86" s="394"/>
      <c r="L86" s="394"/>
      <c r="M86" s="394"/>
      <c r="N86" s="394"/>
      <c r="O86" s="394"/>
      <c r="P86" s="324"/>
      <c r="AD86" s="324" t="str">
        <f>A86</f>
        <v>Line</v>
      </c>
    </row>
    <row r="87" spans="1:30">
      <c r="A87" s="320">
        <v>400</v>
      </c>
      <c r="B87" s="552" t="s">
        <v>75</v>
      </c>
      <c r="C87" s="197">
        <f>'1-DRR'!$K$2-1</f>
        <v>2020</v>
      </c>
      <c r="D87" s="383">
        <v>419002541.25999999</v>
      </c>
      <c r="E87" s="165">
        <f>$D87*'6-PlantJurisdiction'!E$85</f>
        <v>204627862.61219698</v>
      </c>
      <c r="F87" s="165">
        <f>$D87*'6-PlantJurisdiction'!F$85</f>
        <v>194908787.2493839</v>
      </c>
      <c r="G87" s="662" t="str">
        <f>"See RY"&amp;'1-DRR'!K1-1&amp;" Model, 10-AccDep, L. 401, col 1"</f>
        <v>See RY2022 Model, 10-AccDep, L. 401, col 1</v>
      </c>
      <c r="H87" s="562"/>
      <c r="I87" s="562"/>
      <c r="J87" s="562"/>
      <c r="K87" s="562"/>
      <c r="L87" s="562"/>
      <c r="M87" s="562"/>
      <c r="N87" s="562"/>
      <c r="O87" s="562"/>
      <c r="P87" s="560"/>
      <c r="AD87" s="320">
        <f>A87</f>
        <v>400</v>
      </c>
    </row>
    <row r="88" spans="1:30">
      <c r="A88" s="320">
        <f>+A87+1</f>
        <v>401</v>
      </c>
      <c r="B88" s="563" t="s">
        <v>75</v>
      </c>
      <c r="C88" s="197">
        <f>'1-DRR'!$K$2</f>
        <v>2021</v>
      </c>
      <c r="D88" s="384">
        <v>434947003</v>
      </c>
      <c r="E88" s="165">
        <f>$D88*'6-PlantJurisdiction'!E$85</f>
        <v>212414643.84876612</v>
      </c>
      <c r="F88" s="165">
        <f>$D88*'6-PlantJurisdiction'!F$85</f>
        <v>202325724.84537619</v>
      </c>
      <c r="G88" s="662" t="s">
        <v>1382</v>
      </c>
      <c r="H88" s="564"/>
      <c r="I88" s="564"/>
      <c r="J88" s="564"/>
      <c r="K88" s="564"/>
      <c r="L88" s="564"/>
      <c r="M88" s="564"/>
      <c r="N88" s="564"/>
      <c r="O88" s="564"/>
      <c r="P88" s="564"/>
      <c r="AD88" s="320">
        <f>A88</f>
        <v>401</v>
      </c>
    </row>
    <row r="89" spans="1:30">
      <c r="A89" s="320">
        <f t="shared" ref="A89" si="13">A88+1</f>
        <v>402</v>
      </c>
      <c r="B89" s="565" t="s">
        <v>200</v>
      </c>
      <c r="C89" s="747"/>
      <c r="D89" s="566">
        <f>AVERAGE(D87:D88)</f>
        <v>426974772.13</v>
      </c>
      <c r="E89" s="570">
        <f>AVERAGE(E87:E88)</f>
        <v>208521253.23048156</v>
      </c>
      <c r="F89" s="570">
        <f>AVERAGE(F87:F88)</f>
        <v>198617256.04738003</v>
      </c>
      <c r="G89" s="560" t="str">
        <f>"(Line "&amp;$A87&amp;" + Line "&amp;$A88&amp;")/2"</f>
        <v>(Line 400 + Line 401)/2</v>
      </c>
      <c r="H89" s="560"/>
      <c r="I89" s="560"/>
      <c r="J89" s="560"/>
      <c r="K89" s="560"/>
      <c r="L89" s="560"/>
      <c r="M89" s="560"/>
      <c r="N89" s="560"/>
      <c r="O89" s="560"/>
      <c r="P89" s="560"/>
      <c r="AD89" s="320">
        <f>A89</f>
        <v>402</v>
      </c>
    </row>
    <row r="90" spans="1:30">
      <c r="A90" s="320"/>
      <c r="B90" s="559"/>
      <c r="C90" s="559"/>
      <c r="D90" s="560"/>
      <c r="E90" s="560"/>
      <c r="F90" s="560"/>
      <c r="G90" s="560"/>
      <c r="H90" s="560"/>
      <c r="I90" s="560"/>
      <c r="J90" s="560"/>
      <c r="K90" s="560"/>
      <c r="L90" s="560"/>
      <c r="M90" s="560"/>
      <c r="N90" s="560"/>
      <c r="O90" s="560"/>
      <c r="P90" s="560"/>
      <c r="Q90" s="560"/>
      <c r="R90" s="560"/>
      <c r="S90" s="560"/>
      <c r="T90" s="560"/>
      <c r="U90" s="560"/>
      <c r="V90" s="560"/>
      <c r="W90" s="560"/>
      <c r="X90" s="560"/>
      <c r="Y90" s="560"/>
      <c r="Z90" s="560"/>
      <c r="AA90" s="560"/>
      <c r="AB90" s="560"/>
      <c r="AD90" s="320"/>
    </row>
    <row r="91" spans="1:30">
      <c r="A91" s="320"/>
      <c r="B91" s="559"/>
      <c r="C91" s="559"/>
      <c r="D91" s="560"/>
      <c r="E91" s="560"/>
      <c r="F91" s="560"/>
      <c r="G91" s="560"/>
      <c r="H91" s="560"/>
      <c r="I91" s="560"/>
      <c r="J91" s="560"/>
      <c r="K91" s="560"/>
      <c r="L91" s="560"/>
      <c r="M91" s="560"/>
      <c r="N91" s="560"/>
      <c r="O91" s="560"/>
      <c r="P91" s="560"/>
      <c r="Q91" s="560"/>
      <c r="R91" s="560"/>
      <c r="S91" s="560"/>
      <c r="T91" s="560"/>
      <c r="U91" s="560"/>
      <c r="V91" s="560"/>
      <c r="W91" s="560"/>
      <c r="X91" s="560"/>
      <c r="Y91" s="560"/>
      <c r="Z91" s="560"/>
      <c r="AA91" s="560"/>
      <c r="AB91" s="560"/>
      <c r="AD91" s="320"/>
    </row>
    <row r="92" spans="1:30">
      <c r="B92" s="65" t="s">
        <v>1367</v>
      </c>
      <c r="C92" s="65"/>
      <c r="D92" s="138"/>
      <c r="E92" s="138"/>
      <c r="F92" s="138"/>
      <c r="G92" s="138"/>
      <c r="H92" s="138"/>
      <c r="I92" s="138"/>
      <c r="J92" s="138"/>
      <c r="K92" s="138"/>
      <c r="L92" s="138"/>
      <c r="M92" s="551"/>
      <c r="N92" s="138"/>
      <c r="O92" s="138"/>
      <c r="P92" s="138"/>
      <c r="Q92" s="138"/>
      <c r="R92" s="551"/>
      <c r="S92" s="551"/>
      <c r="T92" s="551"/>
      <c r="U92" s="551"/>
      <c r="V92" s="551"/>
      <c r="W92" s="551"/>
      <c r="X92" s="551"/>
      <c r="Y92" s="551"/>
      <c r="Z92" s="551"/>
      <c r="AA92" s="551"/>
      <c r="AB92" s="551"/>
      <c r="AC92" s="551"/>
    </row>
    <row r="93" spans="1:30">
      <c r="A93" s="318"/>
      <c r="B93" s="967" t="s">
        <v>1107</v>
      </c>
      <c r="C93" s="967"/>
      <c r="D93" s="967"/>
      <c r="E93" s="967"/>
      <c r="F93" s="967"/>
      <c r="G93" s="967"/>
      <c r="H93" s="967"/>
      <c r="I93" s="967"/>
      <c r="J93" s="967"/>
      <c r="K93" s="967"/>
      <c r="L93" s="967"/>
      <c r="M93" s="967"/>
      <c r="N93" s="967"/>
      <c r="O93" s="552"/>
      <c r="P93" s="552"/>
      <c r="Q93" s="552"/>
      <c r="R93" s="552"/>
      <c r="S93" s="552"/>
      <c r="T93" s="552"/>
      <c r="U93" s="552"/>
      <c r="V93" s="552"/>
      <c r="W93" s="552"/>
      <c r="X93" s="552"/>
      <c r="Y93" s="552"/>
      <c r="Z93" s="552"/>
      <c r="AA93" s="552"/>
      <c r="AB93" s="552"/>
      <c r="AC93" s="552"/>
      <c r="AD93" s="320"/>
    </row>
    <row r="94" spans="1:30">
      <c r="A94" s="318"/>
      <c r="B94" s="967"/>
      <c r="C94" s="967"/>
      <c r="D94" s="967"/>
      <c r="E94" s="967"/>
      <c r="F94" s="967"/>
      <c r="G94" s="967"/>
      <c r="H94" s="967"/>
      <c r="I94" s="967"/>
      <c r="J94" s="967"/>
      <c r="K94" s="967"/>
      <c r="L94" s="967"/>
      <c r="M94" s="967"/>
      <c r="N94" s="967"/>
      <c r="O94" s="317"/>
      <c r="AC94" s="320"/>
      <c r="AD94"/>
    </row>
    <row r="95" spans="1:30">
      <c r="A95" s="639"/>
      <c r="D95" s="394" t="s">
        <v>62</v>
      </c>
      <c r="E95" s="394" t="s">
        <v>63</v>
      </c>
      <c r="F95" s="394" t="s">
        <v>64</v>
      </c>
      <c r="G95" s="394" t="s">
        <v>65</v>
      </c>
      <c r="H95" s="394" t="s">
        <v>66</v>
      </c>
      <c r="J95" s="394"/>
      <c r="K95" s="394"/>
      <c r="L95" s="394"/>
      <c r="M95" s="394"/>
      <c r="N95" s="394"/>
      <c r="O95" s="394"/>
      <c r="P95" s="394"/>
      <c r="AC95" s="320"/>
      <c r="AD95"/>
    </row>
    <row r="96" spans="1:30" ht="45">
      <c r="B96" s="320"/>
      <c r="C96" s="320"/>
      <c r="D96" s="555" t="s">
        <v>88</v>
      </c>
      <c r="E96" s="567" t="str">
        <f>"24-Allocators, Line " &amp; '24-Allocators'!$A$24</f>
        <v>24-Allocators, Line 113</v>
      </c>
      <c r="F96" s="567" t="s">
        <v>201</v>
      </c>
      <c r="G96" s="661" t="s">
        <v>1378</v>
      </c>
      <c r="H96" s="661" t="s">
        <v>1379</v>
      </c>
      <c r="AC96" s="320"/>
      <c r="AD96"/>
    </row>
    <row r="97" spans="1:30">
      <c r="B97" s="320"/>
      <c r="C97" s="320"/>
      <c r="D97" s="394"/>
      <c r="F97" s="326"/>
      <c r="AC97" s="320"/>
      <c r="AD97"/>
    </row>
    <row r="98" spans="1:30">
      <c r="B98" s="320"/>
      <c r="C98" s="320"/>
      <c r="D98" s="115"/>
      <c r="E98" s="639" t="s">
        <v>1009</v>
      </c>
      <c r="F98" s="708" t="s">
        <v>1363</v>
      </c>
      <c r="AC98" s="320"/>
      <c r="AD98"/>
    </row>
    <row r="99" spans="1:30">
      <c r="B99" s="320"/>
      <c r="C99" s="320"/>
      <c r="D99" s="115" t="s">
        <v>202</v>
      </c>
      <c r="E99" s="639" t="s">
        <v>59</v>
      </c>
      <c r="F99" s="708" t="s">
        <v>59</v>
      </c>
      <c r="G99" s="708" t="s">
        <v>926</v>
      </c>
      <c r="H99" s="708" t="s">
        <v>927</v>
      </c>
      <c r="AC99" s="320"/>
      <c r="AD99"/>
    </row>
    <row r="100" spans="1:30">
      <c r="A100" s="324" t="s">
        <v>86</v>
      </c>
      <c r="B100" s="324" t="s">
        <v>58</v>
      </c>
      <c r="C100" s="324" t="s">
        <v>73</v>
      </c>
      <c r="D100" s="178" t="s">
        <v>203</v>
      </c>
      <c r="E100" s="178" t="s">
        <v>204</v>
      </c>
      <c r="F100" s="561" t="s">
        <v>205</v>
      </c>
      <c r="G100" s="3" t="s">
        <v>59</v>
      </c>
      <c r="H100" s="3" t="s">
        <v>59</v>
      </c>
      <c r="J100" s="394"/>
      <c r="K100" s="394"/>
      <c r="L100" s="394"/>
      <c r="M100" s="394"/>
      <c r="N100" s="394"/>
      <c r="O100" s="394"/>
      <c r="P100" s="324"/>
      <c r="AD100" s="324" t="str">
        <f>A100</f>
        <v>Line</v>
      </c>
    </row>
    <row r="101" spans="1:30">
      <c r="A101" s="320">
        <v>500</v>
      </c>
      <c r="B101" s="552" t="s">
        <v>75</v>
      </c>
      <c r="C101" s="197">
        <f>'1-DRR'!$K$2-1</f>
        <v>2020</v>
      </c>
      <c r="D101" s="383">
        <v>1172448838.7099996</v>
      </c>
      <c r="E101" s="123">
        <f>'24-Allocators'!$C$24</f>
        <v>0.30680154907006396</v>
      </c>
      <c r="F101" s="376">
        <f>+E101*D101</f>
        <v>359709119.92162544</v>
      </c>
      <c r="G101" s="165">
        <f>$F101*'6-PlantJurisdiction'!E$85</f>
        <v>175670792.23512933</v>
      </c>
      <c r="H101" s="165">
        <f>$F101*'6-PlantJurisdiction'!F$85</f>
        <v>167327071.84933797</v>
      </c>
      <c r="J101" s="562"/>
      <c r="K101" s="562"/>
      <c r="L101" s="562"/>
      <c r="M101" s="562"/>
      <c r="N101" s="562"/>
      <c r="O101" s="562"/>
      <c r="P101" s="560"/>
      <c r="AD101" s="320">
        <f>A101</f>
        <v>500</v>
      </c>
    </row>
    <row r="102" spans="1:30">
      <c r="A102" s="320">
        <f>+A101+1</f>
        <v>501</v>
      </c>
      <c r="B102" s="745" t="s">
        <v>75</v>
      </c>
      <c r="C102" s="197">
        <f>'1-DRR'!$K$2</f>
        <v>2021</v>
      </c>
      <c r="D102" s="746">
        <v>1006714730.6500001</v>
      </c>
      <c r="E102" s="123">
        <f>'24-Allocators'!$C$24</f>
        <v>0.30680154907006396</v>
      </c>
      <c r="F102" s="568">
        <f>+E102*D102</f>
        <v>308861638.83507222</v>
      </c>
      <c r="G102" s="165">
        <f>$F102*'6-PlantJurisdiction'!E$85</f>
        <v>150838457.46535262</v>
      </c>
      <c r="H102" s="165">
        <f>$F102*'6-PlantJurisdiction'!F$85</f>
        <v>143674182.19510478</v>
      </c>
      <c r="I102" s="662"/>
      <c r="J102" s="562"/>
      <c r="K102" s="562"/>
      <c r="L102" s="564"/>
      <c r="M102" s="564"/>
      <c r="N102" s="564"/>
      <c r="O102" s="564"/>
      <c r="P102" s="564"/>
      <c r="AD102" s="320">
        <f>A102</f>
        <v>501</v>
      </c>
    </row>
    <row r="103" spans="1:30">
      <c r="A103" s="320">
        <f t="shared" ref="A103" si="14">A102+1</f>
        <v>502</v>
      </c>
      <c r="B103" s="747" t="s">
        <v>200</v>
      </c>
      <c r="C103" s="747"/>
      <c r="D103" s="748">
        <f>AVERAGE(D101:D102)</f>
        <v>1089581784.6799998</v>
      </c>
      <c r="E103" s="749"/>
      <c r="F103" s="566">
        <f>AVERAGE(F101:F102)</f>
        <v>334285379.37834883</v>
      </c>
      <c r="G103" s="570">
        <f>AVERAGE(G101:G102)</f>
        <v>163254624.85024098</v>
      </c>
      <c r="H103" s="570">
        <f>AVERAGE(H101:H102)</f>
        <v>155500627.02222139</v>
      </c>
      <c r="I103" s="560" t="str">
        <f>"(Line "&amp;$A101&amp;" + Line "&amp;$A102&amp;")/2"</f>
        <v>(Line 500 + Line 501)/2</v>
      </c>
      <c r="J103" s="560"/>
      <c r="K103" s="560"/>
      <c r="L103" s="560"/>
      <c r="M103" s="560"/>
      <c r="N103" s="560"/>
      <c r="O103" s="560"/>
      <c r="P103" s="560"/>
      <c r="AD103" s="320">
        <f>A103</f>
        <v>502</v>
      </c>
    </row>
    <row r="104" spans="1:30">
      <c r="A104" s="320"/>
      <c r="B104" s="552"/>
      <c r="C104" s="552"/>
      <c r="D104" s="560"/>
      <c r="E104" s="123"/>
      <c r="F104" s="560"/>
      <c r="G104" s="560"/>
      <c r="H104" s="560"/>
      <c r="I104" s="560"/>
      <c r="J104" s="560"/>
      <c r="K104" s="560"/>
      <c r="L104" s="560"/>
      <c r="M104" s="560"/>
      <c r="N104" s="560"/>
      <c r="O104" s="560"/>
      <c r="P104" s="560"/>
      <c r="Q104" s="560"/>
      <c r="R104" s="560"/>
      <c r="S104" s="560"/>
      <c r="T104" s="560"/>
      <c r="U104" s="560"/>
      <c r="V104" s="560"/>
      <c r="W104" s="560"/>
      <c r="X104" s="560"/>
      <c r="Y104" s="560"/>
      <c r="Z104" s="560"/>
      <c r="AA104" s="560"/>
      <c r="AB104" s="560"/>
      <c r="AD104" s="320"/>
    </row>
    <row r="105" spans="1:30">
      <c r="A105" s="320"/>
      <c r="B105" s="552"/>
      <c r="C105" s="552"/>
      <c r="D105" s="560"/>
      <c r="E105" s="560"/>
      <c r="F105" s="560"/>
      <c r="G105" s="560"/>
      <c r="H105" s="560"/>
      <c r="I105" s="560"/>
      <c r="J105" s="560"/>
      <c r="K105" s="560"/>
      <c r="L105" s="560"/>
      <c r="M105" s="560"/>
      <c r="N105" s="560"/>
      <c r="O105" s="560"/>
      <c r="P105" s="560"/>
      <c r="Q105" s="560"/>
      <c r="R105" s="560"/>
      <c r="S105" s="560"/>
      <c r="T105" s="560"/>
      <c r="U105" s="560"/>
      <c r="V105" s="560"/>
      <c r="W105" s="560"/>
      <c r="X105" s="560"/>
      <c r="Y105" s="560"/>
      <c r="Z105" s="560"/>
      <c r="AA105" s="560"/>
      <c r="AB105" s="560"/>
      <c r="AD105" s="320"/>
    </row>
    <row r="106" spans="1:30">
      <c r="B106" s="65" t="s">
        <v>1368</v>
      </c>
      <c r="C106" s="65"/>
      <c r="D106" s="138"/>
      <c r="E106" s="138"/>
      <c r="F106" s="138"/>
      <c r="G106" s="138"/>
      <c r="H106" s="138"/>
      <c r="I106" s="138"/>
      <c r="J106" s="138"/>
      <c r="K106" s="138"/>
      <c r="L106" s="138"/>
      <c r="M106" s="551"/>
      <c r="N106" s="569"/>
      <c r="O106" s="569"/>
      <c r="P106" s="569"/>
      <c r="Q106" s="569"/>
      <c r="R106" s="569"/>
      <c r="S106" s="569"/>
      <c r="T106" s="569"/>
      <c r="U106" s="569"/>
      <c r="V106" s="569"/>
      <c r="W106" s="569"/>
      <c r="X106" s="569"/>
      <c r="Y106" s="569"/>
      <c r="Z106" s="569"/>
      <c r="AA106" s="569"/>
      <c r="AB106" s="569"/>
      <c r="AC106" s="551"/>
    </row>
    <row r="107" spans="1:30">
      <c r="A107" s="318"/>
      <c r="B107" s="967" t="s">
        <v>1106</v>
      </c>
      <c r="C107" s="967"/>
      <c r="D107" s="967"/>
      <c r="E107" s="967"/>
      <c r="F107" s="967"/>
      <c r="G107" s="967"/>
      <c r="H107" s="967"/>
      <c r="I107" s="967"/>
      <c r="J107" s="967"/>
      <c r="K107" s="967"/>
      <c r="L107" s="967"/>
      <c r="M107" s="967"/>
      <c r="N107" s="967"/>
      <c r="O107" s="552"/>
      <c r="P107" s="552"/>
      <c r="Q107" s="552"/>
      <c r="R107" s="552"/>
      <c r="S107" s="552"/>
      <c r="T107" s="552"/>
      <c r="U107" s="552"/>
      <c r="V107" s="552"/>
      <c r="W107" s="552"/>
      <c r="X107" s="552"/>
      <c r="Y107" s="552"/>
      <c r="Z107" s="552"/>
      <c r="AA107" s="552"/>
      <c r="AB107" s="552"/>
      <c r="AC107" s="552"/>
      <c r="AD107" s="320"/>
    </row>
    <row r="108" spans="1:30">
      <c r="A108" s="318"/>
      <c r="B108" s="967"/>
      <c r="C108" s="967"/>
      <c r="D108" s="967"/>
      <c r="E108" s="967"/>
      <c r="F108" s="967"/>
      <c r="G108" s="967"/>
      <c r="H108" s="967"/>
      <c r="I108" s="967"/>
      <c r="J108" s="967"/>
      <c r="K108" s="967"/>
      <c r="L108" s="967"/>
      <c r="M108" s="967"/>
      <c r="N108" s="967"/>
      <c r="O108" s="552"/>
      <c r="P108" s="552"/>
      <c r="Q108" s="552"/>
      <c r="R108" s="552"/>
      <c r="S108" s="552"/>
      <c r="T108" s="552"/>
      <c r="U108" s="552"/>
      <c r="V108" s="552"/>
      <c r="W108" s="552"/>
      <c r="X108" s="552"/>
      <c r="Y108" s="552"/>
      <c r="Z108" s="552"/>
      <c r="AA108" s="552"/>
      <c r="AB108" s="552"/>
      <c r="AC108" s="320"/>
      <c r="AD108"/>
    </row>
    <row r="109" spans="1:30">
      <c r="A109" s="639"/>
      <c r="D109" s="394" t="s">
        <v>62</v>
      </c>
      <c r="E109" s="394" t="s">
        <v>63</v>
      </c>
      <c r="F109" s="394" t="s">
        <v>64</v>
      </c>
      <c r="G109" s="394" t="s">
        <v>65</v>
      </c>
      <c r="H109" s="394" t="s">
        <v>66</v>
      </c>
      <c r="J109" s="560"/>
      <c r="K109" s="560"/>
      <c r="L109" s="560"/>
      <c r="M109" s="560"/>
      <c r="N109" s="560"/>
      <c r="O109" s="560"/>
      <c r="P109" s="560"/>
      <c r="AC109" s="320"/>
      <c r="AD109"/>
    </row>
    <row r="110" spans="1:30" ht="45">
      <c r="B110" s="320"/>
      <c r="C110" s="320"/>
      <c r="D110" s="555" t="s">
        <v>112</v>
      </c>
      <c r="E110" s="567" t="str">
        <f>"24-Allocators, Line " &amp; '24-Allocators'!$A$23</f>
        <v>24-Allocators, Line 112</v>
      </c>
      <c r="F110" s="567" t="s">
        <v>201</v>
      </c>
      <c r="G110" s="661" t="s">
        <v>1378</v>
      </c>
      <c r="H110" s="661" t="s">
        <v>1379</v>
      </c>
      <c r="J110" s="560"/>
      <c r="K110" s="560"/>
      <c r="L110" s="560"/>
      <c r="M110" s="560"/>
      <c r="N110" s="560"/>
      <c r="O110" s="560"/>
      <c r="P110" s="560"/>
      <c r="AC110" s="320"/>
      <c r="AD110"/>
    </row>
    <row r="111" spans="1:30">
      <c r="B111" s="320"/>
      <c r="C111" s="320"/>
      <c r="D111" s="394"/>
      <c r="F111" s="326"/>
      <c r="H111" s="560"/>
      <c r="J111" s="560"/>
      <c r="K111" s="560"/>
      <c r="L111" s="560"/>
      <c r="M111" s="560"/>
      <c r="N111" s="560"/>
      <c r="O111" s="560"/>
      <c r="P111" s="560"/>
      <c r="AC111" s="320"/>
      <c r="AD111"/>
    </row>
    <row r="112" spans="1:30">
      <c r="B112" s="320"/>
      <c r="C112" s="320"/>
      <c r="D112" s="394"/>
      <c r="E112" s="639" t="s">
        <v>1009</v>
      </c>
      <c r="F112" s="708" t="s">
        <v>1363</v>
      </c>
      <c r="H112" s="560"/>
      <c r="J112" s="560"/>
      <c r="K112" s="560"/>
      <c r="L112" s="560"/>
      <c r="M112" s="560"/>
      <c r="N112" s="560"/>
      <c r="O112" s="560"/>
      <c r="P112" s="560"/>
      <c r="AC112" s="320"/>
      <c r="AD112"/>
    </row>
    <row r="113" spans="1:30">
      <c r="B113" s="320"/>
      <c r="C113" s="320"/>
      <c r="D113" s="115" t="s">
        <v>206</v>
      </c>
      <c r="E113" s="639" t="s">
        <v>59</v>
      </c>
      <c r="F113" s="639" t="s">
        <v>59</v>
      </c>
      <c r="G113" s="708" t="s">
        <v>926</v>
      </c>
      <c r="H113" s="708" t="s">
        <v>927</v>
      </c>
      <c r="J113" s="560"/>
      <c r="K113" s="560"/>
      <c r="L113" s="560"/>
      <c r="M113" s="560"/>
      <c r="N113" s="560"/>
      <c r="O113" s="560"/>
      <c r="P113" s="560"/>
      <c r="AC113" s="320"/>
      <c r="AD113"/>
    </row>
    <row r="114" spans="1:30">
      <c r="A114" s="324" t="s">
        <v>86</v>
      </c>
      <c r="B114" s="324" t="s">
        <v>58</v>
      </c>
      <c r="C114" s="324" t="s">
        <v>73</v>
      </c>
      <c r="D114" s="178" t="s">
        <v>203</v>
      </c>
      <c r="E114" s="178" t="s">
        <v>204</v>
      </c>
      <c r="F114" s="561" t="s">
        <v>205</v>
      </c>
      <c r="G114" s="3" t="s">
        <v>59</v>
      </c>
      <c r="H114" s="3" t="s">
        <v>59</v>
      </c>
      <c r="J114" s="560"/>
      <c r="K114" s="560"/>
      <c r="L114" s="560"/>
      <c r="M114" s="560"/>
      <c r="N114" s="560"/>
      <c r="O114" s="560"/>
      <c r="P114" s="560"/>
      <c r="AD114" s="324" t="str">
        <f>A114</f>
        <v>Line</v>
      </c>
    </row>
    <row r="115" spans="1:30">
      <c r="A115" s="320">
        <v>600</v>
      </c>
      <c r="B115" s="552" t="s">
        <v>75</v>
      </c>
      <c r="C115" s="197">
        <f>'1-DRR'!$K$2-1</f>
        <v>2020</v>
      </c>
      <c r="D115" s="383">
        <v>66401654.049999997</v>
      </c>
      <c r="E115" s="123">
        <f>'24-Allocators'!$C$23</f>
        <v>0.43638724816634106</v>
      </c>
      <c r="F115" s="376">
        <f>+E115*D115</f>
        <v>28976835.084572874</v>
      </c>
      <c r="G115" s="165">
        <f>$F115*'6-PlantJurisdiction'!E$85</f>
        <v>14151388.702301227</v>
      </c>
      <c r="H115" s="165">
        <f>$F115*'6-PlantJurisdiction'!F$85</f>
        <v>13479249.475851968</v>
      </c>
      <c r="J115" s="562"/>
      <c r="K115" s="562"/>
      <c r="L115" s="560"/>
      <c r="M115" s="560"/>
      <c r="N115" s="560"/>
      <c r="O115" s="560"/>
      <c r="P115" s="560"/>
      <c r="AD115" s="320">
        <f>A115</f>
        <v>600</v>
      </c>
    </row>
    <row r="116" spans="1:30">
      <c r="A116" s="320">
        <f>+A115+1</f>
        <v>601</v>
      </c>
      <c r="B116" s="563" t="s">
        <v>75</v>
      </c>
      <c r="C116" s="197">
        <f>'1-DRR'!$K$2</f>
        <v>2021</v>
      </c>
      <c r="D116" s="384">
        <v>77287812.320000008</v>
      </c>
      <c r="E116" s="123">
        <f>'24-Allocators'!$C$23</f>
        <v>0.43638724816634106</v>
      </c>
      <c r="F116" s="568">
        <f>+E116*D116</f>
        <v>33727415.735121436</v>
      </c>
      <c r="G116" s="165">
        <f>$F116*'6-PlantJurisdiction'!E$85</f>
        <v>16471425.143525109</v>
      </c>
      <c r="H116" s="165">
        <f>$F116*'6-PlantJurisdiction'!F$85</f>
        <v>15689092.668077979</v>
      </c>
      <c r="J116" s="562"/>
      <c r="K116" s="562"/>
      <c r="L116" s="560"/>
      <c r="M116" s="560"/>
      <c r="N116" s="560"/>
      <c r="O116" s="560"/>
      <c r="P116" s="560"/>
      <c r="AD116" s="320">
        <f>A116</f>
        <v>601</v>
      </c>
    </row>
    <row r="117" spans="1:30">
      <c r="A117" s="320">
        <f t="shared" ref="A117" si="15">A116+1</f>
        <v>602</v>
      </c>
      <c r="B117" s="565" t="s">
        <v>200</v>
      </c>
      <c r="C117" s="747"/>
      <c r="D117" s="566">
        <f>AVERAGE(D115:D116)</f>
        <v>71844733.185000002</v>
      </c>
      <c r="E117" s="629"/>
      <c r="F117" s="566">
        <f>AVERAGE(F115:F116)</f>
        <v>31352125.409847155</v>
      </c>
      <c r="G117" s="570">
        <f>AVERAGE(G115:G116)</f>
        <v>15311406.922913168</v>
      </c>
      <c r="H117" s="570">
        <f>AVERAGE(H115:H116)</f>
        <v>14584171.071964974</v>
      </c>
      <c r="I117" s="560" t="str">
        <f>"(Line "&amp;$A115&amp;" + Line "&amp;$A116&amp;")/2"</f>
        <v>(Line 600 + Line 601)/2</v>
      </c>
      <c r="J117" s="560"/>
      <c r="K117" s="560"/>
      <c r="L117" s="560"/>
      <c r="M117" s="560"/>
      <c r="N117" s="560"/>
      <c r="O117" s="560"/>
      <c r="P117" s="560"/>
      <c r="AD117" s="320">
        <f>A117</f>
        <v>602</v>
      </c>
    </row>
    <row r="118" spans="1:30">
      <c r="A118" s="320"/>
      <c r="B118" s="552"/>
      <c r="C118" s="552"/>
      <c r="D118" s="560"/>
      <c r="E118" s="123"/>
      <c r="F118" s="560"/>
      <c r="G118" s="560"/>
      <c r="H118" s="560"/>
      <c r="I118" s="560"/>
      <c r="J118" s="560"/>
      <c r="K118" s="560"/>
      <c r="L118" s="560"/>
      <c r="M118" s="560"/>
      <c r="N118" s="560"/>
      <c r="O118" s="560"/>
      <c r="P118" s="560"/>
      <c r="Q118" s="560"/>
      <c r="R118" s="560"/>
      <c r="S118" s="560"/>
      <c r="T118" s="560"/>
      <c r="U118" s="560"/>
      <c r="V118" s="560"/>
      <c r="W118" s="560"/>
      <c r="X118" s="560"/>
      <c r="Y118" s="560"/>
      <c r="Z118" s="560"/>
      <c r="AA118" s="560"/>
      <c r="AB118" s="560"/>
      <c r="AD118" s="320"/>
    </row>
    <row r="119" spans="1:30">
      <c r="A119" s="320"/>
      <c r="B119" s="552"/>
      <c r="C119" s="552"/>
      <c r="D119" s="560"/>
      <c r="E119" s="560"/>
      <c r="F119" s="560"/>
      <c r="G119" s="560"/>
      <c r="H119" s="560"/>
      <c r="I119" s="560"/>
      <c r="J119" s="560"/>
      <c r="K119" s="560"/>
      <c r="L119" s="560"/>
      <c r="M119" s="560"/>
      <c r="N119" s="560"/>
      <c r="O119" s="560"/>
      <c r="P119" s="560"/>
      <c r="Q119" s="560"/>
      <c r="R119" s="560"/>
      <c r="S119" s="560"/>
      <c r="T119" s="560"/>
      <c r="U119" s="560"/>
      <c r="V119" s="560"/>
      <c r="W119" s="560"/>
      <c r="X119" s="560"/>
      <c r="Y119" s="560"/>
      <c r="Z119" s="560"/>
      <c r="AA119" s="560"/>
      <c r="AB119" s="560"/>
      <c r="AD119" s="320"/>
    </row>
    <row r="120" spans="1:30" ht="15" customHeight="1">
      <c r="B120" s="65" t="s">
        <v>1369</v>
      </c>
      <c r="C120" s="65"/>
      <c r="D120" s="138"/>
      <c r="E120" s="138"/>
      <c r="F120" s="138"/>
      <c r="G120" s="138"/>
      <c r="H120" s="138"/>
      <c r="I120" s="138"/>
      <c r="J120" s="138"/>
      <c r="K120" s="138"/>
      <c r="L120" s="138"/>
      <c r="M120" s="551"/>
      <c r="N120" s="551"/>
      <c r="O120" s="138"/>
      <c r="P120" s="138"/>
      <c r="Q120" s="138"/>
      <c r="R120" s="551"/>
      <c r="S120" s="551"/>
      <c r="T120" s="551"/>
      <c r="U120" s="551"/>
      <c r="V120" s="551"/>
      <c r="W120" s="551"/>
      <c r="X120" s="551"/>
      <c r="Y120" s="551"/>
      <c r="Z120" s="551"/>
      <c r="AA120" s="551"/>
      <c r="AB120" s="551"/>
      <c r="AC120" s="551"/>
    </row>
    <row r="121" spans="1:30">
      <c r="A121" s="318"/>
      <c r="B121" s="552" t="s">
        <v>1370</v>
      </c>
      <c r="C121" s="552"/>
      <c r="D121" s="552"/>
      <c r="E121" s="552"/>
      <c r="F121" s="552"/>
      <c r="G121" s="552"/>
      <c r="H121" s="552"/>
      <c r="I121" s="552"/>
      <c r="J121" s="552"/>
      <c r="K121" s="552"/>
      <c r="L121" s="552"/>
      <c r="M121" s="552"/>
      <c r="N121" s="552"/>
      <c r="O121" s="552"/>
      <c r="P121" s="552"/>
      <c r="Q121" s="552"/>
      <c r="R121" s="552"/>
      <c r="S121" s="552"/>
      <c r="T121" s="552"/>
      <c r="U121" s="552"/>
      <c r="V121" s="552"/>
      <c r="W121" s="552"/>
      <c r="X121" s="552"/>
      <c r="Y121" s="552"/>
      <c r="Z121" s="552"/>
      <c r="AA121" s="552"/>
      <c r="AB121" s="552"/>
      <c r="AC121" s="552"/>
      <c r="AD121" s="320"/>
    </row>
    <row r="122" spans="1:30">
      <c r="A122" s="318"/>
      <c r="C122" s="317"/>
      <c r="D122" s="317"/>
      <c r="E122" s="317"/>
      <c r="F122" s="317"/>
      <c r="G122" s="317"/>
      <c r="H122" s="317"/>
      <c r="I122" s="317"/>
      <c r="J122" s="317"/>
      <c r="K122" s="317"/>
      <c r="L122" s="317"/>
      <c r="M122" s="317"/>
      <c r="N122" s="317"/>
      <c r="O122" s="317"/>
      <c r="P122" s="317"/>
      <c r="Q122" s="317"/>
      <c r="AD122" s="320"/>
    </row>
    <row r="123" spans="1:30">
      <c r="A123" s="639"/>
      <c r="D123" s="394" t="s">
        <v>62</v>
      </c>
      <c r="E123" s="394" t="s">
        <v>63</v>
      </c>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D123" s="320"/>
    </row>
    <row r="124" spans="1:30" ht="30">
      <c r="B124" s="320"/>
      <c r="C124" s="320"/>
      <c r="D124" s="555" t="s">
        <v>1377</v>
      </c>
      <c r="E124" s="555" t="s">
        <v>1377</v>
      </c>
      <c r="F124" s="555"/>
      <c r="AD124" s="320"/>
    </row>
    <row r="125" spans="1:30">
      <c r="B125" s="320"/>
      <c r="C125" s="320"/>
      <c r="D125" s="115"/>
      <c r="AC125" s="320"/>
      <c r="AD125"/>
    </row>
    <row r="126" spans="1:30">
      <c r="B126" s="320"/>
      <c r="C126" s="320"/>
      <c r="D126" s="639" t="s">
        <v>926</v>
      </c>
      <c r="E126" s="639" t="s">
        <v>927</v>
      </c>
      <c r="AC126" s="320"/>
      <c r="AD126"/>
    </row>
    <row r="127" spans="1:30">
      <c r="A127" s="324" t="s">
        <v>86</v>
      </c>
      <c r="B127" s="324" t="s">
        <v>58</v>
      </c>
      <c r="C127" s="324" t="s">
        <v>73</v>
      </c>
      <c r="D127" s="3" t="s">
        <v>59</v>
      </c>
      <c r="E127" s="3" t="s">
        <v>59</v>
      </c>
      <c r="F127" s="394"/>
      <c r="G127" s="394"/>
      <c r="H127" s="394"/>
      <c r="I127" s="394"/>
      <c r="J127" s="394"/>
      <c r="K127" s="394"/>
      <c r="L127" s="394"/>
      <c r="M127" s="394"/>
      <c r="N127" s="394"/>
      <c r="O127" s="394"/>
      <c r="P127" s="394"/>
      <c r="Q127" s="324"/>
      <c r="R127" s="324"/>
      <c r="S127" s="324"/>
      <c r="T127" s="324"/>
      <c r="U127" s="324"/>
      <c r="V127" s="324"/>
      <c r="W127" s="324"/>
      <c r="X127" s="324"/>
      <c r="Y127" s="324"/>
      <c r="Z127" s="324"/>
      <c r="AA127" s="324"/>
      <c r="AD127" s="324" t="str">
        <f>A127</f>
        <v>Line</v>
      </c>
    </row>
    <row r="128" spans="1:30">
      <c r="A128" s="320">
        <v>700</v>
      </c>
      <c r="B128" s="552" t="s">
        <v>75</v>
      </c>
      <c r="C128" s="197">
        <f>'1-DRR'!$K$2-1</f>
        <v>2020</v>
      </c>
      <c r="D128" s="165">
        <f>E87+G101+G115</f>
        <v>394450043.54962748</v>
      </c>
      <c r="E128" s="165">
        <f>F87+H101+H115</f>
        <v>375715108.57457381</v>
      </c>
      <c r="F128" s="394"/>
      <c r="G128" s="562"/>
      <c r="H128" s="562"/>
      <c r="I128" s="562"/>
      <c r="J128" s="562"/>
      <c r="K128" s="562"/>
      <c r="L128" s="562"/>
      <c r="M128" s="562"/>
      <c r="N128" s="562"/>
      <c r="O128" s="562"/>
      <c r="P128" s="562"/>
      <c r="Q128" s="560"/>
      <c r="R128" s="560"/>
      <c r="S128" s="560"/>
      <c r="T128" s="560"/>
      <c r="U128" s="560"/>
      <c r="V128" s="560"/>
      <c r="W128" s="560"/>
      <c r="X128" s="560"/>
      <c r="Y128" s="560"/>
      <c r="Z128" s="560"/>
      <c r="AA128" s="560"/>
      <c r="AD128" s="320">
        <f>A128</f>
        <v>700</v>
      </c>
    </row>
    <row r="129" spans="1:30">
      <c r="A129" s="320">
        <f>+A128+1</f>
        <v>701</v>
      </c>
      <c r="B129" s="552" t="s">
        <v>75</v>
      </c>
      <c r="C129" s="197">
        <f>'1-DRR'!$K$2</f>
        <v>2021</v>
      </c>
      <c r="D129" s="165">
        <f>E88+G102+G116</f>
        <v>379724526.45764387</v>
      </c>
      <c r="E129" s="165">
        <f>F88+H102+H116</f>
        <v>361688999.70855898</v>
      </c>
      <c r="F129" s="662" t="s">
        <v>1383</v>
      </c>
      <c r="G129" s="564"/>
      <c r="H129" s="564"/>
      <c r="I129" s="564"/>
      <c r="J129" s="564"/>
      <c r="K129" s="564"/>
      <c r="L129" s="564"/>
      <c r="M129" s="564"/>
      <c r="N129" s="564"/>
      <c r="O129" s="564"/>
      <c r="P129" s="564"/>
      <c r="Q129" s="564"/>
      <c r="R129" s="564"/>
      <c r="S129" s="564"/>
      <c r="T129" s="564"/>
      <c r="U129" s="564"/>
      <c r="V129" s="564"/>
      <c r="W129" s="564"/>
      <c r="X129" s="564"/>
      <c r="Y129" s="564"/>
      <c r="Z129" s="564"/>
      <c r="AA129" s="564"/>
      <c r="AD129" s="320">
        <f>A129</f>
        <v>701</v>
      </c>
    </row>
    <row r="130" spans="1:30">
      <c r="A130" s="320">
        <f t="shared" ref="A130" si="16">A129+1</f>
        <v>702</v>
      </c>
      <c r="B130" s="558" t="s">
        <v>200</v>
      </c>
      <c r="C130" s="747"/>
      <c r="D130" s="570">
        <f>AVERAGE(D128:D129)</f>
        <v>387087285.00363564</v>
      </c>
      <c r="E130" s="570">
        <f>AVERAGE(E128:E129)</f>
        <v>368702054.1415664</v>
      </c>
      <c r="F130" s="560" t="str">
        <f>"(Line "&amp;$A128&amp;" + Line "&amp;$A129&amp;")/2"</f>
        <v>(Line 700 + Line 701)/2</v>
      </c>
      <c r="G130" s="560"/>
      <c r="H130" s="560"/>
      <c r="I130" s="560"/>
      <c r="J130" s="560"/>
      <c r="K130" s="560"/>
      <c r="L130" s="560"/>
      <c r="M130" s="560"/>
      <c r="N130" s="560"/>
      <c r="O130" s="560"/>
      <c r="P130" s="560"/>
      <c r="Q130" s="560"/>
      <c r="R130" s="560"/>
      <c r="S130" s="560"/>
      <c r="T130" s="560"/>
      <c r="U130" s="560"/>
      <c r="V130" s="560"/>
      <c r="W130" s="560"/>
      <c r="X130" s="560"/>
      <c r="Y130" s="560"/>
      <c r="Z130" s="560"/>
      <c r="AA130" s="560"/>
      <c r="AD130" s="320">
        <f>A130</f>
        <v>702</v>
      </c>
    </row>
    <row r="131" spans="1:30">
      <c r="A131" s="320"/>
      <c r="B131" s="559"/>
      <c r="C131" s="559"/>
      <c r="D131" s="560"/>
      <c r="E131" s="560"/>
      <c r="F131" s="560"/>
      <c r="G131" s="560"/>
      <c r="H131" s="560"/>
      <c r="I131" s="560"/>
      <c r="J131" s="560"/>
      <c r="K131" s="560"/>
      <c r="L131" s="560"/>
      <c r="M131" s="560"/>
      <c r="N131" s="560"/>
      <c r="O131" s="560"/>
      <c r="P131" s="560"/>
      <c r="Q131" s="560"/>
      <c r="R131" s="560"/>
      <c r="S131" s="560"/>
      <c r="T131" s="560"/>
      <c r="U131" s="560"/>
      <c r="V131" s="560"/>
      <c r="W131" s="560"/>
      <c r="X131" s="560"/>
      <c r="Y131" s="560"/>
      <c r="Z131" s="560"/>
      <c r="AA131" s="560"/>
      <c r="AB131" s="560"/>
    </row>
    <row r="132" spans="1:30">
      <c r="A132" s="320"/>
      <c r="C132" s="559"/>
      <c r="D132" s="560"/>
      <c r="E132" s="560"/>
      <c r="F132" s="560"/>
      <c r="G132" s="560"/>
      <c r="H132" s="560"/>
      <c r="I132" s="560"/>
      <c r="J132" s="560"/>
      <c r="K132" s="560"/>
      <c r="L132" s="560"/>
      <c r="M132" s="560"/>
      <c r="N132" s="560"/>
      <c r="O132" s="560"/>
      <c r="P132" s="560"/>
      <c r="Q132" s="560"/>
      <c r="R132" s="560"/>
      <c r="S132" s="560"/>
      <c r="T132" s="560"/>
      <c r="U132" s="560"/>
      <c r="V132" s="560"/>
      <c r="W132" s="560"/>
      <c r="X132" s="560"/>
      <c r="Y132" s="560"/>
      <c r="Z132" s="560"/>
      <c r="AA132" s="560"/>
      <c r="AB132" s="560"/>
    </row>
    <row r="133" spans="1:30">
      <c r="B133" s="9" t="s">
        <v>89</v>
      </c>
      <c r="C133" s="565"/>
      <c r="D133" s="560"/>
      <c r="E133" s="560"/>
      <c r="F133" s="560"/>
      <c r="G133" s="560"/>
      <c r="H133" s="560"/>
      <c r="I133" s="560"/>
      <c r="J133" s="560"/>
      <c r="K133" s="560"/>
      <c r="L133" s="560"/>
      <c r="M133" s="560"/>
      <c r="N133" s="560"/>
      <c r="O133" s="560"/>
      <c r="P133" s="560"/>
      <c r="Q133" s="560"/>
      <c r="R133" s="560"/>
      <c r="S133" s="560"/>
      <c r="T133" s="560"/>
      <c r="U133" s="560"/>
      <c r="V133" s="560"/>
      <c r="W133" s="560"/>
      <c r="X133" s="560"/>
      <c r="Y133" s="560"/>
      <c r="Z133" s="560"/>
      <c r="AA133" s="560"/>
      <c r="AB133" s="560"/>
    </row>
    <row r="134" spans="1:30">
      <c r="B134" s="319" t="s">
        <v>1389</v>
      </c>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row>
    <row r="135" spans="1:30">
      <c r="A135" s="320"/>
      <c r="B135" s="319" t="s">
        <v>1390</v>
      </c>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row>
    <row r="136" spans="1:30">
      <c r="B136" s="319" t="s">
        <v>1391</v>
      </c>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row>
    <row r="137" spans="1:30">
      <c r="B137" s="319" t="s">
        <v>638</v>
      </c>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row>
    <row r="138" spans="1:30">
      <c r="B138" s="320"/>
      <c r="C138" s="320"/>
      <c r="D138" s="560"/>
      <c r="E138" s="560"/>
      <c r="F138" s="394"/>
      <c r="G138" s="394"/>
      <c r="L138" s="317"/>
      <c r="M138" s="317"/>
      <c r="P138" s="317"/>
      <c r="Q138" s="317"/>
    </row>
  </sheetData>
  <mergeCells count="2">
    <mergeCell ref="B93:N94"/>
    <mergeCell ref="B107:N108"/>
  </mergeCells>
  <printOptions horizontalCentered="1"/>
  <pageMargins left="1" right="1" top="1" bottom="1" header="0.5" footer="0.5"/>
  <pageSetup scale="22" fitToHeight="0" orientation="landscape" r:id="rId1"/>
  <headerFooter>
    <oddHeader>&amp;C&amp;"-,Bold"&amp;12Pacific Gas and Electric Company
Formula Rate Model
Schedule 10-AccDep</oddHeader>
  </headerFooter>
  <rowBreaks count="2" manualBreakCount="2">
    <brk id="51" max="17" man="1"/>
    <brk id="90" max="29" man="1"/>
  </rowBreaks>
  <customProperties>
    <customPr name="_pios_id" r:id="rId2"/>
  </customProperties>
  <ignoredErrors>
    <ignoredError sqref="AC13:AC25"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240D-99F9-4028-9E30-259D61B6D190}">
  <sheetPr codeName="Sheet17">
    <pageSetUpPr fitToPage="1"/>
  </sheetPr>
  <dimension ref="A1:AE71"/>
  <sheetViews>
    <sheetView view="pageBreakPreview" topLeftCell="A46" zoomScale="85" zoomScaleNormal="90" zoomScaleSheetLayoutView="85" zoomScalePageLayoutView="55" workbookViewId="0">
      <selection activeCell="G13" sqref="G13"/>
    </sheetView>
  </sheetViews>
  <sheetFormatPr defaultColWidth="8.85546875" defaultRowHeight="15"/>
  <cols>
    <col min="1" max="1" width="4.7109375" style="467" bestFit="1" customWidth="1"/>
    <col min="2" max="2" width="28" customWidth="1"/>
    <col min="3" max="3" width="16.28515625" customWidth="1"/>
    <col min="4" max="4" width="21.85546875" customWidth="1"/>
    <col min="5" max="5" width="18.42578125" customWidth="1"/>
    <col min="6" max="7" width="22.140625" customWidth="1"/>
    <col min="8" max="28" width="14" customWidth="1"/>
    <col min="29" max="29" width="15.7109375" bestFit="1" customWidth="1"/>
    <col min="30" max="30" width="4.7109375" bestFit="1" customWidth="1"/>
  </cols>
  <sheetData>
    <row r="1" spans="1:31">
      <c r="B1" s="2" t="s">
        <v>1012</v>
      </c>
      <c r="P1" s="135"/>
      <c r="R1" s="317"/>
      <c r="S1" s="317"/>
      <c r="T1" s="317"/>
      <c r="U1" s="317"/>
      <c r="V1" s="317"/>
      <c r="W1" s="317"/>
      <c r="X1" s="317"/>
      <c r="Y1" s="317"/>
      <c r="Z1" s="317"/>
      <c r="AA1" s="317"/>
      <c r="AB1" s="317"/>
      <c r="AC1" s="8" t="str">
        <f>CONCATENATE("Prior Year: ",'1-DRR'!$K$2)</f>
        <v>Prior Year: 2021</v>
      </c>
    </row>
    <row r="2" spans="1:31">
      <c r="B2" s="106" t="s">
        <v>122</v>
      </c>
      <c r="C2" s="550"/>
      <c r="R2" s="317"/>
      <c r="S2" s="317"/>
      <c r="T2" s="317"/>
      <c r="U2" s="317"/>
      <c r="V2" s="317"/>
      <c r="W2" s="317"/>
      <c r="X2" s="317"/>
      <c r="Y2" s="317"/>
      <c r="Z2" s="317"/>
      <c r="AA2" s="317"/>
      <c r="AB2" s="317"/>
    </row>
    <row r="3" spans="1:31">
      <c r="A3" s="639"/>
    </row>
    <row r="4" spans="1:31">
      <c r="B4" s="136" t="s">
        <v>1013</v>
      </c>
      <c r="C4" s="138"/>
      <c r="D4" s="138"/>
      <c r="E4" s="138"/>
      <c r="F4" s="138"/>
      <c r="G4" s="138"/>
      <c r="H4" s="138"/>
      <c r="I4" s="138"/>
      <c r="J4" s="138"/>
      <c r="K4" s="138"/>
      <c r="L4" s="138"/>
      <c r="M4" s="138"/>
      <c r="N4" s="138"/>
      <c r="O4" s="138"/>
      <c r="P4" s="138"/>
      <c r="Q4" s="138"/>
      <c r="R4" s="571"/>
      <c r="S4" s="571"/>
      <c r="T4" s="571"/>
      <c r="U4" s="571"/>
      <c r="V4" s="571"/>
      <c r="W4" s="571"/>
      <c r="X4" s="571"/>
      <c r="Y4" s="571"/>
      <c r="Z4" s="571"/>
      <c r="AA4" s="571"/>
      <c r="AB4" s="571"/>
      <c r="AC4" s="551"/>
    </row>
    <row r="5" spans="1:31">
      <c r="B5" s="163" t="s">
        <v>209</v>
      </c>
    </row>
    <row r="6" spans="1:31">
      <c r="B6" s="663" t="s">
        <v>1181</v>
      </c>
    </row>
    <row r="8" spans="1:31">
      <c r="A8" s="320"/>
      <c r="D8" s="394" t="s">
        <v>62</v>
      </c>
      <c r="E8" s="394" t="s">
        <v>63</v>
      </c>
      <c r="F8" s="394" t="s">
        <v>64</v>
      </c>
      <c r="G8" s="394" t="s">
        <v>65</v>
      </c>
      <c r="H8" s="394" t="s">
        <v>66</v>
      </c>
      <c r="I8" s="394" t="s">
        <v>67</v>
      </c>
      <c r="J8" s="394" t="s">
        <v>68</v>
      </c>
      <c r="K8" s="394" t="s">
        <v>69</v>
      </c>
      <c r="L8" s="394" t="s">
        <v>70</v>
      </c>
      <c r="M8" s="394" t="s">
        <v>141</v>
      </c>
      <c r="N8" s="394" t="s">
        <v>142</v>
      </c>
      <c r="O8" s="394" t="s">
        <v>143</v>
      </c>
      <c r="P8" s="394" t="s">
        <v>144</v>
      </c>
      <c r="Q8" s="394" t="s">
        <v>145</v>
      </c>
      <c r="R8" s="394" t="s">
        <v>452</v>
      </c>
      <c r="S8" s="394" t="s">
        <v>807</v>
      </c>
      <c r="T8" s="394" t="s">
        <v>808</v>
      </c>
      <c r="U8" s="394" t="s">
        <v>865</v>
      </c>
      <c r="V8" s="394" t="s">
        <v>866</v>
      </c>
      <c r="W8" s="394" t="s">
        <v>867</v>
      </c>
      <c r="X8" s="394" t="s">
        <v>868</v>
      </c>
      <c r="Y8" s="394" t="s">
        <v>869</v>
      </c>
      <c r="Z8" s="394" t="s">
        <v>870</v>
      </c>
      <c r="AA8" s="394" t="s">
        <v>871</v>
      </c>
      <c r="AB8" s="394" t="s">
        <v>1130</v>
      </c>
      <c r="AC8" s="394" t="s">
        <v>1051</v>
      </c>
      <c r="AD8" s="394"/>
    </row>
    <row r="9" spans="1:31">
      <c r="A9" s="320"/>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555" t="s">
        <v>1052</v>
      </c>
      <c r="AD9" s="318"/>
    </row>
    <row r="10" spans="1:31">
      <c r="A10" s="320"/>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row>
    <row r="11" spans="1:31">
      <c r="C11" s="327" t="s">
        <v>195</v>
      </c>
      <c r="D11" s="115">
        <v>360</v>
      </c>
      <c r="E11" s="115">
        <v>360</v>
      </c>
      <c r="F11" s="115">
        <v>361</v>
      </c>
      <c r="G11" s="115">
        <v>361</v>
      </c>
      <c r="H11" s="115">
        <v>362</v>
      </c>
      <c r="I11" s="115">
        <v>363</v>
      </c>
      <c r="J11" s="115">
        <v>363</v>
      </c>
      <c r="K11" s="115">
        <v>364</v>
      </c>
      <c r="L11" s="115">
        <v>365</v>
      </c>
      <c r="M11" s="115">
        <v>366</v>
      </c>
      <c r="N11" s="115">
        <v>367</v>
      </c>
      <c r="O11" s="115">
        <v>368</v>
      </c>
      <c r="P11" s="115">
        <v>368</v>
      </c>
      <c r="Q11" s="115">
        <v>369</v>
      </c>
      <c r="R11" s="115">
        <v>369</v>
      </c>
      <c r="S11" s="115">
        <v>370</v>
      </c>
      <c r="T11" s="115">
        <v>370</v>
      </c>
      <c r="U11" s="115">
        <v>371</v>
      </c>
      <c r="V11" s="115">
        <v>371</v>
      </c>
      <c r="W11" s="115">
        <v>371</v>
      </c>
      <c r="X11" s="115">
        <v>372</v>
      </c>
      <c r="Y11" s="115">
        <v>373</v>
      </c>
      <c r="Z11" s="115">
        <v>373</v>
      </c>
      <c r="AA11" s="115">
        <v>373</v>
      </c>
      <c r="AB11" s="115">
        <v>373</v>
      </c>
    </row>
    <row r="12" spans="1:31">
      <c r="A12" s="324" t="s">
        <v>86</v>
      </c>
      <c r="C12" s="324" t="s">
        <v>73</v>
      </c>
      <c r="D12" s="394" t="s">
        <v>971</v>
      </c>
      <c r="E12" s="394" t="s">
        <v>956</v>
      </c>
      <c r="F12" s="394" t="s">
        <v>957</v>
      </c>
      <c r="G12" s="394" t="s">
        <v>958</v>
      </c>
      <c r="H12" s="394" t="s">
        <v>959</v>
      </c>
      <c r="I12" s="394" t="s">
        <v>960</v>
      </c>
      <c r="J12" s="394" t="s">
        <v>961</v>
      </c>
      <c r="K12" s="394" t="s">
        <v>962</v>
      </c>
      <c r="L12" s="394" t="s">
        <v>963</v>
      </c>
      <c r="M12" s="394" t="s">
        <v>964</v>
      </c>
      <c r="N12" s="394" t="s">
        <v>965</v>
      </c>
      <c r="O12" s="394" t="s">
        <v>966</v>
      </c>
      <c r="P12" s="394" t="s">
        <v>967</v>
      </c>
      <c r="Q12" s="394" t="s">
        <v>968</v>
      </c>
      <c r="R12" s="394" t="s">
        <v>969</v>
      </c>
      <c r="S12" s="394" t="s">
        <v>972</v>
      </c>
      <c r="T12" s="394" t="s">
        <v>970</v>
      </c>
      <c r="U12" s="394" t="s">
        <v>973</v>
      </c>
      <c r="V12" s="394" t="s">
        <v>974</v>
      </c>
      <c r="W12" s="394" t="s">
        <v>975</v>
      </c>
      <c r="X12" s="394" t="s">
        <v>976</v>
      </c>
      <c r="Y12" s="394" t="s">
        <v>977</v>
      </c>
      <c r="Z12" s="394" t="s">
        <v>978</v>
      </c>
      <c r="AA12" s="394" t="s">
        <v>979</v>
      </c>
      <c r="AB12" s="394" t="s">
        <v>980</v>
      </c>
      <c r="AC12" s="324" t="s">
        <v>196</v>
      </c>
      <c r="AD12" s="324" t="str">
        <f>A12</f>
        <v>Line</v>
      </c>
    </row>
    <row r="13" spans="1:31">
      <c r="A13" s="320">
        <v>100</v>
      </c>
      <c r="B13" t="s">
        <v>1014</v>
      </c>
      <c r="C13" s="197">
        <f>'1-DRR'!$K$2</f>
        <v>2021</v>
      </c>
      <c r="D13" s="383">
        <v>0</v>
      </c>
      <c r="E13" s="383">
        <v>3838783.97</v>
      </c>
      <c r="F13" s="383">
        <v>4679893.74</v>
      </c>
      <c r="G13" s="383">
        <v>666588.56999999995</v>
      </c>
      <c r="H13" s="383">
        <v>122188512.51000001</v>
      </c>
      <c r="I13" s="383">
        <v>64385.11</v>
      </c>
      <c r="J13" s="383">
        <v>2010560.11</v>
      </c>
      <c r="K13" s="383">
        <v>385336692.19999999</v>
      </c>
      <c r="L13" s="383">
        <v>211849155.13999999</v>
      </c>
      <c r="M13" s="383">
        <v>82544197.969999999</v>
      </c>
      <c r="N13" s="383">
        <v>172655709.62</v>
      </c>
      <c r="O13" s="383">
        <v>150607182.19999999</v>
      </c>
      <c r="P13" s="383">
        <v>52273743.420000002</v>
      </c>
      <c r="Q13" s="383">
        <v>40738521.789999999</v>
      </c>
      <c r="R13" s="383">
        <v>76306570.200000003</v>
      </c>
      <c r="S13" s="383">
        <v>7536298.9199999999</v>
      </c>
      <c r="T13" s="383">
        <v>84483687.209999993</v>
      </c>
      <c r="U13" s="383">
        <v>0</v>
      </c>
      <c r="V13" s="383">
        <v>897.54</v>
      </c>
      <c r="W13" s="383">
        <v>115438.44</v>
      </c>
      <c r="X13" s="383">
        <v>0</v>
      </c>
      <c r="Y13" s="383">
        <v>564544.52</v>
      </c>
      <c r="Z13" s="383">
        <v>1642613.36</v>
      </c>
      <c r="AA13" s="383">
        <v>4374827.4800000004</v>
      </c>
      <c r="AB13" s="383">
        <v>2779284.53</v>
      </c>
      <c r="AC13" s="572">
        <f>SUM(D13:AB13)</f>
        <v>1407258088.55</v>
      </c>
      <c r="AD13" s="320">
        <f>A13</f>
        <v>100</v>
      </c>
    </row>
    <row r="14" spans="1:31">
      <c r="A14" s="320">
        <f>A13+1</f>
        <v>101</v>
      </c>
      <c r="B14" s="334" t="s">
        <v>1023</v>
      </c>
      <c r="C14" s="750">
        <f>'1-DRR'!$K$2</f>
        <v>2021</v>
      </c>
      <c r="D14" s="597">
        <f>D$13*'6-PlantJurisdiction'!$E$37</f>
        <v>0</v>
      </c>
      <c r="E14" s="597">
        <f>E$13*'6-PlantJurisdiction'!$E$37</f>
        <v>1966082.8589397431</v>
      </c>
      <c r="F14" s="597">
        <f>F$13*'6-PlantJurisdiction'!$E$38</f>
        <v>4679893.74</v>
      </c>
      <c r="G14" s="597">
        <f>G$13*'6-PlantJurisdiction'!$E$38</f>
        <v>666588.56999999995</v>
      </c>
      <c r="H14" s="597">
        <f>H$13*'6-PlantJurisdiction'!$E$39</f>
        <v>122188512.51000001</v>
      </c>
      <c r="I14" s="597">
        <f>I$13*'6-PlantJurisdiction'!$E$40</f>
        <v>64385.11</v>
      </c>
      <c r="J14" s="597">
        <f>J$13*'6-PlantJurisdiction'!$E$40</f>
        <v>2010560.11</v>
      </c>
      <c r="K14" s="597">
        <f>K$13*'6-PlantJurisdiction'!$E$41</f>
        <v>307563471.63619459</v>
      </c>
      <c r="L14" s="597">
        <f>L$13*'6-PlantJurisdiction'!$E$42</f>
        <v>169091246.53054041</v>
      </c>
      <c r="M14" s="597">
        <f>M$13*'6-PlantJurisdiction'!$E$43</f>
        <v>32232282.344971895</v>
      </c>
      <c r="N14" s="597">
        <f>N$13*'6-PlantJurisdiction'!$E$44</f>
        <v>67419488.199108854</v>
      </c>
      <c r="O14" s="597">
        <f>O$13*'6-PlantJurisdiction'!$E$45</f>
        <v>0</v>
      </c>
      <c r="P14" s="597">
        <f>P$13*'6-PlantJurisdiction'!$E$45</f>
        <v>0</v>
      </c>
      <c r="Q14" s="597">
        <f>Q$13*'6-PlantJurisdiction'!$E$46</f>
        <v>0</v>
      </c>
      <c r="R14" s="597">
        <f>R$13*'6-PlantJurisdiction'!$E$46</f>
        <v>0</v>
      </c>
      <c r="S14" s="597">
        <f>S$13*'6-PlantJurisdiction'!$E$47</f>
        <v>0</v>
      </c>
      <c r="T14" s="597">
        <f>T$13*'6-PlantJurisdiction'!$E$47</f>
        <v>0</v>
      </c>
      <c r="U14" s="597">
        <f>U$13*'6-PlantJurisdiction'!$E$48</f>
        <v>0</v>
      </c>
      <c r="V14" s="597">
        <f>V$13*'6-PlantJurisdiction'!$E$48</f>
        <v>0</v>
      </c>
      <c r="W14" s="597">
        <f>W$13*'6-PlantJurisdiction'!$E$48</f>
        <v>0</v>
      </c>
      <c r="X14" s="597">
        <f>X$13*'6-PlantJurisdiction'!$E$49</f>
        <v>0</v>
      </c>
      <c r="Y14" s="597">
        <f>Y$13*'6-PlantJurisdiction'!$E$50</f>
        <v>0</v>
      </c>
      <c r="Z14" s="597">
        <f>Z$13*'6-PlantJurisdiction'!$E$50</f>
        <v>0</v>
      </c>
      <c r="AA14" s="597">
        <f>AA$13*'6-PlantJurisdiction'!$E$50</f>
        <v>0</v>
      </c>
      <c r="AB14" s="597">
        <f>AB$13*'6-PlantJurisdiction'!$E$50</f>
        <v>0</v>
      </c>
      <c r="AC14" s="598">
        <f t="shared" ref="AC14:AC15" si="0">SUM(D14:AB14)</f>
        <v>707882511.60975552</v>
      </c>
      <c r="AD14" s="320">
        <f t="shared" ref="AD14:AD15" si="1">A14</f>
        <v>101</v>
      </c>
      <c r="AE14" s="467"/>
    </row>
    <row r="15" spans="1:31">
      <c r="A15" s="320">
        <f>A14+1</f>
        <v>102</v>
      </c>
      <c r="B15" s="317" t="s">
        <v>1024</v>
      </c>
      <c r="C15" s="197">
        <f>'1-DRR'!$K$2</f>
        <v>2021</v>
      </c>
      <c r="D15" s="386">
        <f>D$13*'6-PlantJurisdiction'!$F$37</f>
        <v>0</v>
      </c>
      <c r="E15" s="386">
        <f>E$13*'6-PlantJurisdiction'!$F$37</f>
        <v>1872701.1110602571</v>
      </c>
      <c r="F15" s="386">
        <f>F$13*'6-PlantJurisdiction'!$F$38</f>
        <v>0</v>
      </c>
      <c r="G15" s="386">
        <f>G$13*'6-PlantJurisdiction'!$F$38</f>
        <v>0</v>
      </c>
      <c r="H15" s="386">
        <f>H$13*'6-PlantJurisdiction'!$F$39</f>
        <v>0</v>
      </c>
      <c r="I15" s="386">
        <f>I$13*'6-PlantJurisdiction'!$F$40</f>
        <v>0</v>
      </c>
      <c r="J15" s="386">
        <f>J$13*'6-PlantJurisdiction'!$F$40</f>
        <v>0</v>
      </c>
      <c r="K15" s="386">
        <f>K$13*'6-PlantJurisdiction'!$F$41</f>
        <v>77773220.563805431</v>
      </c>
      <c r="L15" s="386">
        <f>L$13*'6-PlantJurisdiction'!$F$42</f>
        <v>42757908.609459572</v>
      </c>
      <c r="M15" s="386">
        <f>M$13*'6-PlantJurisdiction'!$F$43</f>
        <v>50311915.625028111</v>
      </c>
      <c r="N15" s="386">
        <f>N$13*'6-PlantJurisdiction'!$F$44</f>
        <v>105236221.42089115</v>
      </c>
      <c r="O15" s="386">
        <f>O$13*'6-PlantJurisdiction'!$F$45</f>
        <v>150607182.19999999</v>
      </c>
      <c r="P15" s="386">
        <f>P$13*'6-PlantJurisdiction'!$F$45</f>
        <v>52273743.420000002</v>
      </c>
      <c r="Q15" s="386">
        <f>Q$13*'6-PlantJurisdiction'!$F$46</f>
        <v>40738521.789999999</v>
      </c>
      <c r="R15" s="386">
        <f>R$13*'6-PlantJurisdiction'!$F$46</f>
        <v>76306570.200000003</v>
      </c>
      <c r="S15" s="386">
        <f>S$13*'6-PlantJurisdiction'!$F$47</f>
        <v>0</v>
      </c>
      <c r="T15" s="386">
        <f>T$13*'6-PlantJurisdiction'!$F$47</f>
        <v>0</v>
      </c>
      <c r="U15" s="386">
        <f>U$13*'6-PlantJurisdiction'!$F$48</f>
        <v>0</v>
      </c>
      <c r="V15" s="386">
        <f>V$13*'6-PlantJurisdiction'!$F$48</f>
        <v>0</v>
      </c>
      <c r="W15" s="386">
        <f>W$13*'6-PlantJurisdiction'!$F$48</f>
        <v>0</v>
      </c>
      <c r="X15" s="386">
        <f>X$13*'6-PlantJurisdiction'!$F$49</f>
        <v>0</v>
      </c>
      <c r="Y15" s="386">
        <f>Y$13*'6-PlantJurisdiction'!$F$50</f>
        <v>0</v>
      </c>
      <c r="Z15" s="386">
        <f>Z$13*'6-PlantJurisdiction'!$F$50</f>
        <v>0</v>
      </c>
      <c r="AA15" s="386">
        <f>AA$13*'6-PlantJurisdiction'!$F$50</f>
        <v>0</v>
      </c>
      <c r="AB15" s="386">
        <f>AB$13*'6-PlantJurisdiction'!$F$50</f>
        <v>0</v>
      </c>
      <c r="AC15" s="572">
        <f t="shared" si="0"/>
        <v>597877984.94024456</v>
      </c>
      <c r="AD15" s="320">
        <f t="shared" si="1"/>
        <v>102</v>
      </c>
      <c r="AE15" s="467"/>
    </row>
    <row r="16" spans="1:31">
      <c r="A16" s="318"/>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7"/>
      <c r="AE16" s="467"/>
    </row>
    <row r="17" spans="1:30">
      <c r="A17" s="318"/>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D17" s="467"/>
    </row>
    <row r="18" spans="1:30">
      <c r="B18" s="65" t="s">
        <v>210</v>
      </c>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551"/>
      <c r="AD18" s="467"/>
    </row>
    <row r="19" spans="1:30">
      <c r="B19" s="552" t="s">
        <v>1182</v>
      </c>
    </row>
    <row r="21" spans="1:30">
      <c r="A21" s="318"/>
      <c r="B21" s="317"/>
      <c r="C21" s="394" t="s">
        <v>62</v>
      </c>
      <c r="D21" s="394" t="s">
        <v>63</v>
      </c>
      <c r="E21" s="394" t="s">
        <v>64</v>
      </c>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D21" s="467"/>
    </row>
    <row r="22" spans="1:30" ht="45">
      <c r="C22" s="555" t="s">
        <v>87</v>
      </c>
      <c r="D22" s="661" t="s">
        <v>1101</v>
      </c>
      <c r="E22" s="661" t="s">
        <v>1102</v>
      </c>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D22" s="467"/>
    </row>
    <row r="23" spans="1:30">
      <c r="C23" s="326"/>
      <c r="D23" s="326"/>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D23" s="467"/>
    </row>
    <row r="24" spans="1:30">
      <c r="C24" s="115" t="s">
        <v>198</v>
      </c>
      <c r="D24" s="708" t="s">
        <v>926</v>
      </c>
      <c r="E24" s="708" t="s">
        <v>927</v>
      </c>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D24" s="467"/>
    </row>
    <row r="25" spans="1:30">
      <c r="A25" s="324" t="s">
        <v>86</v>
      </c>
      <c r="B25" s="324" t="s">
        <v>73</v>
      </c>
      <c r="C25" s="561" t="s">
        <v>199</v>
      </c>
      <c r="D25" s="3" t="s">
        <v>59</v>
      </c>
      <c r="E25" s="3" t="s">
        <v>59</v>
      </c>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D25" s="324" t="str">
        <f>A25</f>
        <v>Line</v>
      </c>
    </row>
    <row r="26" spans="1:30">
      <c r="A26" s="320">
        <v>200</v>
      </c>
      <c r="B26" s="197">
        <f>'1-DRR'!$K$2</f>
        <v>2021</v>
      </c>
      <c r="C26" s="383">
        <v>60917644.943082191</v>
      </c>
      <c r="D26" s="165">
        <f>$C26*'6-PlantJurisdiction'!E$85</f>
        <v>29750290.875530858</v>
      </c>
      <c r="E26" s="165">
        <f>$C26*'6-PlantJurisdiction'!F$85</f>
        <v>28337260.824814487</v>
      </c>
      <c r="F26" s="662" t="s">
        <v>1384</v>
      </c>
      <c r="G26" s="317"/>
      <c r="H26" s="317"/>
      <c r="I26" s="317"/>
      <c r="J26" s="317"/>
      <c r="K26" s="317"/>
      <c r="L26" s="317"/>
      <c r="M26" s="317"/>
      <c r="N26" s="317"/>
      <c r="O26" s="317"/>
      <c r="P26" s="317"/>
      <c r="Q26" s="317"/>
      <c r="R26" s="317"/>
      <c r="S26" s="317"/>
      <c r="T26" s="317"/>
      <c r="U26" s="317"/>
      <c r="V26" s="317"/>
      <c r="W26" s="317"/>
      <c r="X26" s="317"/>
      <c r="Y26" s="317"/>
      <c r="Z26" s="317"/>
      <c r="AA26" s="317"/>
      <c r="AB26" s="317"/>
      <c r="AD26" s="320">
        <f>A26</f>
        <v>200</v>
      </c>
    </row>
    <row r="27" spans="1:30">
      <c r="A27" s="147"/>
      <c r="B27" s="560"/>
      <c r="C27" s="560"/>
      <c r="D27" s="560"/>
      <c r="E27" s="560"/>
      <c r="F27" s="560"/>
      <c r="G27" s="560"/>
      <c r="H27" s="560"/>
      <c r="I27" s="560"/>
      <c r="J27" s="560"/>
      <c r="K27" s="560"/>
      <c r="L27" s="560"/>
      <c r="M27" s="560"/>
      <c r="N27" s="317"/>
      <c r="O27" s="317"/>
      <c r="P27" s="317"/>
      <c r="Q27" s="317"/>
      <c r="R27" s="317"/>
      <c r="S27" s="317"/>
      <c r="T27" s="317"/>
      <c r="U27" s="317"/>
      <c r="V27" s="317"/>
      <c r="W27" s="317"/>
      <c r="X27" s="317"/>
      <c r="Y27" s="317"/>
      <c r="Z27" s="317"/>
      <c r="AA27" s="317"/>
      <c r="AB27" s="317"/>
      <c r="AD27" s="467"/>
    </row>
    <row r="28" spans="1:30">
      <c r="A28" s="147"/>
      <c r="B28" s="560"/>
      <c r="C28" s="560"/>
      <c r="D28" s="560"/>
      <c r="E28" s="560"/>
      <c r="F28" s="560"/>
      <c r="G28" s="560"/>
      <c r="H28" s="560"/>
      <c r="I28" s="560"/>
      <c r="J28" s="560"/>
      <c r="K28" s="560"/>
      <c r="L28" s="560"/>
      <c r="M28" s="560"/>
      <c r="N28" s="317"/>
      <c r="O28" s="317"/>
      <c r="P28" s="317"/>
      <c r="Q28" s="317"/>
      <c r="R28" s="317"/>
      <c r="S28" s="317"/>
      <c r="T28" s="317"/>
      <c r="U28" s="317"/>
      <c r="V28" s="317"/>
      <c r="W28" s="317"/>
      <c r="X28" s="317"/>
      <c r="Y28" s="317"/>
      <c r="Z28" s="317"/>
      <c r="AA28" s="317"/>
      <c r="AB28" s="317"/>
      <c r="AD28" s="467"/>
    </row>
    <row r="29" spans="1:30">
      <c r="B29" s="65" t="s">
        <v>1372</v>
      </c>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551"/>
      <c r="AD29" s="467"/>
    </row>
    <row r="30" spans="1:30">
      <c r="B30" s="967" t="s">
        <v>1183</v>
      </c>
      <c r="C30" s="967"/>
      <c r="D30" s="967"/>
      <c r="E30" s="967"/>
      <c r="F30" s="967"/>
      <c r="G30" s="967"/>
      <c r="H30" s="967"/>
      <c r="I30" s="967"/>
      <c r="J30" s="967"/>
      <c r="K30" s="967"/>
      <c r="L30" s="967"/>
      <c r="M30" s="967"/>
      <c r="N30" s="967"/>
    </row>
    <row r="31" spans="1:30">
      <c r="B31" s="967"/>
      <c r="C31" s="967"/>
      <c r="D31" s="967"/>
      <c r="E31" s="967"/>
      <c r="F31" s="967"/>
      <c r="G31" s="967"/>
      <c r="H31" s="967"/>
      <c r="I31" s="967"/>
      <c r="J31" s="967"/>
      <c r="K31" s="967"/>
      <c r="L31" s="967"/>
      <c r="M31" s="967"/>
      <c r="N31" s="967"/>
    </row>
    <row r="32" spans="1:30">
      <c r="B32" s="317"/>
      <c r="C32" s="394" t="s">
        <v>62</v>
      </c>
      <c r="D32" s="394" t="s">
        <v>63</v>
      </c>
      <c r="E32" s="394" t="s">
        <v>64</v>
      </c>
      <c r="F32" s="394" t="s">
        <v>65</v>
      </c>
      <c r="G32" s="394" t="s">
        <v>66</v>
      </c>
      <c r="H32" s="394"/>
      <c r="I32" s="394"/>
      <c r="J32" s="394"/>
      <c r="K32" s="394"/>
      <c r="L32" s="394"/>
      <c r="M32" s="394"/>
      <c r="O32" s="317"/>
      <c r="P32" s="317"/>
      <c r="Q32" s="317"/>
      <c r="R32" s="317"/>
      <c r="S32" s="317"/>
      <c r="T32" s="317"/>
      <c r="U32" s="317"/>
      <c r="V32" s="317"/>
      <c r="W32" s="317"/>
      <c r="X32" s="317"/>
      <c r="Y32" s="317"/>
      <c r="Z32" s="317"/>
      <c r="AA32" s="317"/>
      <c r="AB32" s="317"/>
      <c r="AD32" s="467"/>
    </row>
    <row r="33" spans="1:31" ht="45">
      <c r="A33" s="573"/>
      <c r="B33" s="574"/>
      <c r="C33" s="555" t="s">
        <v>88</v>
      </c>
      <c r="D33" s="567" t="str">
        <f>"24-Allocators, Line " &amp; '24-Allocators'!$A$24</f>
        <v>24-Allocators, Line 113</v>
      </c>
      <c r="E33" s="567" t="s">
        <v>201</v>
      </c>
      <c r="F33" s="661" t="s">
        <v>1378</v>
      </c>
      <c r="G33" s="661" t="s">
        <v>1379</v>
      </c>
      <c r="H33" s="555"/>
      <c r="I33" s="555"/>
      <c r="J33" s="555"/>
      <c r="K33" s="555"/>
      <c r="L33" s="555"/>
      <c r="M33" s="555"/>
      <c r="O33" s="575"/>
      <c r="P33" s="575"/>
      <c r="Q33" s="575"/>
      <c r="R33" s="575"/>
      <c r="S33" s="575"/>
      <c r="T33" s="575"/>
      <c r="U33" s="575"/>
      <c r="V33" s="575"/>
      <c r="W33" s="575"/>
      <c r="X33" s="575"/>
      <c r="Y33" s="575"/>
      <c r="Z33" s="575"/>
      <c r="AA33" s="575"/>
      <c r="AB33" s="575"/>
      <c r="AC33" s="574"/>
      <c r="AD33" s="467"/>
    </row>
    <row r="34" spans="1:31">
      <c r="E34" s="326"/>
      <c r="H34" s="576"/>
      <c r="I34" s="576"/>
      <c r="J34" s="576"/>
      <c r="K34" s="576"/>
      <c r="L34" s="576"/>
      <c r="M34" s="576"/>
      <c r="O34" s="317"/>
      <c r="P34" s="317"/>
      <c r="Q34" s="317"/>
      <c r="R34" s="317"/>
      <c r="S34" s="317"/>
      <c r="T34" s="317"/>
      <c r="U34" s="317"/>
      <c r="V34" s="317"/>
      <c r="W34" s="317"/>
      <c r="X34" s="317"/>
      <c r="Y34" s="317"/>
      <c r="Z34" s="317"/>
      <c r="AA34" s="317"/>
      <c r="AB34" s="317"/>
      <c r="AD34" s="467"/>
    </row>
    <row r="35" spans="1:31">
      <c r="C35" s="115" t="s">
        <v>202</v>
      </c>
      <c r="D35" s="639" t="s">
        <v>1009</v>
      </c>
      <c r="E35" s="708" t="s">
        <v>1363</v>
      </c>
      <c r="H35" s="639"/>
      <c r="I35" s="639"/>
      <c r="J35" s="639"/>
      <c r="K35" s="639"/>
      <c r="L35" s="639"/>
      <c r="M35" s="639"/>
      <c r="O35" s="317"/>
      <c r="P35" s="317"/>
      <c r="Q35" s="317"/>
      <c r="R35" s="317"/>
      <c r="S35" s="317"/>
      <c r="T35" s="317"/>
      <c r="U35" s="317"/>
      <c r="V35" s="317"/>
      <c r="W35" s="317"/>
      <c r="X35" s="317"/>
      <c r="Y35" s="317"/>
      <c r="Z35" s="317"/>
      <c r="AA35" s="317"/>
      <c r="AB35" s="317"/>
      <c r="AD35" s="467"/>
    </row>
    <row r="36" spans="1:31">
      <c r="C36" s="639" t="s">
        <v>211</v>
      </c>
      <c r="D36" s="639" t="s">
        <v>59</v>
      </c>
      <c r="E36" s="708" t="s">
        <v>59</v>
      </c>
      <c r="F36" s="708" t="s">
        <v>926</v>
      </c>
      <c r="G36" s="708" t="s">
        <v>927</v>
      </c>
      <c r="H36" s="639"/>
      <c r="I36" s="639"/>
      <c r="J36" s="639"/>
      <c r="K36" s="639"/>
      <c r="L36" s="639"/>
      <c r="M36" s="639"/>
      <c r="O36" s="317"/>
      <c r="P36" s="317"/>
      <c r="Q36" s="317"/>
      <c r="R36" s="317"/>
      <c r="S36" s="317"/>
      <c r="T36" s="317"/>
      <c r="U36" s="317"/>
      <c r="V36" s="317"/>
      <c r="W36" s="317"/>
      <c r="X36" s="317"/>
      <c r="Y36" s="317"/>
      <c r="Z36" s="317"/>
      <c r="AA36" s="317"/>
      <c r="AB36" s="317"/>
      <c r="AD36" s="467"/>
    </row>
    <row r="37" spans="1:31">
      <c r="A37" s="324" t="s">
        <v>86</v>
      </c>
      <c r="B37" s="324" t="s">
        <v>73</v>
      </c>
      <c r="C37" s="178" t="s">
        <v>203</v>
      </c>
      <c r="D37" s="178" t="s">
        <v>204</v>
      </c>
      <c r="E37" s="561" t="s">
        <v>205</v>
      </c>
      <c r="F37" s="3" t="s">
        <v>59</v>
      </c>
      <c r="G37" s="3" t="s">
        <v>59</v>
      </c>
      <c r="H37" s="178"/>
      <c r="I37" s="178"/>
      <c r="J37" s="178"/>
      <c r="K37" s="178"/>
      <c r="L37" s="178"/>
      <c r="M37" s="178"/>
      <c r="O37" s="317"/>
      <c r="P37" s="317"/>
      <c r="Q37" s="317"/>
      <c r="R37" s="317"/>
      <c r="S37" s="317"/>
      <c r="T37" s="317"/>
      <c r="U37" s="317"/>
      <c r="V37" s="317"/>
      <c r="W37" s="317"/>
      <c r="X37" s="317"/>
      <c r="Y37" s="317"/>
      <c r="Z37" s="317"/>
      <c r="AA37" s="317"/>
      <c r="AB37" s="317"/>
      <c r="AD37" s="324" t="str">
        <f>A37</f>
        <v>Line</v>
      </c>
    </row>
    <row r="38" spans="1:31">
      <c r="A38" s="320">
        <v>300</v>
      </c>
      <c r="B38" s="197">
        <f>'1-DRR'!$K$2</f>
        <v>2021</v>
      </c>
      <c r="C38" s="383">
        <v>247599424.99509785</v>
      </c>
      <c r="D38" s="123">
        <f>'24-Allocators'!$C$24</f>
        <v>0.30680154907006396</v>
      </c>
      <c r="E38" s="376">
        <f>+D38*C38</f>
        <v>75963887.137353137</v>
      </c>
      <c r="F38" s="165">
        <f>$E38*'6-PlantJurisdiction'!E$85</f>
        <v>37098409.508178018</v>
      </c>
      <c r="G38" s="165">
        <f>$E38*'6-PlantJurisdiction'!F$85</f>
        <v>35336370.686838195</v>
      </c>
      <c r="H38" s="662"/>
      <c r="I38" s="578"/>
      <c r="J38" s="578"/>
      <c r="K38" s="578"/>
      <c r="L38" s="578"/>
      <c r="M38" s="578"/>
      <c r="O38" s="317"/>
      <c r="P38" s="317"/>
      <c r="Q38" s="317"/>
      <c r="R38" s="317"/>
      <c r="S38" s="317"/>
      <c r="T38" s="317"/>
      <c r="U38" s="317"/>
      <c r="V38" s="317"/>
      <c r="W38" s="317"/>
      <c r="X38" s="317"/>
      <c r="Y38" s="317"/>
      <c r="Z38" s="317"/>
      <c r="AA38" s="317"/>
      <c r="AB38" s="317"/>
      <c r="AD38" s="320">
        <f>A38</f>
        <v>300</v>
      </c>
    </row>
    <row r="39" spans="1:31">
      <c r="A39" s="320"/>
      <c r="B39" s="552"/>
      <c r="C39" s="562"/>
      <c r="D39" s="123"/>
      <c r="E39" s="577"/>
      <c r="F39" s="577"/>
      <c r="G39" s="577"/>
      <c r="H39" s="577"/>
      <c r="I39" s="577"/>
      <c r="J39" s="577"/>
      <c r="K39" s="577"/>
      <c r="L39" s="577"/>
      <c r="M39" s="577"/>
      <c r="N39" s="560"/>
      <c r="O39" s="317"/>
      <c r="P39" s="317"/>
      <c r="Q39" s="317"/>
      <c r="R39" s="317"/>
      <c r="S39" s="317"/>
      <c r="T39" s="317"/>
      <c r="U39" s="317"/>
      <c r="V39" s="317"/>
      <c r="W39" s="317"/>
      <c r="X39" s="317"/>
      <c r="Y39" s="317"/>
      <c r="Z39" s="317"/>
      <c r="AA39" s="317"/>
      <c r="AB39" s="317"/>
      <c r="AD39" s="467"/>
    </row>
    <row r="40" spans="1:31">
      <c r="A40" s="320"/>
      <c r="B40" s="552"/>
      <c r="C40" s="562"/>
      <c r="D40" s="577"/>
      <c r="E40" s="577"/>
      <c r="F40" s="577"/>
      <c r="G40" s="577"/>
      <c r="H40" s="577"/>
      <c r="I40" s="577"/>
      <c r="J40" s="577"/>
      <c r="K40" s="577"/>
      <c r="L40" s="577"/>
      <c r="M40" s="577"/>
      <c r="N40" s="560"/>
      <c r="O40" s="317"/>
      <c r="P40" s="317"/>
      <c r="Q40" s="317"/>
      <c r="R40" s="317"/>
      <c r="S40" s="317"/>
      <c r="T40" s="317"/>
      <c r="U40" s="317"/>
      <c r="V40" s="317"/>
      <c r="W40" s="317"/>
      <c r="X40" s="317"/>
      <c r="Y40" s="317"/>
      <c r="Z40" s="317"/>
      <c r="AA40" s="317"/>
      <c r="AB40" s="317"/>
      <c r="AD40" s="467"/>
    </row>
    <row r="41" spans="1:31">
      <c r="B41" s="65" t="s">
        <v>1374</v>
      </c>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551"/>
      <c r="AD41" s="467"/>
    </row>
    <row r="42" spans="1:31">
      <c r="B42" s="967" t="s">
        <v>1108</v>
      </c>
      <c r="C42" s="967"/>
      <c r="D42" s="967"/>
      <c r="E42" s="967"/>
      <c r="F42" s="967"/>
      <c r="G42" s="967"/>
      <c r="H42" s="967"/>
      <c r="I42" s="967"/>
      <c r="J42" s="967"/>
      <c r="K42" s="967"/>
      <c r="L42" s="967"/>
      <c r="M42" s="967"/>
      <c r="N42" s="967"/>
    </row>
    <row r="43" spans="1:31">
      <c r="B43" s="967"/>
      <c r="C43" s="967"/>
      <c r="D43" s="967"/>
      <c r="E43" s="967"/>
      <c r="F43" s="967"/>
      <c r="G43" s="967"/>
      <c r="H43" s="967"/>
      <c r="I43" s="967"/>
      <c r="J43" s="967"/>
      <c r="K43" s="967"/>
      <c r="L43" s="967"/>
      <c r="M43" s="967"/>
      <c r="N43" s="967"/>
      <c r="AE43" s="184"/>
    </row>
    <row r="44" spans="1:31">
      <c r="B44" s="317"/>
      <c r="C44" s="394" t="s">
        <v>62</v>
      </c>
      <c r="D44" s="394" t="s">
        <v>63</v>
      </c>
      <c r="E44" s="394" t="s">
        <v>64</v>
      </c>
      <c r="F44" s="394" t="s">
        <v>65</v>
      </c>
      <c r="G44" s="394" t="s">
        <v>66</v>
      </c>
      <c r="H44" s="394"/>
      <c r="I44" s="394"/>
      <c r="J44" s="394"/>
      <c r="K44" s="394"/>
      <c r="L44" s="394"/>
      <c r="M44" s="394"/>
      <c r="O44" s="317"/>
      <c r="P44" s="317"/>
      <c r="Q44" s="317"/>
      <c r="R44" s="317"/>
      <c r="S44" s="317"/>
      <c r="T44" s="317"/>
      <c r="U44" s="317"/>
      <c r="V44" s="317"/>
      <c r="W44" s="317"/>
      <c r="X44" s="317"/>
      <c r="Y44" s="317"/>
      <c r="Z44" s="317"/>
      <c r="AA44" s="317"/>
      <c r="AB44" s="317"/>
      <c r="AD44" s="467"/>
    </row>
    <row r="45" spans="1:31" ht="45">
      <c r="A45" s="573"/>
      <c r="B45" s="574"/>
      <c r="C45" s="555" t="s">
        <v>112</v>
      </c>
      <c r="D45" s="567" t="str">
        <f>"24-Allocators, Line " &amp; '24-Allocators'!$A$23</f>
        <v>24-Allocators, Line 112</v>
      </c>
      <c r="E45" s="567" t="s">
        <v>201</v>
      </c>
      <c r="F45" s="661" t="s">
        <v>1378</v>
      </c>
      <c r="G45" s="661" t="s">
        <v>1379</v>
      </c>
      <c r="H45" s="555"/>
      <c r="I45" s="555"/>
      <c r="J45" s="555"/>
      <c r="K45" s="555"/>
      <c r="L45" s="555"/>
      <c r="M45" s="555"/>
      <c r="O45" s="575"/>
      <c r="P45" s="575"/>
      <c r="Q45" s="575"/>
      <c r="R45" s="575"/>
      <c r="S45" s="575"/>
      <c r="T45" s="575"/>
      <c r="U45" s="575"/>
      <c r="V45" s="575"/>
      <c r="W45" s="575"/>
      <c r="X45" s="575"/>
      <c r="Y45" s="575"/>
      <c r="Z45" s="575"/>
      <c r="AA45" s="575"/>
      <c r="AB45" s="575"/>
      <c r="AC45" s="574"/>
      <c r="AD45" s="467"/>
    </row>
    <row r="46" spans="1:31">
      <c r="E46" s="326"/>
      <c r="G46" s="560"/>
      <c r="H46" s="576"/>
      <c r="I46" s="576"/>
      <c r="J46" s="576"/>
      <c r="K46" s="576"/>
      <c r="L46" s="576"/>
      <c r="M46" s="576"/>
      <c r="O46" s="317"/>
      <c r="P46" s="317"/>
      <c r="Q46" s="317"/>
      <c r="R46" s="317"/>
      <c r="S46" s="317"/>
      <c r="T46" s="317"/>
      <c r="U46" s="317"/>
      <c r="V46" s="317"/>
      <c r="W46" s="317"/>
      <c r="X46" s="317"/>
      <c r="Y46" s="317"/>
      <c r="Z46" s="317"/>
      <c r="AA46" s="317"/>
      <c r="AB46" s="317"/>
      <c r="AD46" s="467"/>
    </row>
    <row r="47" spans="1:31">
      <c r="C47" s="115" t="s">
        <v>202</v>
      </c>
      <c r="D47" s="639" t="s">
        <v>1009</v>
      </c>
      <c r="E47" s="708" t="s">
        <v>1363</v>
      </c>
      <c r="G47" s="560"/>
      <c r="H47" s="639"/>
      <c r="I47" s="639"/>
      <c r="J47" s="639"/>
      <c r="K47" s="639"/>
      <c r="L47" s="639"/>
      <c r="M47" s="639"/>
      <c r="O47" s="317"/>
      <c r="P47" s="317"/>
      <c r="Q47" s="317"/>
      <c r="R47" s="317"/>
      <c r="S47" s="317"/>
      <c r="T47" s="317"/>
      <c r="U47" s="317"/>
      <c r="V47" s="317"/>
      <c r="W47" s="317"/>
      <c r="X47" s="317"/>
      <c r="Y47" s="317"/>
      <c r="Z47" s="317"/>
      <c r="AA47" s="317"/>
      <c r="AB47" s="317"/>
      <c r="AD47" s="467"/>
    </row>
    <row r="48" spans="1:31">
      <c r="C48" s="115" t="s">
        <v>212</v>
      </c>
      <c r="D48" s="639" t="s">
        <v>59</v>
      </c>
      <c r="E48" s="708" t="s">
        <v>59</v>
      </c>
      <c r="F48" s="708" t="s">
        <v>926</v>
      </c>
      <c r="G48" s="708" t="s">
        <v>927</v>
      </c>
      <c r="H48" s="639"/>
      <c r="I48" s="639"/>
      <c r="J48" s="639"/>
      <c r="K48" s="639"/>
      <c r="L48" s="639"/>
      <c r="M48" s="639"/>
      <c r="O48" s="317"/>
      <c r="P48" s="317"/>
      <c r="Q48" s="317"/>
      <c r="R48" s="317"/>
      <c r="S48" s="317"/>
      <c r="T48" s="317"/>
      <c r="U48" s="317"/>
      <c r="V48" s="317"/>
      <c r="W48" s="317"/>
      <c r="X48" s="317"/>
      <c r="Y48" s="317"/>
      <c r="Z48" s="317"/>
      <c r="AA48" s="317"/>
      <c r="AB48" s="317"/>
      <c r="AD48" s="467"/>
    </row>
    <row r="49" spans="1:30">
      <c r="A49" s="324" t="s">
        <v>86</v>
      </c>
      <c r="B49" s="324" t="s">
        <v>73</v>
      </c>
      <c r="C49" s="178" t="s">
        <v>203</v>
      </c>
      <c r="D49" s="178" t="s">
        <v>204</v>
      </c>
      <c r="E49" s="561" t="s">
        <v>205</v>
      </c>
      <c r="F49" s="3" t="s">
        <v>59</v>
      </c>
      <c r="G49" s="3" t="s">
        <v>59</v>
      </c>
      <c r="H49" s="178"/>
      <c r="I49" s="178"/>
      <c r="J49" s="178"/>
      <c r="K49" s="178"/>
      <c r="L49" s="178"/>
      <c r="M49" s="178"/>
      <c r="O49" s="317"/>
      <c r="P49" s="317"/>
      <c r="Q49" s="317"/>
      <c r="R49" s="317"/>
      <c r="S49" s="317"/>
      <c r="T49" s="317"/>
      <c r="U49" s="317"/>
      <c r="V49" s="317"/>
      <c r="W49" s="317"/>
      <c r="X49" s="317"/>
      <c r="Y49" s="317"/>
      <c r="Z49" s="317"/>
      <c r="AA49" s="317"/>
      <c r="AB49" s="317"/>
      <c r="AD49" s="324" t="str">
        <f>A49</f>
        <v>Line</v>
      </c>
    </row>
    <row r="50" spans="1:30">
      <c r="A50" s="320">
        <v>400</v>
      </c>
      <c r="B50" s="197">
        <f>'1-DRR'!$K$2</f>
        <v>2021</v>
      </c>
      <c r="C50" s="383">
        <v>3679122.3953759712</v>
      </c>
      <c r="D50" s="123">
        <f>'24-Allocators'!$C$23</f>
        <v>0.43638724816634106</v>
      </c>
      <c r="E50" s="376">
        <f>+D50*C50</f>
        <v>1605522.0977852771</v>
      </c>
      <c r="F50" s="165">
        <f>$E50*'6-PlantJurisdiction'!E$85</f>
        <v>784087.26175860898</v>
      </c>
      <c r="G50" s="165">
        <f>$E50*'6-PlantJurisdiction'!F$85</f>
        <v>746845.98341668572</v>
      </c>
      <c r="H50" s="662"/>
      <c r="I50" s="578"/>
      <c r="J50" s="578"/>
      <c r="K50" s="578"/>
      <c r="L50" s="578"/>
      <c r="M50" s="578"/>
      <c r="O50" s="317"/>
      <c r="P50" s="317"/>
      <c r="Q50" s="317"/>
      <c r="R50" s="317"/>
      <c r="S50" s="317"/>
      <c r="T50" s="317"/>
      <c r="U50" s="317"/>
      <c r="V50" s="317"/>
      <c r="W50" s="317"/>
      <c r="X50" s="317"/>
      <c r="Y50" s="317"/>
      <c r="Z50" s="317"/>
      <c r="AA50" s="317"/>
      <c r="AB50" s="317"/>
      <c r="AD50" s="320">
        <f>A50</f>
        <v>400</v>
      </c>
    </row>
    <row r="51" spans="1:30">
      <c r="A51" s="320"/>
      <c r="B51" s="552"/>
      <c r="C51" s="562"/>
      <c r="D51" s="630"/>
      <c r="E51" s="577"/>
      <c r="F51" s="577"/>
      <c r="G51" s="577"/>
      <c r="H51" s="577"/>
      <c r="I51" s="577"/>
      <c r="J51" s="577"/>
      <c r="K51" s="577"/>
      <c r="L51" s="577"/>
      <c r="M51" s="577"/>
      <c r="N51" s="560"/>
      <c r="O51" s="317"/>
      <c r="P51" s="317"/>
      <c r="Q51" s="317"/>
      <c r="R51" s="317"/>
      <c r="S51" s="317"/>
      <c r="T51" s="317"/>
      <c r="U51" s="317"/>
      <c r="V51" s="317"/>
      <c r="W51" s="317"/>
      <c r="X51" s="317"/>
      <c r="Y51" s="317"/>
      <c r="Z51" s="317"/>
      <c r="AA51" s="317"/>
      <c r="AB51" s="317"/>
      <c r="AD51" s="467"/>
    </row>
    <row r="52" spans="1:30">
      <c r="A52" s="320"/>
      <c r="B52" s="552"/>
      <c r="C52" s="562"/>
      <c r="D52" s="577"/>
      <c r="E52" s="577"/>
      <c r="F52" s="577"/>
      <c r="G52" s="577"/>
      <c r="H52" s="577"/>
      <c r="I52" s="577"/>
      <c r="J52" s="577"/>
      <c r="K52" s="577"/>
      <c r="L52" s="577"/>
      <c r="M52" s="577"/>
      <c r="N52" s="560"/>
      <c r="O52" s="317"/>
      <c r="P52" s="317"/>
      <c r="Q52" s="317"/>
      <c r="R52" s="317"/>
      <c r="S52" s="317"/>
      <c r="T52" s="317"/>
      <c r="U52" s="317"/>
      <c r="V52" s="317"/>
      <c r="W52" s="317"/>
      <c r="X52" s="317"/>
      <c r="Y52" s="317"/>
      <c r="Z52" s="317"/>
      <c r="AA52" s="317"/>
      <c r="AB52" s="317"/>
      <c r="AD52" s="467"/>
    </row>
    <row r="53" spans="1:30">
      <c r="B53" s="65" t="s">
        <v>1375</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551"/>
      <c r="AD53" s="467"/>
    </row>
    <row r="54" spans="1:30">
      <c r="B54" s="552" t="s">
        <v>1373</v>
      </c>
    </row>
    <row r="56" spans="1:30">
      <c r="B56" s="317"/>
      <c r="C56" s="394" t="s">
        <v>62</v>
      </c>
      <c r="D56" s="394" t="s">
        <v>63</v>
      </c>
      <c r="E56" s="394"/>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D56" s="467"/>
    </row>
    <row r="57" spans="1:30" ht="30">
      <c r="B57" s="317"/>
      <c r="C57" s="555" t="s">
        <v>1376</v>
      </c>
      <c r="D57" s="555" t="s">
        <v>1376</v>
      </c>
      <c r="E57" s="661"/>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D57" s="467"/>
    </row>
    <row r="58" spans="1:30">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C58" s="467"/>
    </row>
    <row r="59" spans="1:30">
      <c r="C59" s="639" t="s">
        <v>926</v>
      </c>
      <c r="D59" s="639" t="s">
        <v>927</v>
      </c>
      <c r="E59" s="317"/>
      <c r="F59" s="317"/>
      <c r="G59" s="317"/>
      <c r="H59" s="317"/>
      <c r="I59" s="317"/>
      <c r="J59" s="317"/>
      <c r="K59" s="317"/>
      <c r="L59" s="317"/>
      <c r="M59" s="317"/>
      <c r="N59" s="317"/>
      <c r="O59" s="317"/>
      <c r="P59" s="317"/>
      <c r="Q59" s="317"/>
      <c r="R59" s="317"/>
      <c r="S59" s="317"/>
      <c r="T59" s="317"/>
      <c r="U59" s="317"/>
      <c r="V59" s="317"/>
      <c r="W59" s="317"/>
      <c r="X59" s="317"/>
      <c r="Y59" s="317"/>
      <c r="Z59" s="317"/>
      <c r="AA59" s="317"/>
      <c r="AC59" s="467"/>
    </row>
    <row r="60" spans="1:30">
      <c r="A60" s="324" t="s">
        <v>86</v>
      </c>
      <c r="B60" s="324" t="s">
        <v>73</v>
      </c>
      <c r="C60" s="3" t="s">
        <v>59</v>
      </c>
      <c r="D60" s="3" t="s">
        <v>59</v>
      </c>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D60" s="324" t="str">
        <f>A60</f>
        <v>Line</v>
      </c>
    </row>
    <row r="61" spans="1:30">
      <c r="A61" s="320">
        <v>500</v>
      </c>
      <c r="B61" s="197">
        <f>'1-DRR'!$K$2</f>
        <v>2021</v>
      </c>
      <c r="C61" s="579">
        <f>+D26+F38+F50</f>
        <v>67632787.64546749</v>
      </c>
      <c r="D61" s="579">
        <f>+E26+G38+G50</f>
        <v>64420477.495069362</v>
      </c>
      <c r="E61" s="662" t="s">
        <v>1385</v>
      </c>
      <c r="F61" s="562"/>
      <c r="G61" s="562"/>
      <c r="H61" s="562"/>
      <c r="I61" s="562"/>
      <c r="J61" s="562"/>
      <c r="K61" s="562"/>
      <c r="L61" s="562"/>
      <c r="M61" s="317"/>
      <c r="N61" s="317"/>
      <c r="O61" s="317"/>
      <c r="P61" s="317"/>
      <c r="Q61" s="317"/>
      <c r="R61" s="317"/>
      <c r="S61" s="317"/>
      <c r="T61" s="317"/>
      <c r="U61" s="317"/>
      <c r="V61" s="317"/>
      <c r="W61" s="317"/>
      <c r="X61" s="317"/>
      <c r="Y61" s="317"/>
      <c r="Z61" s="317"/>
      <c r="AA61" s="317"/>
      <c r="AD61" s="320">
        <f>A61</f>
        <v>500</v>
      </c>
    </row>
    <row r="62" spans="1:30">
      <c r="M62" s="317"/>
      <c r="N62" s="317"/>
      <c r="O62" s="317"/>
      <c r="P62" s="317"/>
      <c r="Q62" s="317"/>
      <c r="R62" s="317"/>
      <c r="S62" s="317"/>
      <c r="T62" s="317"/>
      <c r="U62" s="317"/>
      <c r="V62" s="317"/>
      <c r="W62" s="317"/>
      <c r="X62" s="317"/>
      <c r="Y62" s="317"/>
      <c r="Z62" s="317"/>
      <c r="AA62" s="317"/>
      <c r="AC62" s="467"/>
    </row>
    <row r="63" spans="1:30">
      <c r="A63" s="318"/>
      <c r="B63" s="317"/>
      <c r="C63" s="317"/>
      <c r="G63" s="317"/>
      <c r="H63" s="317"/>
      <c r="I63" s="317"/>
      <c r="J63" s="317"/>
      <c r="K63" s="317"/>
      <c r="L63" s="317"/>
      <c r="M63" s="317"/>
      <c r="N63" s="317"/>
      <c r="O63" s="317"/>
      <c r="P63" s="317"/>
      <c r="Q63" s="317"/>
      <c r="R63" s="317"/>
      <c r="S63" s="317"/>
      <c r="T63" s="317"/>
      <c r="U63" s="317"/>
      <c r="V63" s="317"/>
      <c r="W63" s="317"/>
      <c r="X63" s="317"/>
      <c r="Y63" s="317"/>
      <c r="Z63" s="317"/>
      <c r="AA63" s="317"/>
      <c r="AB63" s="317"/>
      <c r="AD63" s="467"/>
    </row>
    <row r="64" spans="1:30">
      <c r="B64" s="9" t="s">
        <v>89</v>
      </c>
      <c r="C64" s="394"/>
      <c r="D64" s="394"/>
      <c r="E64" s="394"/>
      <c r="F64" s="394"/>
      <c r="G64" s="394"/>
      <c r="H64" s="394"/>
      <c r="I64" s="394"/>
      <c r="J64" s="394"/>
      <c r="K64" s="394"/>
      <c r="L64" s="394"/>
      <c r="M64" s="394"/>
    </row>
    <row r="65" spans="2:29">
      <c r="B65" s="965" t="s">
        <v>1392</v>
      </c>
      <c r="C65" s="965"/>
      <c r="D65" s="965"/>
      <c r="E65" s="965"/>
      <c r="F65" s="965"/>
      <c r="G65" s="965"/>
      <c r="H65" s="965"/>
      <c r="I65" s="965"/>
      <c r="J65" s="965"/>
      <c r="K65" s="965"/>
      <c r="L65" s="965"/>
      <c r="M65" s="965"/>
      <c r="N65" s="965"/>
      <c r="O65" s="143"/>
      <c r="P65" s="143"/>
      <c r="Q65" s="143"/>
      <c r="R65" s="143"/>
      <c r="S65" s="143"/>
      <c r="T65" s="143"/>
      <c r="U65" s="143"/>
      <c r="V65" s="143"/>
      <c r="W65" s="143"/>
      <c r="X65" s="143"/>
      <c r="Y65" s="143"/>
      <c r="Z65" s="143"/>
      <c r="AA65" s="143"/>
      <c r="AB65" s="143"/>
      <c r="AC65" s="143"/>
    </row>
    <row r="66" spans="2:29">
      <c r="B66" s="965"/>
      <c r="C66" s="965"/>
      <c r="D66" s="965"/>
      <c r="E66" s="965"/>
      <c r="F66" s="965"/>
      <c r="G66" s="965"/>
      <c r="H66" s="965"/>
      <c r="I66" s="965"/>
      <c r="J66" s="965"/>
      <c r="K66" s="965"/>
      <c r="L66" s="965"/>
      <c r="M66" s="965"/>
      <c r="N66" s="965"/>
      <c r="O66" s="738"/>
      <c r="P66" s="738"/>
      <c r="Q66" s="738"/>
      <c r="R66" s="738"/>
      <c r="S66" s="738"/>
      <c r="T66" s="738"/>
      <c r="U66" s="738"/>
      <c r="V66" s="738"/>
      <c r="W66" s="738"/>
      <c r="X66" s="738"/>
      <c r="Y66" s="738"/>
      <c r="Z66" s="738"/>
      <c r="AA66" s="738"/>
      <c r="AB66" s="738"/>
      <c r="AC66" s="738"/>
    </row>
    <row r="67" spans="2:29">
      <c r="B67" s="965" t="s">
        <v>1393</v>
      </c>
      <c r="C67" s="965"/>
      <c r="D67" s="965"/>
      <c r="E67" s="965"/>
      <c r="F67" s="965"/>
      <c r="G67" s="965"/>
      <c r="H67" s="965"/>
      <c r="I67" s="965"/>
      <c r="J67" s="965"/>
      <c r="K67" s="965"/>
      <c r="L67" s="965"/>
      <c r="M67" s="965"/>
      <c r="N67" s="965"/>
      <c r="O67" s="143"/>
      <c r="P67" s="143"/>
      <c r="Q67" s="143"/>
      <c r="R67" s="143"/>
      <c r="S67" s="143"/>
      <c r="T67" s="143"/>
      <c r="U67" s="143"/>
      <c r="V67" s="143"/>
      <c r="W67" s="143"/>
      <c r="X67" s="143"/>
      <c r="Y67" s="143"/>
      <c r="Z67" s="143"/>
      <c r="AA67" s="143"/>
      <c r="AB67" s="143"/>
      <c r="AC67" s="143"/>
    </row>
    <row r="68" spans="2:29">
      <c r="B68" s="965"/>
      <c r="C68" s="965"/>
      <c r="D68" s="965"/>
      <c r="E68" s="965"/>
      <c r="F68" s="965"/>
      <c r="G68" s="965"/>
      <c r="H68" s="965"/>
      <c r="I68" s="965"/>
      <c r="J68" s="965"/>
      <c r="K68" s="965"/>
      <c r="L68" s="965"/>
      <c r="M68" s="965"/>
      <c r="N68" s="965"/>
      <c r="O68" s="738"/>
      <c r="P68" s="738"/>
      <c r="Q68" s="738"/>
      <c r="R68" s="738"/>
      <c r="S68" s="738"/>
      <c r="T68" s="738"/>
      <c r="U68" s="738"/>
      <c r="V68" s="738"/>
      <c r="W68" s="738"/>
      <c r="X68" s="738"/>
      <c r="Y68" s="738"/>
      <c r="Z68" s="738"/>
      <c r="AA68" s="738"/>
      <c r="AB68" s="738"/>
      <c r="AC68" s="738"/>
    </row>
    <row r="69" spans="2:29">
      <c r="B69" s="965" t="s">
        <v>1394</v>
      </c>
      <c r="C69" s="965"/>
      <c r="D69" s="965"/>
      <c r="E69" s="965"/>
      <c r="F69" s="965"/>
      <c r="G69" s="965"/>
      <c r="H69" s="965"/>
      <c r="I69" s="965"/>
      <c r="J69" s="965"/>
      <c r="K69" s="965"/>
      <c r="L69" s="965"/>
      <c r="M69" s="965"/>
      <c r="N69" s="965"/>
      <c r="O69" s="143"/>
      <c r="P69" s="143"/>
      <c r="Q69" s="143"/>
      <c r="R69" s="143"/>
      <c r="S69" s="143"/>
      <c r="T69" s="143"/>
      <c r="U69" s="143"/>
      <c r="V69" s="143"/>
      <c r="W69" s="143"/>
      <c r="X69" s="143"/>
      <c r="Y69" s="143"/>
      <c r="Z69" s="143"/>
      <c r="AA69" s="143"/>
      <c r="AB69" s="143"/>
      <c r="AC69" s="143"/>
    </row>
    <row r="70" spans="2:29">
      <c r="B70" s="965"/>
      <c r="C70" s="965"/>
      <c r="D70" s="965"/>
      <c r="E70" s="965"/>
      <c r="F70" s="965"/>
      <c r="G70" s="965"/>
      <c r="H70" s="965"/>
      <c r="I70" s="965"/>
      <c r="J70" s="965"/>
      <c r="K70" s="965"/>
      <c r="L70" s="965"/>
      <c r="M70" s="965"/>
      <c r="N70" s="965"/>
      <c r="O70" s="738"/>
      <c r="P70" s="738"/>
      <c r="Q70" s="738"/>
      <c r="R70" s="738"/>
      <c r="S70" s="738"/>
      <c r="T70" s="738"/>
      <c r="U70" s="738"/>
      <c r="V70" s="738"/>
      <c r="W70" s="738"/>
      <c r="X70" s="738"/>
      <c r="Y70" s="738"/>
      <c r="Z70" s="738"/>
      <c r="AA70" s="738"/>
      <c r="AB70" s="738"/>
      <c r="AC70" s="738"/>
    </row>
    <row r="71" spans="2:29">
      <c r="B71" s="973" t="s">
        <v>638</v>
      </c>
      <c r="C71" s="973"/>
      <c r="D71" s="973"/>
      <c r="E71" s="973"/>
      <c r="F71" s="973"/>
      <c r="G71" s="973"/>
      <c r="H71" s="973"/>
      <c r="I71" s="973"/>
      <c r="J71" s="973"/>
      <c r="K71" s="973"/>
      <c r="L71" s="973"/>
      <c r="M71" s="973"/>
      <c r="N71" s="973"/>
      <c r="O71" s="973"/>
      <c r="P71" s="973"/>
      <c r="Q71" s="973"/>
      <c r="R71" s="973"/>
      <c r="S71" s="973"/>
      <c r="T71" s="973"/>
      <c r="U71" s="973"/>
      <c r="V71" s="973"/>
      <c r="W71" s="973"/>
      <c r="X71" s="973"/>
      <c r="Y71" s="973"/>
      <c r="Z71" s="973"/>
      <c r="AA71" s="973"/>
      <c r="AB71" s="973"/>
      <c r="AC71" s="973"/>
    </row>
  </sheetData>
  <mergeCells count="6">
    <mergeCell ref="B71:AC71"/>
    <mergeCell ref="B30:N31"/>
    <mergeCell ref="B42:N43"/>
    <mergeCell ref="B65:N66"/>
    <mergeCell ref="B67:N68"/>
    <mergeCell ref="B69:N70"/>
  </mergeCells>
  <printOptions horizontalCentered="1"/>
  <pageMargins left="1" right="1" top="1" bottom="1" header="0.5" footer="0.5"/>
  <pageSetup scale="26" fitToHeight="0" orientation="landscape" r:id="rId1"/>
  <headerFooter>
    <oddHeader>&amp;C&amp;"-,Bold"&amp;12Pacific Gas and Electric Company
Formula Rate Model
Schedule 11-Depreciation</oddHeader>
  </headerFooter>
  <rowBreaks count="1" manualBreakCount="1">
    <brk id="39" max="16383" man="1"/>
  </rowBreaks>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V88"/>
  <sheetViews>
    <sheetView view="pageBreakPreview" zoomScale="90" zoomScaleNormal="90" zoomScaleSheetLayoutView="90" zoomScalePageLayoutView="55" workbookViewId="0">
      <selection activeCell="G13" sqref="G13"/>
    </sheetView>
  </sheetViews>
  <sheetFormatPr defaultColWidth="8.85546875" defaultRowHeight="15"/>
  <cols>
    <col min="1" max="1" width="6.7109375" style="69" bestFit="1" customWidth="1"/>
    <col min="2" max="2" width="16.5703125" style="12" customWidth="1"/>
    <col min="3" max="3" width="14.5703125" style="44" customWidth="1"/>
    <col min="4" max="4" width="15.28515625" style="47" customWidth="1"/>
    <col min="5" max="5" width="66.140625" style="12" bestFit="1" customWidth="1"/>
    <col min="6" max="6" width="17.7109375" style="12" customWidth="1"/>
    <col min="7" max="7" width="6.7109375" style="12" bestFit="1" customWidth="1"/>
    <col min="8" max="8" width="14.42578125" style="12" customWidth="1"/>
    <col min="9" max="16384" width="8.85546875" style="12"/>
  </cols>
  <sheetData>
    <row r="1" spans="1:7">
      <c r="B1" s="434" t="s">
        <v>1114</v>
      </c>
      <c r="C1" s="306"/>
      <c r="D1" s="50"/>
      <c r="E1" s="24"/>
      <c r="F1" s="6" t="str">
        <f>CONCATENATE("Prior Year: ",'1-DRR'!$K$2)</f>
        <v>Prior Year: 2021</v>
      </c>
    </row>
    <row r="2" spans="1:7">
      <c r="B2" s="140"/>
      <c r="C2" s="306"/>
      <c r="D2" s="50"/>
      <c r="E2" s="183"/>
      <c r="F2" s="183"/>
      <c r="G2" s="183"/>
    </row>
    <row r="3" spans="1:7">
      <c r="B3" s="65" t="s">
        <v>1110</v>
      </c>
      <c r="C3" s="61"/>
      <c r="D3" s="641"/>
      <c r="E3" s="62"/>
      <c r="F3" s="62"/>
    </row>
    <row r="4" spans="1:7" s="24" customFormat="1">
      <c r="A4" s="11"/>
      <c r="B4" s="7"/>
      <c r="C4" s="306"/>
      <c r="D4" s="11"/>
    </row>
    <row r="5" spans="1:7" s="24" customFormat="1">
      <c r="A5" s="11"/>
      <c r="B5" s="7"/>
      <c r="C5" s="11"/>
      <c r="D5" s="11"/>
      <c r="F5" s="638" t="s">
        <v>207</v>
      </c>
    </row>
    <row r="6" spans="1:7">
      <c r="A6" s="3" t="s">
        <v>86</v>
      </c>
      <c r="B6" s="10" t="s">
        <v>1111</v>
      </c>
      <c r="C6" s="10" t="s">
        <v>186</v>
      </c>
      <c r="D6" s="10" t="s">
        <v>1112</v>
      </c>
      <c r="E6" s="3" t="s">
        <v>302</v>
      </c>
      <c r="F6" s="178" t="s">
        <v>301</v>
      </c>
      <c r="G6" s="3" t="str">
        <f t="shared" ref="G6:G25" si="0">A6</f>
        <v>Line</v>
      </c>
    </row>
    <row r="7" spans="1:7" s="45" customFormat="1">
      <c r="A7" s="542">
        <v>100</v>
      </c>
      <c r="B7" s="12" t="s">
        <v>945</v>
      </c>
      <c r="C7" s="44">
        <v>360.01</v>
      </c>
      <c r="D7" s="47" t="s">
        <v>971</v>
      </c>
      <c r="E7" s="12" t="s">
        <v>238</v>
      </c>
      <c r="F7" s="28">
        <v>0</v>
      </c>
      <c r="G7" s="542">
        <f t="shared" si="0"/>
        <v>100</v>
      </c>
    </row>
    <row r="8" spans="1:7" s="45" customFormat="1">
      <c r="A8" s="542">
        <f t="shared" ref="A8:A25" si="1">+A7+1</f>
        <v>101</v>
      </c>
      <c r="B8" s="45" t="s">
        <v>945</v>
      </c>
      <c r="C8" s="544">
        <v>360.02</v>
      </c>
      <c r="D8" s="47" t="s">
        <v>956</v>
      </c>
      <c r="E8" s="45" t="s">
        <v>236</v>
      </c>
      <c r="F8" s="28">
        <v>3.3099999999999997E-2</v>
      </c>
      <c r="G8" s="639">
        <f t="shared" si="0"/>
        <v>101</v>
      </c>
    </row>
    <row r="9" spans="1:7" s="45" customFormat="1">
      <c r="A9" s="542">
        <f t="shared" si="1"/>
        <v>102</v>
      </c>
      <c r="B9" s="45" t="s">
        <v>945</v>
      </c>
      <c r="C9" s="544">
        <v>361.01</v>
      </c>
      <c r="D9" s="47" t="s">
        <v>957</v>
      </c>
      <c r="E9" s="45" t="s">
        <v>234</v>
      </c>
      <c r="F9" s="28">
        <v>1.5900000000000001E-2</v>
      </c>
      <c r="G9" s="639">
        <f t="shared" si="0"/>
        <v>102</v>
      </c>
    </row>
    <row r="10" spans="1:7" s="45" customFormat="1">
      <c r="A10" s="542">
        <f t="shared" si="1"/>
        <v>103</v>
      </c>
      <c r="B10" s="45" t="s">
        <v>945</v>
      </c>
      <c r="C10" s="544">
        <v>361.02</v>
      </c>
      <c r="D10" s="47" t="s">
        <v>958</v>
      </c>
      <c r="E10" s="45" t="s">
        <v>307</v>
      </c>
      <c r="F10" s="28">
        <v>1.66E-2</v>
      </c>
      <c r="G10" s="639">
        <f t="shared" si="0"/>
        <v>103</v>
      </c>
    </row>
    <row r="11" spans="1:7" s="45" customFormat="1">
      <c r="A11" s="542">
        <f t="shared" si="1"/>
        <v>104</v>
      </c>
      <c r="B11" s="45" t="s">
        <v>945</v>
      </c>
      <c r="C11" s="544">
        <v>362</v>
      </c>
      <c r="D11" s="47" t="s">
        <v>959</v>
      </c>
      <c r="E11" s="45" t="s">
        <v>306</v>
      </c>
      <c r="F11" s="28">
        <v>3.0599999999999999E-2</v>
      </c>
      <c r="G11" s="639">
        <f t="shared" si="0"/>
        <v>104</v>
      </c>
    </row>
    <row r="12" spans="1:7" s="45" customFormat="1">
      <c r="A12" s="542">
        <f t="shared" si="1"/>
        <v>105</v>
      </c>
      <c r="B12" s="45" t="s">
        <v>945</v>
      </c>
      <c r="C12" s="544">
        <v>363</v>
      </c>
      <c r="D12" s="47" t="s">
        <v>960</v>
      </c>
      <c r="E12" s="45" t="s">
        <v>946</v>
      </c>
      <c r="F12" s="28">
        <v>3.7400000000000003E-2</v>
      </c>
      <c r="G12" s="639">
        <f t="shared" si="0"/>
        <v>105</v>
      </c>
    </row>
    <row r="13" spans="1:7" s="45" customFormat="1">
      <c r="A13" s="542">
        <f t="shared" si="1"/>
        <v>106</v>
      </c>
      <c r="B13" s="45" t="s">
        <v>945</v>
      </c>
      <c r="C13" s="544">
        <v>363.01</v>
      </c>
      <c r="D13" s="47" t="s">
        <v>961</v>
      </c>
      <c r="E13" s="45" t="s">
        <v>947</v>
      </c>
      <c r="F13" s="28">
        <v>6.6199999999999995E-2</v>
      </c>
      <c r="G13" s="639">
        <f t="shared" si="0"/>
        <v>106</v>
      </c>
    </row>
    <row r="14" spans="1:7" s="45" customFormat="1">
      <c r="A14" s="542">
        <f t="shared" si="1"/>
        <v>107</v>
      </c>
      <c r="B14" s="45" t="s">
        <v>945</v>
      </c>
      <c r="C14" s="544">
        <v>364</v>
      </c>
      <c r="D14" s="47" t="s">
        <v>962</v>
      </c>
      <c r="E14" s="45" t="s">
        <v>948</v>
      </c>
      <c r="F14" s="28">
        <v>6.0699999999999997E-2</v>
      </c>
      <c r="G14" s="639">
        <f t="shared" si="0"/>
        <v>107</v>
      </c>
    </row>
    <row r="15" spans="1:7" s="45" customFormat="1">
      <c r="A15" s="542">
        <f t="shared" si="1"/>
        <v>108</v>
      </c>
      <c r="B15" s="45" t="s">
        <v>945</v>
      </c>
      <c r="C15" s="544">
        <v>365</v>
      </c>
      <c r="D15" s="47" t="s">
        <v>963</v>
      </c>
      <c r="E15" s="45" t="s">
        <v>305</v>
      </c>
      <c r="F15" s="28">
        <v>3.9600000000000003E-2</v>
      </c>
      <c r="G15" s="639">
        <f t="shared" si="0"/>
        <v>108</v>
      </c>
    </row>
    <row r="16" spans="1:7" s="45" customFormat="1">
      <c r="A16" s="542">
        <f t="shared" si="1"/>
        <v>109</v>
      </c>
      <c r="B16" s="45" t="s">
        <v>945</v>
      </c>
      <c r="C16" s="544">
        <v>366</v>
      </c>
      <c r="D16" s="47" t="s">
        <v>964</v>
      </c>
      <c r="E16" s="45" t="s">
        <v>304</v>
      </c>
      <c r="F16" s="28">
        <v>2.41E-2</v>
      </c>
      <c r="G16" s="639">
        <f t="shared" si="0"/>
        <v>109</v>
      </c>
    </row>
    <row r="17" spans="1:8" s="45" customFormat="1">
      <c r="A17" s="542">
        <f t="shared" si="1"/>
        <v>110</v>
      </c>
      <c r="B17" s="45" t="s">
        <v>945</v>
      </c>
      <c r="C17" s="544">
        <v>367</v>
      </c>
      <c r="D17" s="47" t="s">
        <v>965</v>
      </c>
      <c r="E17" s="45" t="s">
        <v>303</v>
      </c>
      <c r="F17" s="28">
        <v>3.1199999999999999E-2</v>
      </c>
      <c r="G17" s="639">
        <f t="shared" si="0"/>
        <v>110</v>
      </c>
    </row>
    <row r="18" spans="1:8" s="45" customFormat="1">
      <c r="A18" s="542">
        <f t="shared" si="1"/>
        <v>111</v>
      </c>
      <c r="B18" s="45" t="s">
        <v>945</v>
      </c>
      <c r="C18" s="544">
        <v>368.01</v>
      </c>
      <c r="D18" s="47" t="s">
        <v>966</v>
      </c>
      <c r="E18" s="45" t="s">
        <v>949</v>
      </c>
      <c r="F18" s="28">
        <v>4.3900000000000002E-2</v>
      </c>
      <c r="G18" s="639">
        <f t="shared" si="0"/>
        <v>111</v>
      </c>
    </row>
    <row r="19" spans="1:8" s="45" customFormat="1">
      <c r="A19" s="542">
        <f t="shared" si="1"/>
        <v>112</v>
      </c>
      <c r="B19" s="45" t="s">
        <v>945</v>
      </c>
      <c r="C19" s="544">
        <v>368.02</v>
      </c>
      <c r="D19" s="47" t="s">
        <v>967</v>
      </c>
      <c r="E19" s="45" t="s">
        <v>950</v>
      </c>
      <c r="F19" s="28">
        <v>3.9100000000000003E-2</v>
      </c>
      <c r="G19" s="639">
        <f t="shared" si="0"/>
        <v>112</v>
      </c>
    </row>
    <row r="20" spans="1:8" s="45" customFormat="1">
      <c r="A20" s="542">
        <f t="shared" si="1"/>
        <v>113</v>
      </c>
      <c r="B20" s="45" t="s">
        <v>945</v>
      </c>
      <c r="C20" s="544">
        <v>369.01</v>
      </c>
      <c r="D20" s="47" t="s">
        <v>968</v>
      </c>
      <c r="E20" s="45" t="s">
        <v>951</v>
      </c>
      <c r="F20" s="28">
        <v>3.9800000000000002E-2</v>
      </c>
      <c r="G20" s="639">
        <f t="shared" si="0"/>
        <v>113</v>
      </c>
    </row>
    <row r="21" spans="1:8" s="45" customFormat="1">
      <c r="A21" s="545">
        <f t="shared" si="1"/>
        <v>114</v>
      </c>
      <c r="B21" s="45" t="s">
        <v>945</v>
      </c>
      <c r="C21" s="544">
        <v>369.02</v>
      </c>
      <c r="D21" s="47" t="s">
        <v>969</v>
      </c>
      <c r="E21" s="45" t="s">
        <v>952</v>
      </c>
      <c r="F21" s="28">
        <v>2.7099999999999999E-2</v>
      </c>
      <c r="G21" s="639">
        <f t="shared" si="0"/>
        <v>114</v>
      </c>
    </row>
    <row r="22" spans="1:8" s="45" customFormat="1">
      <c r="A22" s="545">
        <f t="shared" si="1"/>
        <v>115</v>
      </c>
      <c r="B22" s="45" t="s">
        <v>945</v>
      </c>
      <c r="C22" s="543">
        <v>370</v>
      </c>
      <c r="D22" s="47" t="s">
        <v>972</v>
      </c>
      <c r="E22" s="45" t="s">
        <v>953</v>
      </c>
      <c r="F22" s="28">
        <v>6.8599999999999994E-2</v>
      </c>
      <c r="G22" s="639">
        <f t="shared" si="0"/>
        <v>115</v>
      </c>
    </row>
    <row r="23" spans="1:8" s="45" customFormat="1">
      <c r="A23" s="545">
        <f t="shared" si="1"/>
        <v>116</v>
      </c>
      <c r="B23" s="107" t="s">
        <v>945</v>
      </c>
      <c r="C23" s="546">
        <v>370.01</v>
      </c>
      <c r="D23" s="47" t="s">
        <v>970</v>
      </c>
      <c r="E23" s="107" t="s">
        <v>953</v>
      </c>
      <c r="F23" s="524">
        <v>6.8599999999999994E-2</v>
      </c>
      <c r="G23" s="639">
        <f t="shared" si="0"/>
        <v>116</v>
      </c>
    </row>
    <row r="24" spans="1:8">
      <c r="A24" s="545">
        <f t="shared" si="1"/>
        <v>117</v>
      </c>
      <c r="B24" s="45" t="s">
        <v>945</v>
      </c>
      <c r="C24" s="543">
        <v>371</v>
      </c>
      <c r="D24" s="47" t="s">
        <v>973</v>
      </c>
      <c r="E24" s="45" t="s">
        <v>954</v>
      </c>
      <c r="F24" s="28">
        <v>0</v>
      </c>
      <c r="G24" s="639">
        <f t="shared" si="0"/>
        <v>117</v>
      </c>
    </row>
    <row r="25" spans="1:8" s="45" customFormat="1">
      <c r="A25" s="545">
        <f t="shared" si="1"/>
        <v>118</v>
      </c>
      <c r="B25" s="45" t="s">
        <v>945</v>
      </c>
      <c r="C25" s="543">
        <v>372</v>
      </c>
      <c r="D25" s="47" t="s">
        <v>976</v>
      </c>
      <c r="E25" s="45" t="s">
        <v>955</v>
      </c>
      <c r="F25" s="28">
        <v>0</v>
      </c>
      <c r="G25" s="639">
        <f t="shared" si="0"/>
        <v>118</v>
      </c>
    </row>
    <row r="26" spans="1:8" s="45" customFormat="1">
      <c r="A26" s="545"/>
      <c r="C26" s="640"/>
      <c r="D26" s="47"/>
      <c r="F26" s="28"/>
    </row>
    <row r="27" spans="1:8" s="45" customFormat="1">
      <c r="A27" s="545"/>
      <c r="C27" s="640"/>
      <c r="D27" s="47"/>
      <c r="F27" s="28"/>
    </row>
    <row r="28" spans="1:8">
      <c r="A28" s="12"/>
      <c r="G28" s="45"/>
    </row>
    <row r="29" spans="1:8">
      <c r="A29" s="12"/>
      <c r="B29" s="65" t="s">
        <v>1113</v>
      </c>
      <c r="C29" s="61"/>
      <c r="D29" s="642"/>
      <c r="E29" s="62"/>
      <c r="F29" s="62"/>
      <c r="G29" s="45"/>
      <c r="H29" s="123"/>
    </row>
    <row r="30" spans="1:8">
      <c r="A30" s="12"/>
      <c r="B30" s="45"/>
      <c r="G30" s="45"/>
      <c r="H30" s="123"/>
    </row>
    <row r="31" spans="1:8">
      <c r="A31" s="12"/>
      <c r="D31" s="11"/>
      <c r="F31" s="69" t="s">
        <v>207</v>
      </c>
      <c r="G31" s="45"/>
      <c r="H31" s="123"/>
    </row>
    <row r="32" spans="1:8">
      <c r="A32" s="3" t="s">
        <v>86</v>
      </c>
      <c r="B32" s="10" t="s">
        <v>1111</v>
      </c>
      <c r="C32" s="10" t="s">
        <v>186</v>
      </c>
      <c r="D32" s="10" t="s">
        <v>1112</v>
      </c>
      <c r="E32" s="3" t="s">
        <v>302</v>
      </c>
      <c r="F32" s="178" t="s">
        <v>301</v>
      </c>
      <c r="G32" s="3" t="s">
        <v>86</v>
      </c>
      <c r="H32" s="123"/>
    </row>
    <row r="33" spans="1:8">
      <c r="A33" s="639">
        <v>200</v>
      </c>
      <c r="D33" s="467" t="s">
        <v>300</v>
      </c>
      <c r="E33" s="732" t="s">
        <v>299</v>
      </c>
      <c r="F33" s="28">
        <v>0</v>
      </c>
      <c r="G33" s="639">
        <f t="shared" ref="G33:G81" si="2">A33</f>
        <v>200</v>
      </c>
      <c r="H33" s="123"/>
    </row>
    <row r="34" spans="1:8">
      <c r="A34" s="69">
        <f>A33+1</f>
        <v>201</v>
      </c>
      <c r="D34" s="467" t="s">
        <v>298</v>
      </c>
      <c r="E34" s="732" t="s">
        <v>297</v>
      </c>
      <c r="F34" s="28">
        <v>0</v>
      </c>
      <c r="G34" s="639">
        <f t="shared" si="2"/>
        <v>201</v>
      </c>
      <c r="H34" s="123"/>
    </row>
    <row r="35" spans="1:8">
      <c r="A35" s="639">
        <f t="shared" ref="A35:A81" si="3">A34+1</f>
        <v>202</v>
      </c>
      <c r="D35" s="467" t="s">
        <v>1473</v>
      </c>
      <c r="E35" s="732" t="s">
        <v>1474</v>
      </c>
      <c r="F35" s="28">
        <v>3.39E-2</v>
      </c>
      <c r="G35" s="639">
        <f t="shared" si="2"/>
        <v>202</v>
      </c>
      <c r="H35" s="123"/>
    </row>
    <row r="36" spans="1:8">
      <c r="A36" s="639">
        <f t="shared" si="3"/>
        <v>203</v>
      </c>
      <c r="D36" s="467" t="s">
        <v>296</v>
      </c>
      <c r="E36" s="732" t="s">
        <v>295</v>
      </c>
      <c r="F36" s="28">
        <v>0.1736</v>
      </c>
      <c r="G36" s="639">
        <f t="shared" si="2"/>
        <v>203</v>
      </c>
      <c r="H36" s="123"/>
    </row>
    <row r="37" spans="1:8">
      <c r="A37" s="639">
        <f t="shared" si="3"/>
        <v>204</v>
      </c>
      <c r="D37" s="467" t="s">
        <v>294</v>
      </c>
      <c r="E37" s="732" t="s">
        <v>293</v>
      </c>
      <c r="F37" s="28">
        <v>9.01E-2</v>
      </c>
      <c r="G37" s="639">
        <f t="shared" si="2"/>
        <v>204</v>
      </c>
      <c r="H37" s="123"/>
    </row>
    <row r="38" spans="1:8">
      <c r="A38" s="639">
        <f t="shared" si="3"/>
        <v>205</v>
      </c>
      <c r="D38" s="467" t="s">
        <v>292</v>
      </c>
      <c r="E38" s="732" t="s">
        <v>291</v>
      </c>
      <c r="F38" s="28">
        <v>0</v>
      </c>
      <c r="G38" s="639">
        <f t="shared" si="2"/>
        <v>205</v>
      </c>
      <c r="H38" s="123"/>
    </row>
    <row r="39" spans="1:8">
      <c r="A39" s="639">
        <f t="shared" si="3"/>
        <v>206</v>
      </c>
      <c r="D39" s="467" t="s">
        <v>290</v>
      </c>
      <c r="E39" s="732" t="s">
        <v>236</v>
      </c>
      <c r="F39" s="28">
        <v>2.58E-2</v>
      </c>
      <c r="G39" s="639">
        <f t="shared" si="2"/>
        <v>206</v>
      </c>
      <c r="H39" s="123"/>
    </row>
    <row r="40" spans="1:8">
      <c r="A40" s="639">
        <f t="shared" si="3"/>
        <v>207</v>
      </c>
      <c r="D40" s="467" t="s">
        <v>289</v>
      </c>
      <c r="E40" s="732" t="s">
        <v>234</v>
      </c>
      <c r="F40" s="28">
        <v>1.9699999999999999E-2</v>
      </c>
      <c r="G40" s="639">
        <f t="shared" si="2"/>
        <v>207</v>
      </c>
      <c r="H40" s="123"/>
    </row>
    <row r="41" spans="1:8">
      <c r="A41" s="639">
        <f t="shared" si="3"/>
        <v>208</v>
      </c>
      <c r="D41" s="467" t="s">
        <v>1475</v>
      </c>
      <c r="E41" s="732" t="s">
        <v>1476</v>
      </c>
      <c r="F41" s="28">
        <v>0.2</v>
      </c>
      <c r="G41" s="639">
        <f t="shared" si="2"/>
        <v>208</v>
      </c>
      <c r="H41" s="123"/>
    </row>
    <row r="42" spans="1:8">
      <c r="A42" s="639">
        <f t="shared" si="3"/>
        <v>209</v>
      </c>
      <c r="D42" s="467" t="s">
        <v>288</v>
      </c>
      <c r="E42" s="732" t="s">
        <v>287</v>
      </c>
      <c r="F42" s="28">
        <v>0.27310000000000001</v>
      </c>
      <c r="G42" s="639">
        <f t="shared" si="2"/>
        <v>209</v>
      </c>
      <c r="H42" s="123"/>
    </row>
    <row r="43" spans="1:8">
      <c r="A43" s="639">
        <f t="shared" si="3"/>
        <v>210</v>
      </c>
      <c r="D43" s="467" t="s">
        <v>286</v>
      </c>
      <c r="E43" s="732" t="s">
        <v>285</v>
      </c>
      <c r="F43" s="28">
        <v>0.14169999999999999</v>
      </c>
      <c r="G43" s="639">
        <f t="shared" si="2"/>
        <v>210</v>
      </c>
      <c r="H43" s="123"/>
    </row>
    <row r="44" spans="1:8">
      <c r="A44" s="639">
        <f t="shared" si="3"/>
        <v>211</v>
      </c>
      <c r="D44" s="467" t="s">
        <v>284</v>
      </c>
      <c r="E44" s="732" t="s">
        <v>232</v>
      </c>
      <c r="F44" s="28">
        <v>7.4999999999999997E-2</v>
      </c>
      <c r="G44" s="639">
        <f t="shared" si="2"/>
        <v>211</v>
      </c>
      <c r="H44" s="123"/>
    </row>
    <row r="45" spans="1:8">
      <c r="A45" s="639">
        <f t="shared" si="3"/>
        <v>212</v>
      </c>
      <c r="D45" s="467" t="s">
        <v>283</v>
      </c>
      <c r="E45" s="732" t="s">
        <v>282</v>
      </c>
      <c r="F45" s="28">
        <v>0.27310000000000001</v>
      </c>
      <c r="G45" s="639">
        <f t="shared" si="2"/>
        <v>212</v>
      </c>
      <c r="H45" s="123"/>
    </row>
    <row r="46" spans="1:8">
      <c r="A46" s="639">
        <f t="shared" si="3"/>
        <v>213</v>
      </c>
      <c r="D46" s="467" t="s">
        <v>281</v>
      </c>
      <c r="E46" s="732" t="s">
        <v>280</v>
      </c>
      <c r="F46" s="28">
        <v>1.3600000000000001E-2</v>
      </c>
      <c r="G46" s="639">
        <f t="shared" si="2"/>
        <v>213</v>
      </c>
      <c r="H46" s="123"/>
    </row>
    <row r="47" spans="1:8">
      <c r="A47" s="639">
        <f t="shared" si="3"/>
        <v>214</v>
      </c>
      <c r="D47" s="467" t="s">
        <v>279</v>
      </c>
      <c r="E47" s="732" t="s">
        <v>278</v>
      </c>
      <c r="F47" s="28">
        <v>0.1348</v>
      </c>
      <c r="G47" s="639">
        <f t="shared" si="2"/>
        <v>214</v>
      </c>
      <c r="H47" s="123"/>
    </row>
    <row r="48" spans="1:8">
      <c r="A48" s="639">
        <f t="shared" si="3"/>
        <v>215</v>
      </c>
      <c r="D48" s="467" t="s">
        <v>277</v>
      </c>
      <c r="E48" s="732" t="s">
        <v>276</v>
      </c>
      <c r="F48" s="28">
        <v>9.9199999999999997E-2</v>
      </c>
      <c r="G48" s="639">
        <f t="shared" si="2"/>
        <v>215</v>
      </c>
      <c r="H48" s="123"/>
    </row>
    <row r="49" spans="1:8">
      <c r="A49" s="639">
        <f t="shared" si="3"/>
        <v>216</v>
      </c>
      <c r="D49" s="467" t="s">
        <v>275</v>
      </c>
      <c r="E49" s="732" t="s">
        <v>274</v>
      </c>
      <c r="F49" s="28">
        <v>0.1013</v>
      </c>
      <c r="G49" s="639">
        <f t="shared" si="2"/>
        <v>216</v>
      </c>
      <c r="H49" s="123"/>
    </row>
    <row r="50" spans="1:8">
      <c r="A50" s="639">
        <f t="shared" si="3"/>
        <v>217</v>
      </c>
      <c r="D50" s="467" t="s">
        <v>273</v>
      </c>
      <c r="E50" s="732" t="s">
        <v>272</v>
      </c>
      <c r="F50" s="28">
        <v>0.1011</v>
      </c>
      <c r="G50" s="639">
        <f t="shared" si="2"/>
        <v>217</v>
      </c>
      <c r="H50" s="123"/>
    </row>
    <row r="51" spans="1:8">
      <c r="A51" s="639">
        <f t="shared" si="3"/>
        <v>218</v>
      </c>
      <c r="D51" s="467" t="s">
        <v>271</v>
      </c>
      <c r="E51" s="732" t="s">
        <v>270</v>
      </c>
      <c r="F51" s="28">
        <v>9.0999999999999998E-2</v>
      </c>
      <c r="G51" s="639">
        <f t="shared" si="2"/>
        <v>218</v>
      </c>
      <c r="H51" s="123"/>
    </row>
    <row r="52" spans="1:8">
      <c r="A52" s="639">
        <f t="shared" si="3"/>
        <v>219</v>
      </c>
      <c r="D52" s="467" t="s">
        <v>269</v>
      </c>
      <c r="E52" s="732" t="s">
        <v>268</v>
      </c>
      <c r="F52" s="28">
        <v>6.8199999999999997E-2</v>
      </c>
      <c r="G52" s="639">
        <f t="shared" si="2"/>
        <v>219</v>
      </c>
      <c r="H52" s="123"/>
    </row>
    <row r="53" spans="1:8">
      <c r="A53" s="639">
        <f t="shared" si="3"/>
        <v>220</v>
      </c>
      <c r="D53" s="467" t="s">
        <v>267</v>
      </c>
      <c r="E53" s="732" t="s">
        <v>266</v>
      </c>
      <c r="F53" s="28">
        <v>4.1500000000000002E-2</v>
      </c>
      <c r="G53" s="639">
        <f t="shared" si="2"/>
        <v>220</v>
      </c>
      <c r="H53" s="123"/>
    </row>
    <row r="54" spans="1:8">
      <c r="A54" s="639">
        <f t="shared" si="3"/>
        <v>221</v>
      </c>
      <c r="D54" s="467" t="s">
        <v>265</v>
      </c>
      <c r="E54" s="732" t="s">
        <v>264</v>
      </c>
      <c r="F54" s="28">
        <v>3.0699999999999998E-2</v>
      </c>
      <c r="G54" s="639">
        <f t="shared" si="2"/>
        <v>221</v>
      </c>
      <c r="H54" s="123"/>
    </row>
    <row r="55" spans="1:8">
      <c r="A55" s="639">
        <f t="shared" si="3"/>
        <v>222</v>
      </c>
      <c r="D55" s="467" t="s">
        <v>263</v>
      </c>
      <c r="E55" s="732" t="s">
        <v>262</v>
      </c>
      <c r="F55" s="28">
        <v>6.25E-2</v>
      </c>
      <c r="G55" s="639">
        <f t="shared" si="2"/>
        <v>222</v>
      </c>
      <c r="H55" s="123"/>
    </row>
    <row r="56" spans="1:8">
      <c r="A56" s="639">
        <f t="shared" si="3"/>
        <v>223</v>
      </c>
      <c r="D56" s="467" t="s">
        <v>261</v>
      </c>
      <c r="E56" s="732" t="s">
        <v>260</v>
      </c>
      <c r="F56" s="28">
        <v>3.3399999999999999E-2</v>
      </c>
      <c r="G56" s="639">
        <f t="shared" si="2"/>
        <v>223</v>
      </c>
      <c r="H56" s="123"/>
    </row>
    <row r="57" spans="1:8">
      <c r="A57" s="639">
        <f t="shared" si="3"/>
        <v>224</v>
      </c>
      <c r="D57" s="467" t="s">
        <v>259</v>
      </c>
      <c r="E57" s="732" t="s">
        <v>228</v>
      </c>
      <c r="F57" s="28">
        <v>7.7699999999999991E-2</v>
      </c>
      <c r="G57" s="639">
        <f t="shared" si="2"/>
        <v>224</v>
      </c>
      <c r="H57" s="123"/>
    </row>
    <row r="58" spans="1:8">
      <c r="A58" s="639">
        <f t="shared" si="3"/>
        <v>225</v>
      </c>
      <c r="D58" s="467" t="s">
        <v>258</v>
      </c>
      <c r="E58" s="732" t="s">
        <v>226</v>
      </c>
      <c r="F58" s="28">
        <v>6.4500000000000002E-2</v>
      </c>
      <c r="G58" s="639">
        <f t="shared" si="2"/>
        <v>225</v>
      </c>
      <c r="H58" s="123"/>
    </row>
    <row r="59" spans="1:8">
      <c r="A59" s="639">
        <f t="shared" si="3"/>
        <v>226</v>
      </c>
      <c r="D59" s="467" t="s">
        <v>257</v>
      </c>
      <c r="E59" s="732" t="s">
        <v>256</v>
      </c>
      <c r="F59" s="28">
        <v>0.14449999999999999</v>
      </c>
      <c r="G59" s="639">
        <f t="shared" si="2"/>
        <v>226</v>
      </c>
      <c r="H59" s="123"/>
    </row>
    <row r="60" spans="1:8">
      <c r="A60" s="639">
        <f t="shared" si="3"/>
        <v>227</v>
      </c>
      <c r="D60" s="467" t="s">
        <v>255</v>
      </c>
      <c r="E60" s="732" t="s">
        <v>254</v>
      </c>
      <c r="F60" s="28">
        <v>0.20469999999999999</v>
      </c>
      <c r="G60" s="639">
        <f t="shared" si="2"/>
        <v>227</v>
      </c>
      <c r="H60" s="123"/>
    </row>
    <row r="61" spans="1:8">
      <c r="A61" s="639">
        <f t="shared" si="3"/>
        <v>228</v>
      </c>
      <c r="D61" s="467" t="s">
        <v>253</v>
      </c>
      <c r="E61" s="732" t="s">
        <v>252</v>
      </c>
      <c r="F61" s="28">
        <v>0.1525</v>
      </c>
      <c r="G61" s="639">
        <f t="shared" si="2"/>
        <v>228</v>
      </c>
      <c r="H61" s="123"/>
    </row>
    <row r="62" spans="1:8">
      <c r="A62" s="639">
        <f t="shared" si="3"/>
        <v>229</v>
      </c>
      <c r="D62" s="467" t="s">
        <v>251</v>
      </c>
      <c r="E62" s="732" t="s">
        <v>250</v>
      </c>
      <c r="F62" s="28">
        <v>0.14610000000000001</v>
      </c>
      <c r="G62" s="639">
        <f t="shared" si="2"/>
        <v>229</v>
      </c>
      <c r="H62" s="123"/>
    </row>
    <row r="63" spans="1:8">
      <c r="A63" s="639">
        <f t="shared" si="3"/>
        <v>230</v>
      </c>
      <c r="D63" s="467" t="s">
        <v>249</v>
      </c>
      <c r="E63" s="732" t="s">
        <v>248</v>
      </c>
      <c r="F63" s="28">
        <v>4.7899999999999998E-2</v>
      </c>
      <c r="G63" s="639">
        <f t="shared" si="2"/>
        <v>230</v>
      </c>
      <c r="H63" s="123"/>
    </row>
    <row r="64" spans="1:8">
      <c r="A64" s="639">
        <f t="shared" si="3"/>
        <v>231</v>
      </c>
      <c r="D64" s="467" t="s">
        <v>247</v>
      </c>
      <c r="E64" s="732" t="s">
        <v>246</v>
      </c>
      <c r="F64" s="28">
        <v>5.1399999999999994E-2</v>
      </c>
      <c r="G64" s="639">
        <f t="shared" si="2"/>
        <v>231</v>
      </c>
      <c r="H64" s="123"/>
    </row>
    <row r="65" spans="1:8">
      <c r="A65" s="639">
        <f t="shared" si="3"/>
        <v>232</v>
      </c>
      <c r="D65" s="467" t="s">
        <v>245</v>
      </c>
      <c r="E65" s="732" t="s">
        <v>244</v>
      </c>
      <c r="F65" s="28">
        <v>8.3000000000000001E-3</v>
      </c>
      <c r="G65" s="639">
        <f t="shared" si="2"/>
        <v>232</v>
      </c>
      <c r="H65" s="123"/>
    </row>
    <row r="66" spans="1:8">
      <c r="A66" s="639">
        <f t="shared" si="3"/>
        <v>233</v>
      </c>
      <c r="D66" s="467" t="s">
        <v>243</v>
      </c>
      <c r="E66" s="732" t="s">
        <v>222</v>
      </c>
      <c r="F66" s="28">
        <v>4.87E-2</v>
      </c>
      <c r="G66" s="639">
        <f t="shared" si="2"/>
        <v>233</v>
      </c>
      <c r="H66" s="123"/>
    </row>
    <row r="67" spans="1:8">
      <c r="A67" s="639">
        <f t="shared" si="3"/>
        <v>234</v>
      </c>
      <c r="D67" s="467" t="s">
        <v>242</v>
      </c>
      <c r="E67" s="732" t="s">
        <v>220</v>
      </c>
      <c r="F67" s="28">
        <v>5.3600000000000002E-2</v>
      </c>
      <c r="G67" s="639">
        <f t="shared" si="2"/>
        <v>234</v>
      </c>
      <c r="H67" s="123"/>
    </row>
    <row r="68" spans="1:8">
      <c r="A68" s="639">
        <f t="shared" si="3"/>
        <v>235</v>
      </c>
      <c r="D68" s="467" t="s">
        <v>241</v>
      </c>
      <c r="E68" s="732" t="s">
        <v>240</v>
      </c>
      <c r="F68" s="28">
        <v>2.0999999999999999E-3</v>
      </c>
      <c r="G68" s="639">
        <f t="shared" si="2"/>
        <v>235</v>
      </c>
      <c r="H68" s="123"/>
    </row>
    <row r="69" spans="1:8">
      <c r="A69" s="639">
        <f t="shared" si="3"/>
        <v>236</v>
      </c>
      <c r="D69" s="467" t="s">
        <v>239</v>
      </c>
      <c r="E69" s="732" t="s">
        <v>238</v>
      </c>
      <c r="F69" s="28">
        <v>0</v>
      </c>
      <c r="G69" s="639">
        <f t="shared" si="2"/>
        <v>236</v>
      </c>
      <c r="H69" s="123"/>
    </row>
    <row r="70" spans="1:8">
      <c r="A70" s="639">
        <f t="shared" si="3"/>
        <v>237</v>
      </c>
      <c r="D70" s="467" t="s">
        <v>237</v>
      </c>
      <c r="E70" s="732" t="s">
        <v>236</v>
      </c>
      <c r="F70" s="28">
        <v>2.9900000000000003E-2</v>
      </c>
      <c r="G70" s="639">
        <f t="shared" si="2"/>
        <v>237</v>
      </c>
      <c r="H70" s="123"/>
    </row>
    <row r="71" spans="1:8">
      <c r="A71" s="639">
        <f t="shared" si="3"/>
        <v>238</v>
      </c>
      <c r="D71" s="467" t="s">
        <v>235</v>
      </c>
      <c r="E71" s="732" t="s">
        <v>234</v>
      </c>
      <c r="F71" s="28">
        <v>1.5800000000000002E-2</v>
      </c>
      <c r="G71" s="639">
        <f t="shared" si="2"/>
        <v>238</v>
      </c>
      <c r="H71" s="123"/>
    </row>
    <row r="72" spans="1:8">
      <c r="A72" s="639">
        <f t="shared" si="3"/>
        <v>239</v>
      </c>
      <c r="D72" s="467" t="s">
        <v>233</v>
      </c>
      <c r="E72" s="732" t="s">
        <v>232</v>
      </c>
      <c r="F72" s="28">
        <v>5.9299999999999999E-2</v>
      </c>
      <c r="G72" s="639">
        <f t="shared" si="2"/>
        <v>239</v>
      </c>
      <c r="H72" s="123"/>
    </row>
    <row r="73" spans="1:8">
      <c r="A73" s="639">
        <f t="shared" si="3"/>
        <v>240</v>
      </c>
      <c r="D73" s="467" t="s">
        <v>231</v>
      </c>
      <c r="E73" s="732" t="s">
        <v>230</v>
      </c>
      <c r="F73" s="28">
        <v>3.9399999999999998E-2</v>
      </c>
      <c r="G73" s="639">
        <f t="shared" si="2"/>
        <v>240</v>
      </c>
      <c r="H73" s="123"/>
    </row>
    <row r="74" spans="1:8">
      <c r="A74" s="639">
        <f t="shared" si="3"/>
        <v>241</v>
      </c>
      <c r="D74" s="467" t="s">
        <v>229</v>
      </c>
      <c r="E74" s="732" t="s">
        <v>228</v>
      </c>
      <c r="F74" s="28">
        <v>4.7400000000000005E-2</v>
      </c>
      <c r="G74" s="639">
        <f t="shared" si="2"/>
        <v>241</v>
      </c>
      <c r="H74" s="123"/>
    </row>
    <row r="75" spans="1:8">
      <c r="A75" s="639">
        <f t="shared" si="3"/>
        <v>242</v>
      </c>
      <c r="D75" s="467" t="s">
        <v>227</v>
      </c>
      <c r="E75" s="732" t="s">
        <v>226</v>
      </c>
      <c r="F75" s="28">
        <v>7.8899999999999998E-2</v>
      </c>
      <c r="G75" s="639">
        <f t="shared" si="2"/>
        <v>242</v>
      </c>
      <c r="H75" s="123"/>
    </row>
    <row r="76" spans="1:8">
      <c r="A76" s="639">
        <f t="shared" si="3"/>
        <v>243</v>
      </c>
      <c r="D76" s="467" t="s">
        <v>225</v>
      </c>
      <c r="E76" s="732" t="s">
        <v>224</v>
      </c>
      <c r="F76" s="28">
        <v>6.9199999999999998E-2</v>
      </c>
      <c r="G76" s="639">
        <f t="shared" si="2"/>
        <v>243</v>
      </c>
    </row>
    <row r="77" spans="1:8">
      <c r="A77" s="639">
        <f t="shared" si="3"/>
        <v>244</v>
      </c>
      <c r="D77" s="467" t="s">
        <v>223</v>
      </c>
      <c r="E77" s="732" t="s">
        <v>222</v>
      </c>
      <c r="F77" s="28">
        <v>4.9599999999999998E-2</v>
      </c>
      <c r="G77" s="639">
        <f t="shared" si="2"/>
        <v>244</v>
      </c>
    </row>
    <row r="78" spans="1:8" s="45" customFormat="1">
      <c r="A78" s="639">
        <f t="shared" si="3"/>
        <v>245</v>
      </c>
      <c r="B78" s="12"/>
      <c r="C78" s="44"/>
      <c r="D78" s="467" t="s">
        <v>221</v>
      </c>
      <c r="E78" s="732" t="s">
        <v>220</v>
      </c>
      <c r="F78" s="28">
        <v>6.8499999999999991E-2</v>
      </c>
      <c r="G78" s="639">
        <f t="shared" si="2"/>
        <v>245</v>
      </c>
    </row>
    <row r="79" spans="1:8">
      <c r="A79" s="639">
        <f t="shared" si="3"/>
        <v>246</v>
      </c>
      <c r="D79" s="467" t="s">
        <v>219</v>
      </c>
      <c r="E79" s="732" t="s">
        <v>218</v>
      </c>
      <c r="F79" s="28">
        <v>2.4E-2</v>
      </c>
      <c r="G79" s="639">
        <f t="shared" si="2"/>
        <v>246</v>
      </c>
    </row>
    <row r="80" spans="1:8" s="45" customFormat="1">
      <c r="A80" s="744">
        <f t="shared" si="3"/>
        <v>247</v>
      </c>
      <c r="C80" s="645"/>
      <c r="D80" s="467" t="s">
        <v>217</v>
      </c>
      <c r="E80" s="732" t="s">
        <v>216</v>
      </c>
      <c r="F80" s="28">
        <v>0</v>
      </c>
      <c r="G80" s="744">
        <f t="shared" si="2"/>
        <v>247</v>
      </c>
    </row>
    <row r="81" spans="1:22" s="45" customFormat="1">
      <c r="A81" s="744">
        <f t="shared" si="3"/>
        <v>248</v>
      </c>
      <c r="C81" s="645"/>
      <c r="D81" s="467" t="s">
        <v>215</v>
      </c>
      <c r="E81" s="732" t="s">
        <v>214</v>
      </c>
      <c r="F81" s="28">
        <v>0.20420000000000002</v>
      </c>
      <c r="G81" s="744">
        <f t="shared" si="2"/>
        <v>248</v>
      </c>
    </row>
    <row r="82" spans="1:22" ht="15" customHeight="1">
      <c r="D82" s="467"/>
      <c r="E82" s="732"/>
      <c r="F82" s="732"/>
    </row>
    <row r="83" spans="1:22">
      <c r="A83" s="414"/>
      <c r="B83" s="337" t="s">
        <v>89</v>
      </c>
      <c r="C83" s="12"/>
      <c r="H83" s="45"/>
      <c r="I83" s="45"/>
      <c r="J83" s="45"/>
      <c r="K83" s="45"/>
      <c r="L83" s="45"/>
      <c r="M83" s="45"/>
      <c r="N83" s="45"/>
      <c r="O83" s="45"/>
      <c r="P83" s="45"/>
      <c r="Q83" s="45"/>
      <c r="R83" s="45"/>
      <c r="S83" s="45"/>
      <c r="T83" s="45"/>
      <c r="U83" s="45"/>
      <c r="V83" s="45"/>
    </row>
    <row r="84" spans="1:22" ht="32.25" customHeight="1">
      <c r="B84" s="965" t="s">
        <v>1477</v>
      </c>
      <c r="C84" s="965"/>
      <c r="D84" s="965"/>
      <c r="E84" s="965"/>
      <c r="F84" s="965"/>
      <c r="G84" s="45"/>
      <c r="H84" s="45"/>
      <c r="I84" s="45"/>
      <c r="J84" s="45"/>
      <c r="K84" s="45"/>
      <c r="L84" s="45"/>
      <c r="M84" s="45"/>
      <c r="N84" s="45"/>
      <c r="O84" s="45"/>
      <c r="P84" s="45"/>
      <c r="Q84" s="45"/>
      <c r="R84" s="45"/>
      <c r="S84" s="45"/>
      <c r="T84" s="45"/>
      <c r="U84" s="45"/>
      <c r="V84" s="45"/>
    </row>
    <row r="85" spans="1:22">
      <c r="B85" s="965" t="s">
        <v>638</v>
      </c>
      <c r="C85" s="965"/>
      <c r="D85" s="965"/>
      <c r="E85" s="965"/>
      <c r="F85" s="965"/>
    </row>
    <row r="86" spans="1:22">
      <c r="C86" s="12"/>
      <c r="D86" s="619"/>
      <c r="E86" s="336"/>
      <c r="F86" s="336"/>
    </row>
    <row r="88" spans="1:22">
      <c r="C88" s="12"/>
    </row>
  </sheetData>
  <mergeCells count="2">
    <mergeCell ref="B84:F84"/>
    <mergeCell ref="B85:F85"/>
  </mergeCells>
  <phoneticPr fontId="104" type="noConversion"/>
  <printOptions horizontalCentered="1"/>
  <pageMargins left="1" right="1" top="1" bottom="1" header="0.5" footer="0.5"/>
  <pageSetup scale="58" fitToHeight="0" orientation="portrait" r:id="rId1"/>
  <headerFooter>
    <oddHeader>&amp;C&amp;"-,Bold"&amp;12Pacific Gas and Electric Company
Formula Rate Model
Schedule 12-DepRates</oddHeader>
  </headerFooter>
  <rowBreaks count="1" manualBreakCount="1">
    <brk id="28" max="16383" man="1"/>
  </row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R74"/>
  <sheetViews>
    <sheetView view="pageBreakPreview" topLeftCell="A13" zoomScaleNormal="85" zoomScaleSheetLayoutView="100" zoomScalePageLayoutView="55" workbookViewId="0">
      <selection activeCell="G13" sqref="G13"/>
    </sheetView>
  </sheetViews>
  <sheetFormatPr defaultColWidth="9.140625" defaultRowHeight="15"/>
  <cols>
    <col min="1" max="1" width="5.42578125" style="12" customWidth="1"/>
    <col min="2" max="2" width="27.42578125" style="12" customWidth="1"/>
    <col min="3" max="3" width="18.85546875" style="12" customWidth="1"/>
    <col min="4" max="4" width="25.140625" style="12" bestFit="1" customWidth="1"/>
    <col min="5" max="5" width="19.28515625" style="12" customWidth="1"/>
    <col min="6" max="6" width="20" style="12" customWidth="1"/>
    <col min="7" max="7" width="20.42578125" style="12" customWidth="1"/>
    <col min="8" max="9" width="17.85546875" style="12" customWidth="1"/>
    <col min="10" max="10" width="8.140625" style="12" customWidth="1"/>
    <col min="11" max="11" width="4.5703125" style="12" bestFit="1" customWidth="1"/>
    <col min="12" max="14" width="12.7109375" style="12" customWidth="1"/>
    <col min="15" max="15" width="2.42578125" style="12" customWidth="1"/>
    <col min="16" max="18" width="12.7109375" style="12" customWidth="1"/>
    <col min="19" max="16384" width="9.140625" style="12"/>
  </cols>
  <sheetData>
    <row r="1" spans="1:10">
      <c r="B1" s="184" t="s">
        <v>308</v>
      </c>
      <c r="I1" s="8" t="str">
        <f>CONCATENATE("Prior Year: ",'1-DRR'!$K$2)</f>
        <v>Prior Year: 2021</v>
      </c>
    </row>
    <row r="2" spans="1:10">
      <c r="B2" s="106" t="s">
        <v>122</v>
      </c>
      <c r="C2" s="63"/>
      <c r="I2" s="8"/>
    </row>
    <row r="3" spans="1:10">
      <c r="D3" s="24"/>
    </row>
    <row r="4" spans="1:10">
      <c r="B4" s="108" t="s">
        <v>309</v>
      </c>
      <c r="C4" s="62"/>
      <c r="D4" s="62"/>
      <c r="E4" s="62"/>
      <c r="F4" s="62"/>
      <c r="G4" s="62"/>
      <c r="H4" s="62"/>
      <c r="I4" s="62"/>
    </row>
    <row r="5" spans="1:10">
      <c r="B5" s="25" t="s">
        <v>310</v>
      </c>
      <c r="D5" s="185"/>
      <c r="E5" s="186"/>
    </row>
    <row r="6" spans="1:10">
      <c r="D6" s="185"/>
      <c r="E6" s="186"/>
    </row>
    <row r="7" spans="1:10">
      <c r="D7" s="146" t="s">
        <v>62</v>
      </c>
      <c r="E7" s="146" t="s">
        <v>63</v>
      </c>
      <c r="F7" s="699"/>
      <c r="G7" s="699"/>
      <c r="H7" s="146"/>
    </row>
    <row r="8" spans="1:10">
      <c r="B8" s="187"/>
      <c r="C8" s="188"/>
      <c r="D8" s="164" t="s">
        <v>87</v>
      </c>
      <c r="E8" s="631" t="s">
        <v>88</v>
      </c>
      <c r="F8" s="700"/>
      <c r="G8" s="700"/>
    </row>
    <row r="9" spans="1:10">
      <c r="B9" s="45"/>
      <c r="D9" s="189"/>
      <c r="E9" s="632"/>
      <c r="F9" s="701"/>
      <c r="G9" s="701"/>
    </row>
    <row r="10" spans="1:10">
      <c r="B10" s="45"/>
      <c r="D10" s="190" t="s">
        <v>311</v>
      </c>
      <c r="E10" s="190"/>
      <c r="F10" s="701"/>
      <c r="G10" s="701"/>
    </row>
    <row r="11" spans="1:10">
      <c r="B11" s="191"/>
      <c r="C11" s="192"/>
      <c r="D11" s="190" t="s">
        <v>312</v>
      </c>
      <c r="E11" s="190" t="s">
        <v>212</v>
      </c>
      <c r="F11" s="702"/>
      <c r="G11" s="702"/>
    </row>
    <row r="12" spans="1:10">
      <c r="A12" s="193" t="s">
        <v>313</v>
      </c>
      <c r="B12" s="194" t="s">
        <v>58</v>
      </c>
      <c r="C12" s="194" t="s">
        <v>73</v>
      </c>
      <c r="D12" s="195" t="s">
        <v>314</v>
      </c>
      <c r="E12" s="195" t="s">
        <v>59</v>
      </c>
      <c r="F12" s="703"/>
      <c r="G12" s="703"/>
      <c r="J12" s="193" t="str">
        <f t="shared" ref="J12:J26" si="0">A12</f>
        <v xml:space="preserve">Line </v>
      </c>
    </row>
    <row r="13" spans="1:10">
      <c r="A13" s="141">
        <v>100</v>
      </c>
      <c r="B13" s="196" t="s">
        <v>75</v>
      </c>
      <c r="C13" s="197">
        <f>'1-DRR'!$K$2-1</f>
        <v>2020</v>
      </c>
      <c r="D13" s="387">
        <v>533278843</v>
      </c>
      <c r="E13" s="633">
        <v>251152243.22217691</v>
      </c>
      <c r="F13" s="698"/>
      <c r="G13" s="698"/>
      <c r="J13" s="124">
        <f t="shared" si="0"/>
        <v>100</v>
      </c>
    </row>
    <row r="14" spans="1:10">
      <c r="A14" s="124">
        <f t="shared" ref="A14:A26" si="1">A13+1</f>
        <v>101</v>
      </c>
      <c r="B14" s="198" t="s">
        <v>76</v>
      </c>
      <c r="C14" s="197">
        <f>'1-DRR'!$K$2</f>
        <v>2021</v>
      </c>
      <c r="D14" s="302">
        <v>533671882.76999998</v>
      </c>
      <c r="E14" s="634">
        <v>242307861.95388573</v>
      </c>
      <c r="F14" s="698"/>
      <c r="G14" s="698"/>
      <c r="J14" s="124">
        <f t="shared" si="0"/>
        <v>101</v>
      </c>
    </row>
    <row r="15" spans="1:10">
      <c r="A15" s="124">
        <f t="shared" si="1"/>
        <v>102</v>
      </c>
      <c r="B15" s="198" t="s">
        <v>77</v>
      </c>
      <c r="C15" s="197">
        <f>'1-DRR'!$K$2</f>
        <v>2021</v>
      </c>
      <c r="D15" s="302">
        <v>541749268.45000005</v>
      </c>
      <c r="E15" s="634">
        <v>245288575.94645947</v>
      </c>
      <c r="F15" s="698"/>
      <c r="G15" s="698"/>
      <c r="J15" s="124">
        <f t="shared" si="0"/>
        <v>102</v>
      </c>
    </row>
    <row r="16" spans="1:10">
      <c r="A16" s="124">
        <f t="shared" si="1"/>
        <v>103</v>
      </c>
      <c r="B16" s="198" t="s">
        <v>78</v>
      </c>
      <c r="C16" s="197">
        <f>'1-DRR'!$K$2</f>
        <v>2021</v>
      </c>
      <c r="D16" s="302">
        <v>532623926.12</v>
      </c>
      <c r="E16" s="634">
        <v>239035011.9110533</v>
      </c>
      <c r="F16" s="698"/>
      <c r="G16" s="698"/>
      <c r="J16" s="124">
        <f t="shared" si="0"/>
        <v>103</v>
      </c>
    </row>
    <row r="17" spans="1:10">
      <c r="A17" s="124">
        <f t="shared" si="1"/>
        <v>104</v>
      </c>
      <c r="B17" s="198" t="s">
        <v>79</v>
      </c>
      <c r="C17" s="197">
        <f>'1-DRR'!$K$2</f>
        <v>2021</v>
      </c>
      <c r="D17" s="302">
        <v>522616735.30000001</v>
      </c>
      <c r="E17" s="634">
        <v>232223471.40071726</v>
      </c>
      <c r="F17" s="698"/>
      <c r="G17" s="698"/>
      <c r="J17" s="124">
        <f t="shared" si="0"/>
        <v>104</v>
      </c>
    </row>
    <row r="18" spans="1:10">
      <c r="A18" s="124">
        <f t="shared" si="1"/>
        <v>105</v>
      </c>
      <c r="B18" s="198" t="s">
        <v>61</v>
      </c>
      <c r="C18" s="197">
        <f>'1-DRR'!$K$2</f>
        <v>2021</v>
      </c>
      <c r="D18" s="302">
        <v>515834186.42000002</v>
      </c>
      <c r="E18" s="634">
        <v>228850746.78129414</v>
      </c>
      <c r="F18" s="698"/>
      <c r="G18" s="698"/>
      <c r="J18" s="124">
        <f t="shared" si="0"/>
        <v>105</v>
      </c>
    </row>
    <row r="19" spans="1:10">
      <c r="A19" s="124">
        <f t="shared" si="1"/>
        <v>106</v>
      </c>
      <c r="B19" s="198" t="s">
        <v>146</v>
      </c>
      <c r="C19" s="197">
        <f>'1-DRR'!$K$2</f>
        <v>2021</v>
      </c>
      <c r="D19" s="302">
        <v>521271396.97000003</v>
      </c>
      <c r="E19" s="634">
        <v>231616784.99656507</v>
      </c>
      <c r="F19" s="698"/>
      <c r="G19" s="698"/>
      <c r="J19" s="124">
        <f t="shared" si="0"/>
        <v>106</v>
      </c>
    </row>
    <row r="20" spans="1:10">
      <c r="A20" s="124">
        <f t="shared" si="1"/>
        <v>107</v>
      </c>
      <c r="B20" s="198" t="s">
        <v>81</v>
      </c>
      <c r="C20" s="197">
        <f>'1-DRR'!$K$2</f>
        <v>2021</v>
      </c>
      <c r="D20" s="302">
        <v>515096025.41000003</v>
      </c>
      <c r="E20" s="634">
        <v>227730932.74720165</v>
      </c>
      <c r="F20" s="698"/>
      <c r="G20" s="698"/>
      <c r="J20" s="124">
        <f t="shared" si="0"/>
        <v>107</v>
      </c>
    </row>
    <row r="21" spans="1:10">
      <c r="A21" s="124">
        <f t="shared" si="1"/>
        <v>108</v>
      </c>
      <c r="B21" s="198" t="s">
        <v>82</v>
      </c>
      <c r="C21" s="197">
        <f>'1-DRR'!$K$2</f>
        <v>2021</v>
      </c>
      <c r="D21" s="302">
        <v>514258914.19</v>
      </c>
      <c r="E21" s="634">
        <v>230086096.80869797</v>
      </c>
      <c r="F21" s="698"/>
      <c r="G21" s="698"/>
      <c r="J21" s="124">
        <f t="shared" si="0"/>
        <v>108</v>
      </c>
    </row>
    <row r="22" spans="1:10">
      <c r="A22" s="124">
        <f t="shared" si="1"/>
        <v>109</v>
      </c>
      <c r="B22" s="198" t="s">
        <v>83</v>
      </c>
      <c r="C22" s="197">
        <f>'1-DRR'!$K$2</f>
        <v>2021</v>
      </c>
      <c r="D22" s="302">
        <v>521893760.02999997</v>
      </c>
      <c r="E22" s="634">
        <v>236034373.38662291</v>
      </c>
      <c r="F22" s="698"/>
      <c r="G22" s="698"/>
      <c r="J22" s="124">
        <f t="shared" si="0"/>
        <v>109</v>
      </c>
    </row>
    <row r="23" spans="1:10">
      <c r="A23" s="124">
        <f t="shared" si="1"/>
        <v>110</v>
      </c>
      <c r="B23" s="198" t="s">
        <v>84</v>
      </c>
      <c r="C23" s="197">
        <f>'1-DRR'!$K$2</f>
        <v>2021</v>
      </c>
      <c r="D23" s="302">
        <v>526851821.22000003</v>
      </c>
      <c r="E23" s="634">
        <v>238509534.55739158</v>
      </c>
      <c r="F23" s="698"/>
      <c r="G23" s="698"/>
      <c r="J23" s="124">
        <f t="shared" si="0"/>
        <v>110</v>
      </c>
    </row>
    <row r="24" spans="1:10">
      <c r="A24" s="124">
        <f t="shared" si="1"/>
        <v>111</v>
      </c>
      <c r="B24" s="198" t="s">
        <v>85</v>
      </c>
      <c r="C24" s="197">
        <f>'1-DRR'!$K$2</f>
        <v>2021</v>
      </c>
      <c r="D24" s="365">
        <v>544346981.88999999</v>
      </c>
      <c r="E24" s="429">
        <v>246205635.01256308</v>
      </c>
      <c r="F24" s="698"/>
      <c r="G24" s="698"/>
      <c r="J24" s="124">
        <f t="shared" si="0"/>
        <v>111</v>
      </c>
    </row>
    <row r="25" spans="1:10">
      <c r="A25" s="124">
        <f t="shared" si="1"/>
        <v>112</v>
      </c>
      <c r="B25" s="199" t="s">
        <v>75</v>
      </c>
      <c r="C25" s="200">
        <f>'1-DRR'!$K$2</f>
        <v>2021</v>
      </c>
      <c r="D25" s="388">
        <v>552298301.95000005</v>
      </c>
      <c r="E25" s="633">
        <v>243542773.03879631</v>
      </c>
      <c r="F25" s="698"/>
      <c r="G25" s="698"/>
      <c r="J25" s="124">
        <f t="shared" si="0"/>
        <v>112</v>
      </c>
    </row>
    <row r="26" spans="1:10">
      <c r="A26" s="124">
        <f t="shared" si="1"/>
        <v>113</v>
      </c>
      <c r="B26" s="201" t="s">
        <v>197</v>
      </c>
      <c r="C26" s="201"/>
      <c r="D26" s="303">
        <f>SUM(D13:D25)/13</f>
        <v>528907080.28615385</v>
      </c>
      <c r="E26" s="635">
        <f t="shared" ref="E26" si="2">SUM(E13:E25)/13</f>
        <v>237891080.13564813</v>
      </c>
      <c r="F26" s="697"/>
      <c r="G26" s="697"/>
      <c r="J26" s="124">
        <f t="shared" si="0"/>
        <v>113</v>
      </c>
    </row>
    <row r="27" spans="1:10">
      <c r="C27" s="25"/>
    </row>
    <row r="28" spans="1:10">
      <c r="C28" s="25"/>
    </row>
    <row r="29" spans="1:10">
      <c r="A29" s="24"/>
      <c r="B29" s="108" t="s">
        <v>315</v>
      </c>
      <c r="C29" s="62"/>
      <c r="D29" s="62"/>
      <c r="E29" s="62"/>
      <c r="F29" s="62"/>
      <c r="G29" s="62"/>
      <c r="H29" s="62"/>
      <c r="I29" s="62"/>
    </row>
    <row r="30" spans="1:10" ht="15" customHeight="1">
      <c r="A30" s="24"/>
      <c r="B30" s="974" t="s">
        <v>1030</v>
      </c>
      <c r="C30" s="974"/>
      <c r="D30" s="974"/>
      <c r="E30" s="974"/>
      <c r="F30" s="974"/>
      <c r="G30" s="974"/>
      <c r="H30" s="974"/>
      <c r="I30" s="974"/>
      <c r="J30" s="202"/>
    </row>
    <row r="31" spans="1:10">
      <c r="A31" s="24"/>
      <c r="B31" s="974"/>
      <c r="C31" s="974"/>
      <c r="D31" s="974"/>
      <c r="E31" s="974"/>
      <c r="F31" s="974"/>
      <c r="G31" s="974"/>
      <c r="H31" s="974"/>
      <c r="I31" s="974"/>
      <c r="J31" s="202"/>
    </row>
    <row r="32" spans="1:10">
      <c r="A32" s="24"/>
      <c r="B32" s="203"/>
      <c r="C32" s="203"/>
      <c r="D32" s="203"/>
      <c r="E32" s="203"/>
      <c r="F32" s="203"/>
      <c r="G32" s="975"/>
      <c r="H32" s="975"/>
      <c r="I32" s="975"/>
    </row>
    <row r="33" spans="1:18">
      <c r="A33" s="24"/>
      <c r="B33" s="146" t="s">
        <v>62</v>
      </c>
      <c r="C33" s="146" t="s">
        <v>63</v>
      </c>
      <c r="D33" s="146" t="s">
        <v>64</v>
      </c>
      <c r="E33" s="146" t="s">
        <v>65</v>
      </c>
      <c r="F33" s="146" t="s">
        <v>66</v>
      </c>
      <c r="G33" s="146" t="s">
        <v>67</v>
      </c>
      <c r="H33" s="146" t="s">
        <v>68</v>
      </c>
      <c r="I33" s="146" t="s">
        <v>69</v>
      </c>
      <c r="J33" s="146"/>
    </row>
    <row r="34" spans="1:18">
      <c r="A34" s="24"/>
      <c r="B34" s="134" t="s">
        <v>319</v>
      </c>
      <c r="C34" s="146"/>
      <c r="D34" s="870" t="s">
        <v>1603</v>
      </c>
      <c r="E34" s="134" t="s">
        <v>112</v>
      </c>
      <c r="F34" s="134" t="s">
        <v>320</v>
      </c>
      <c r="G34" s="134" t="s">
        <v>127</v>
      </c>
      <c r="H34" s="134" t="s">
        <v>128</v>
      </c>
      <c r="I34" s="134" t="s">
        <v>113</v>
      </c>
      <c r="L34" s="46"/>
    </row>
    <row r="35" spans="1:18" ht="15" customHeight="1">
      <c r="E35" s="204" t="s">
        <v>321</v>
      </c>
      <c r="G35" s="976" t="s">
        <v>322</v>
      </c>
      <c r="H35" s="976"/>
      <c r="I35" s="976"/>
      <c r="L35" s="46"/>
    </row>
    <row r="36" spans="1:18" ht="15" customHeight="1">
      <c r="A36" s="193" t="s">
        <v>86</v>
      </c>
      <c r="B36" s="193" t="s">
        <v>58</v>
      </c>
      <c r="C36" s="193" t="s">
        <v>73</v>
      </c>
      <c r="D36" s="193" t="s">
        <v>323</v>
      </c>
      <c r="E36" s="193" t="s">
        <v>324</v>
      </c>
      <c r="F36" s="193" t="s">
        <v>325</v>
      </c>
      <c r="G36" s="193" t="s">
        <v>326</v>
      </c>
      <c r="H36" s="193" t="s">
        <v>327</v>
      </c>
      <c r="I36" s="193" t="s">
        <v>328</v>
      </c>
      <c r="J36" s="205" t="str">
        <f t="shared" ref="J36:J49" si="3">A36</f>
        <v>Line</v>
      </c>
      <c r="L36" s="46"/>
    </row>
    <row r="37" spans="1:18">
      <c r="A37" s="124">
        <v>200</v>
      </c>
      <c r="B37" s="198" t="s">
        <v>75</v>
      </c>
      <c r="C37" s="197">
        <f>'1-DRR'!$K$2-1</f>
        <v>2020</v>
      </c>
      <c r="D37" s="302">
        <v>698753381.11000013</v>
      </c>
      <c r="E37" s="302">
        <v>50539331.940000005</v>
      </c>
      <c r="F37" s="49">
        <f t="shared" ref="F37:F49" si="4">+D37-E37</f>
        <v>648214049.17000008</v>
      </c>
      <c r="G37" s="428">
        <v>23113163.519999996</v>
      </c>
      <c r="H37" s="428">
        <v>482456962.94</v>
      </c>
      <c r="I37" s="428">
        <v>142643922.70999998</v>
      </c>
      <c r="J37" s="321">
        <f t="shared" si="3"/>
        <v>200</v>
      </c>
      <c r="K37" s="32"/>
      <c r="L37" s="206"/>
      <c r="M37" s="206"/>
      <c r="N37" s="206"/>
      <c r="O37" s="206"/>
      <c r="P37" s="207"/>
      <c r="Q37" s="208"/>
      <c r="R37" s="208"/>
    </row>
    <row r="38" spans="1:18">
      <c r="A38" s="124">
        <f t="shared" ref="A38:A49" si="5">A37+1</f>
        <v>201</v>
      </c>
      <c r="B38" s="198" t="s">
        <v>76</v>
      </c>
      <c r="C38" s="197">
        <f>'1-DRR'!$K$2</f>
        <v>2021</v>
      </c>
      <c r="D38" s="302">
        <v>679333937.68000007</v>
      </c>
      <c r="E38" s="302">
        <v>51412418.420000002</v>
      </c>
      <c r="F38" s="49">
        <f t="shared" si="4"/>
        <v>627921519.26000011</v>
      </c>
      <c r="G38" s="428">
        <v>22411828.279999997</v>
      </c>
      <c r="H38" s="428">
        <v>412618392.56999999</v>
      </c>
      <c r="I38" s="428">
        <v>192891298.41000003</v>
      </c>
      <c r="J38" s="321">
        <f t="shared" si="3"/>
        <v>201</v>
      </c>
      <c r="K38" s="32"/>
      <c r="L38" s="206"/>
      <c r="M38" s="206"/>
      <c r="N38" s="206"/>
      <c r="O38" s="206"/>
      <c r="P38" s="207"/>
      <c r="Q38" s="208"/>
      <c r="R38" s="208"/>
    </row>
    <row r="39" spans="1:18">
      <c r="A39" s="124">
        <f t="shared" si="5"/>
        <v>202</v>
      </c>
      <c r="B39" s="198" t="s">
        <v>77</v>
      </c>
      <c r="C39" s="197">
        <f>'1-DRR'!$K$2</f>
        <v>2021</v>
      </c>
      <c r="D39" s="302">
        <v>594312809.91000009</v>
      </c>
      <c r="E39" s="302">
        <v>50982041.410000004</v>
      </c>
      <c r="F39" s="49">
        <f t="shared" si="4"/>
        <v>543330768.50000012</v>
      </c>
      <c r="G39" s="428">
        <v>23680466.25</v>
      </c>
      <c r="H39" s="428">
        <v>343512070.19999993</v>
      </c>
      <c r="I39" s="428">
        <v>176138232.05000001</v>
      </c>
      <c r="J39" s="321">
        <f t="shared" si="3"/>
        <v>202</v>
      </c>
      <c r="K39" s="32"/>
      <c r="L39" s="206"/>
      <c r="M39" s="206"/>
      <c r="N39" s="206"/>
      <c r="O39" s="206"/>
      <c r="P39" s="207"/>
      <c r="Q39" s="208"/>
      <c r="R39" s="208"/>
    </row>
    <row r="40" spans="1:18">
      <c r="A40" s="124">
        <f t="shared" si="5"/>
        <v>203</v>
      </c>
      <c r="B40" s="198" t="s">
        <v>78</v>
      </c>
      <c r="C40" s="197">
        <f>'1-DRR'!$K$2</f>
        <v>2021</v>
      </c>
      <c r="D40" s="302">
        <v>499559035.59000003</v>
      </c>
      <c r="E40" s="302">
        <v>34969127.74000001</v>
      </c>
      <c r="F40" s="49">
        <f t="shared" si="4"/>
        <v>464589907.85000002</v>
      </c>
      <c r="G40" s="428">
        <v>20886706.91</v>
      </c>
      <c r="H40" s="428">
        <v>272805170.90999997</v>
      </c>
      <c r="I40" s="428">
        <v>170898030.03</v>
      </c>
      <c r="J40" s="321">
        <f t="shared" si="3"/>
        <v>203</v>
      </c>
      <c r="K40" s="32"/>
      <c r="L40" s="206"/>
      <c r="M40" s="206"/>
      <c r="N40" s="206"/>
      <c r="O40" s="206"/>
      <c r="P40" s="207"/>
      <c r="Q40" s="208"/>
      <c r="R40" s="208"/>
    </row>
    <row r="41" spans="1:18">
      <c r="A41" s="124">
        <f t="shared" si="5"/>
        <v>204</v>
      </c>
      <c r="B41" s="198" t="s">
        <v>79</v>
      </c>
      <c r="C41" s="197">
        <f>'1-DRR'!$K$2</f>
        <v>2021</v>
      </c>
      <c r="D41" s="302">
        <v>580018381.20999992</v>
      </c>
      <c r="E41" s="302">
        <v>21889218.970000006</v>
      </c>
      <c r="F41" s="49">
        <f t="shared" si="4"/>
        <v>558129162.23999989</v>
      </c>
      <c r="G41" s="428">
        <v>23772941.579999998</v>
      </c>
      <c r="H41" s="428">
        <v>285805610.53999996</v>
      </c>
      <c r="I41" s="428">
        <v>248550610.12</v>
      </c>
      <c r="J41" s="321">
        <f t="shared" si="3"/>
        <v>204</v>
      </c>
      <c r="K41" s="32"/>
      <c r="L41" s="206"/>
      <c r="M41" s="206"/>
      <c r="N41" s="206"/>
      <c r="O41" s="206"/>
      <c r="P41" s="207"/>
      <c r="Q41" s="208"/>
      <c r="R41" s="208"/>
    </row>
    <row r="42" spans="1:18">
      <c r="A42" s="124">
        <f t="shared" si="5"/>
        <v>205</v>
      </c>
      <c r="B42" s="198" t="s">
        <v>61</v>
      </c>
      <c r="C42" s="197">
        <f>'1-DRR'!$K$2</f>
        <v>2021</v>
      </c>
      <c r="D42" s="302">
        <v>515186535.23000008</v>
      </c>
      <c r="E42" s="302">
        <v>21551946.49000001</v>
      </c>
      <c r="F42" s="49">
        <f t="shared" si="4"/>
        <v>493634588.74000007</v>
      </c>
      <c r="G42" s="428">
        <v>21140642.220000003</v>
      </c>
      <c r="H42" s="428">
        <v>281423463.38999999</v>
      </c>
      <c r="I42" s="428">
        <v>191070483.13000003</v>
      </c>
      <c r="J42" s="321">
        <f t="shared" si="3"/>
        <v>205</v>
      </c>
      <c r="K42" s="32"/>
      <c r="L42" s="206"/>
      <c r="M42" s="206"/>
      <c r="N42" s="206"/>
      <c r="O42" s="206"/>
      <c r="P42" s="207"/>
      <c r="Q42" s="208"/>
      <c r="R42" s="208"/>
    </row>
    <row r="43" spans="1:18">
      <c r="A43" s="124">
        <f t="shared" si="5"/>
        <v>206</v>
      </c>
      <c r="B43" s="198" t="s">
        <v>146</v>
      </c>
      <c r="C43" s="197">
        <f>'1-DRR'!$K$2</f>
        <v>2021</v>
      </c>
      <c r="D43" s="302">
        <v>484704890.90999997</v>
      </c>
      <c r="E43" s="302">
        <v>22464959.320000008</v>
      </c>
      <c r="F43" s="49">
        <f t="shared" si="4"/>
        <v>462239931.58999997</v>
      </c>
      <c r="G43" s="428">
        <v>18331610.43</v>
      </c>
      <c r="H43" s="428">
        <v>278716840.95999992</v>
      </c>
      <c r="I43" s="428">
        <v>165191480.20000002</v>
      </c>
      <c r="J43" s="321">
        <f t="shared" si="3"/>
        <v>206</v>
      </c>
      <c r="K43" s="32"/>
      <c r="L43" s="206"/>
      <c r="M43" s="206"/>
      <c r="N43" s="206"/>
      <c r="O43" s="206"/>
      <c r="P43" s="207"/>
      <c r="Q43" s="208"/>
      <c r="R43" s="208"/>
    </row>
    <row r="44" spans="1:18">
      <c r="A44" s="124">
        <f t="shared" si="5"/>
        <v>207</v>
      </c>
      <c r="B44" s="198" t="s">
        <v>81</v>
      </c>
      <c r="C44" s="197">
        <f>'1-DRR'!$K$2</f>
        <v>2021</v>
      </c>
      <c r="D44" s="302">
        <v>972596793.1099999</v>
      </c>
      <c r="E44" s="302">
        <v>22215202.860000007</v>
      </c>
      <c r="F44" s="49">
        <f t="shared" si="4"/>
        <v>950381590.24999988</v>
      </c>
      <c r="G44" s="428">
        <v>15522578.639999999</v>
      </c>
      <c r="H44" s="428">
        <v>737903456.84000003</v>
      </c>
      <c r="I44" s="428">
        <v>196955554.76999992</v>
      </c>
      <c r="J44" s="321">
        <f t="shared" si="3"/>
        <v>207</v>
      </c>
      <c r="K44" s="32"/>
      <c r="L44" s="206"/>
      <c r="M44" s="206"/>
      <c r="N44" s="206"/>
      <c r="O44" s="206"/>
      <c r="P44" s="207"/>
      <c r="Q44" s="208"/>
      <c r="R44" s="208"/>
    </row>
    <row r="45" spans="1:18">
      <c r="A45" s="124">
        <f t="shared" si="5"/>
        <v>208</v>
      </c>
      <c r="B45" s="198" t="s">
        <v>82</v>
      </c>
      <c r="C45" s="197">
        <f>'1-DRR'!$K$2</f>
        <v>2021</v>
      </c>
      <c r="D45" s="302">
        <v>900525635.2299999</v>
      </c>
      <c r="E45" s="302">
        <v>23832557.260000005</v>
      </c>
      <c r="F45" s="49">
        <f t="shared" si="4"/>
        <v>876693077.96999991</v>
      </c>
      <c r="G45" s="428">
        <v>12713546.85</v>
      </c>
      <c r="H45" s="428">
        <v>666550941.39999998</v>
      </c>
      <c r="I45" s="428">
        <v>197428589.72000015</v>
      </c>
      <c r="J45" s="321">
        <f t="shared" si="3"/>
        <v>208</v>
      </c>
      <c r="K45" s="32"/>
      <c r="L45" s="206"/>
      <c r="M45" s="206"/>
      <c r="N45" s="206"/>
      <c r="O45" s="206"/>
      <c r="P45" s="207"/>
      <c r="Q45" s="208"/>
      <c r="R45" s="208"/>
    </row>
    <row r="46" spans="1:18">
      <c r="A46" s="124">
        <f t="shared" si="5"/>
        <v>209</v>
      </c>
      <c r="B46" s="198" t="s">
        <v>83</v>
      </c>
      <c r="C46" s="197">
        <f>'1-DRR'!$K$2</f>
        <v>2021</v>
      </c>
      <c r="D46" s="302">
        <v>706961619.45000005</v>
      </c>
      <c r="E46" s="302">
        <v>26076356.690000009</v>
      </c>
      <c r="F46" s="49">
        <f t="shared" si="4"/>
        <v>680885262.75999999</v>
      </c>
      <c r="G46" s="428">
        <v>9904515.0599999987</v>
      </c>
      <c r="H46" s="428">
        <v>491468749.5</v>
      </c>
      <c r="I46" s="428">
        <v>179511998.20000005</v>
      </c>
      <c r="J46" s="321">
        <f t="shared" si="3"/>
        <v>209</v>
      </c>
      <c r="K46" s="32"/>
      <c r="L46" s="206"/>
      <c r="M46" s="206"/>
      <c r="N46" s="206"/>
      <c r="O46" s="206"/>
      <c r="P46" s="207"/>
      <c r="Q46" s="208"/>
      <c r="R46" s="208"/>
    </row>
    <row r="47" spans="1:18">
      <c r="A47" s="124">
        <f t="shared" si="5"/>
        <v>210</v>
      </c>
      <c r="B47" s="198" t="s">
        <v>84</v>
      </c>
      <c r="C47" s="197">
        <f>'1-DRR'!$K$2</f>
        <v>2021</v>
      </c>
      <c r="D47" s="302">
        <v>641537683.36999989</v>
      </c>
      <c r="E47" s="302">
        <v>36024139.420000009</v>
      </c>
      <c r="F47" s="49">
        <f t="shared" si="4"/>
        <v>605513543.94999993</v>
      </c>
      <c r="G47" s="428">
        <v>10605181.260000002</v>
      </c>
      <c r="H47" s="428">
        <v>437404513.47000003</v>
      </c>
      <c r="I47" s="428">
        <v>157503849.21999997</v>
      </c>
      <c r="J47" s="321">
        <f t="shared" si="3"/>
        <v>210</v>
      </c>
      <c r="K47" s="32"/>
      <c r="L47" s="206"/>
      <c r="M47" s="206"/>
      <c r="N47" s="206"/>
      <c r="O47" s="206"/>
      <c r="P47" s="207"/>
      <c r="Q47" s="208"/>
      <c r="R47" s="208"/>
    </row>
    <row r="48" spans="1:18">
      <c r="A48" s="124">
        <f t="shared" si="5"/>
        <v>211</v>
      </c>
      <c r="B48" s="198" t="s">
        <v>85</v>
      </c>
      <c r="C48" s="197">
        <f>'1-DRR'!$K$2</f>
        <v>2021</v>
      </c>
      <c r="D48" s="302">
        <v>566089864.61000001</v>
      </c>
      <c r="E48" s="302">
        <v>35774382.960000008</v>
      </c>
      <c r="F48" s="49">
        <f t="shared" si="4"/>
        <v>530315481.64999998</v>
      </c>
      <c r="G48" s="428">
        <v>7895427.4699999997</v>
      </c>
      <c r="H48" s="428">
        <v>383340277.44</v>
      </c>
      <c r="I48" s="428">
        <v>139079776.74000001</v>
      </c>
      <c r="J48" s="321">
        <f t="shared" si="3"/>
        <v>211</v>
      </c>
      <c r="K48" s="32"/>
      <c r="L48" s="206"/>
      <c r="M48" s="206"/>
      <c r="N48" s="206"/>
      <c r="O48" s="206"/>
      <c r="P48" s="207"/>
      <c r="Q48" s="208"/>
      <c r="R48" s="208"/>
    </row>
    <row r="49" spans="1:18">
      <c r="A49" s="124">
        <f t="shared" si="5"/>
        <v>212</v>
      </c>
      <c r="B49" s="191" t="s">
        <v>75</v>
      </c>
      <c r="C49" s="197">
        <f>'1-DRR'!$K$2</f>
        <v>2021</v>
      </c>
      <c r="D49" s="302">
        <v>520256194.68000007</v>
      </c>
      <c r="E49" s="302">
        <v>36907971.290000007</v>
      </c>
      <c r="F49" s="49">
        <f t="shared" si="4"/>
        <v>483348223.39000005</v>
      </c>
      <c r="G49" s="428">
        <v>5341192.0999999996</v>
      </c>
      <c r="H49" s="428">
        <v>329276041.40999997</v>
      </c>
      <c r="I49" s="428">
        <v>148730989.88</v>
      </c>
      <c r="J49" s="321">
        <f t="shared" si="3"/>
        <v>212</v>
      </c>
      <c r="K49" s="32"/>
      <c r="L49" s="206"/>
      <c r="M49" s="206"/>
      <c r="N49" s="206"/>
      <c r="O49" s="206"/>
      <c r="P49" s="207"/>
      <c r="Q49" s="208"/>
      <c r="R49" s="208"/>
    </row>
    <row r="50" spans="1:18">
      <c r="A50" s="124"/>
      <c r="B50" s="191"/>
      <c r="C50" s="197"/>
      <c r="D50" s="16"/>
      <c r="E50" s="16"/>
      <c r="F50" s="16"/>
      <c r="G50" s="209"/>
      <c r="H50" s="209"/>
      <c r="I50" s="209"/>
      <c r="J50" s="124"/>
      <c r="L50" s="206"/>
      <c r="M50" s="206"/>
      <c r="N50" s="206"/>
      <c r="O50" s="206"/>
      <c r="P50" s="207"/>
      <c r="Q50" s="208"/>
      <c r="R50" s="208"/>
    </row>
    <row r="51" spans="1:18">
      <c r="A51" s="24"/>
      <c r="B51" s="191"/>
      <c r="C51" s="197"/>
      <c r="D51" s="210"/>
      <c r="E51" s="16"/>
      <c r="F51" s="210"/>
      <c r="G51" s="211"/>
      <c r="H51" s="47"/>
      <c r="J51" s="124"/>
      <c r="L51" s="46"/>
    </row>
    <row r="52" spans="1:18">
      <c r="A52" s="124"/>
      <c r="C52" s="197"/>
      <c r="D52" s="210"/>
      <c r="E52" s="16"/>
      <c r="F52" s="210"/>
      <c r="G52" s="69"/>
      <c r="H52" s="150" t="s">
        <v>329</v>
      </c>
      <c r="I52" s="69"/>
      <c r="J52" s="124"/>
    </row>
    <row r="53" spans="1:18">
      <c r="A53" s="124"/>
      <c r="B53" s="201" t="s">
        <v>1037</v>
      </c>
      <c r="C53" s="197"/>
      <c r="D53" s="210"/>
      <c r="E53" s="16"/>
      <c r="F53" s="210"/>
      <c r="G53" s="182" t="s">
        <v>330</v>
      </c>
      <c r="H53" s="407" t="s">
        <v>331</v>
      </c>
      <c r="I53" s="182" t="s">
        <v>332</v>
      </c>
      <c r="J53" s="124"/>
    </row>
    <row r="54" spans="1:18">
      <c r="A54" s="124">
        <f>A49+1</f>
        <v>213</v>
      </c>
      <c r="B54" s="191" t="s">
        <v>102</v>
      </c>
      <c r="C54" s="212" t="s">
        <v>1490</v>
      </c>
      <c r="D54" s="210"/>
      <c r="E54" s="16"/>
      <c r="F54" s="210"/>
      <c r="G54" s="405">
        <f>'24-Allocators'!C29</f>
        <v>0.4104584037578522</v>
      </c>
      <c r="H54" s="408">
        <f>'24-Allocators'!C36</f>
        <v>0.35862997641395811</v>
      </c>
      <c r="I54" s="406">
        <f>'24-Allocators'!C24</f>
        <v>0.30680154907006396</v>
      </c>
      <c r="J54" s="124">
        <f>A54</f>
        <v>213</v>
      </c>
    </row>
    <row r="55" spans="1:18">
      <c r="A55" s="24"/>
      <c r="B55" s="191"/>
      <c r="C55" s="197"/>
      <c r="D55" s="210"/>
      <c r="E55" s="16"/>
      <c r="F55" s="210"/>
      <c r="G55" s="211"/>
      <c r="J55" s="124"/>
    </row>
    <row r="56" spans="1:18" ht="29.25" customHeight="1">
      <c r="A56" s="124">
        <f>+A54+1</f>
        <v>214</v>
      </c>
      <c r="B56" s="201" t="s">
        <v>333</v>
      </c>
      <c r="C56" s="149" t="str">
        <f>"(Sum Line "&amp;A37&amp;" to Line "&amp;A49&amp;") / 13"</f>
        <v>(Sum Line 200 to Line 212) / 13</v>
      </c>
      <c r="D56" s="389">
        <f>SUM(D37:D49)/13</f>
        <v>643064366.31461537</v>
      </c>
      <c r="E56" s="389">
        <f t="shared" ref="E56:I56" si="6">SUM(E37:E49)/13</f>
        <v>33433819.597692311</v>
      </c>
      <c r="F56" s="389">
        <f t="shared" si="6"/>
        <v>609630546.71692312</v>
      </c>
      <c r="G56" s="389">
        <f t="shared" si="6"/>
        <v>16563061.582307689</v>
      </c>
      <c r="H56" s="389">
        <f t="shared" si="6"/>
        <v>415637114.73615384</v>
      </c>
      <c r="I56" s="389">
        <f t="shared" si="6"/>
        <v>177430370.39846155</v>
      </c>
      <c r="J56" s="124">
        <f>A56</f>
        <v>214</v>
      </c>
      <c r="L56" s="36"/>
    </row>
    <row r="57" spans="1:18">
      <c r="A57" s="124">
        <f>A56+1</f>
        <v>215</v>
      </c>
      <c r="B57" s="191" t="s">
        <v>334</v>
      </c>
      <c r="C57" s="148" t="str">
        <f>"Line "&amp;A54&amp;" * Line "&amp;A56&amp;""</f>
        <v>Line 213 * Line 214</v>
      </c>
      <c r="D57" s="390"/>
      <c r="E57" s="390"/>
      <c r="F57" s="390">
        <f>+G57+H57+I57</f>
        <v>210294289</v>
      </c>
      <c r="G57" s="389">
        <f>ROUND(G56*G54,0)</f>
        <v>6798448</v>
      </c>
      <c r="H57" s="389">
        <f>ROUND(H56*H54,0)</f>
        <v>149059929</v>
      </c>
      <c r="I57" s="389">
        <f>ROUND(I56*I54,0)</f>
        <v>54435912</v>
      </c>
      <c r="J57" s="124">
        <f>A57</f>
        <v>215</v>
      </c>
      <c r="L57" s="36"/>
    </row>
    <row r="58" spans="1:18">
      <c r="B58" s="191"/>
      <c r="C58" s="189"/>
      <c r="D58" s="210"/>
      <c r="E58" s="210"/>
      <c r="F58" s="210"/>
      <c r="G58" s="210"/>
      <c r="H58" s="210"/>
      <c r="I58" s="210"/>
      <c r="J58" s="124"/>
    </row>
    <row r="59" spans="1:18">
      <c r="A59" s="124">
        <f>A57+1</f>
        <v>216</v>
      </c>
      <c r="B59" s="201" t="s">
        <v>335</v>
      </c>
      <c r="C59" s="189" t="str">
        <f>"Line "&amp;A49&amp;""</f>
        <v>Line 212</v>
      </c>
      <c r="D59" s="389">
        <f t="shared" ref="D59:I59" si="7">+D49</f>
        <v>520256194.68000007</v>
      </c>
      <c r="E59" s="389">
        <f t="shared" si="7"/>
        <v>36907971.290000007</v>
      </c>
      <c r="F59" s="389">
        <f t="shared" si="7"/>
        <v>483348223.39000005</v>
      </c>
      <c r="G59" s="389">
        <f t="shared" si="7"/>
        <v>5341192.0999999996</v>
      </c>
      <c r="H59" s="389">
        <f t="shared" si="7"/>
        <v>329276041.40999997</v>
      </c>
      <c r="I59" s="389">
        <f t="shared" si="7"/>
        <v>148730989.88</v>
      </c>
      <c r="J59" s="124">
        <f>A59</f>
        <v>216</v>
      </c>
      <c r="L59" s="36"/>
    </row>
    <row r="60" spans="1:18">
      <c r="A60" s="124">
        <f>A59+1</f>
        <v>217</v>
      </c>
      <c r="B60" s="191" t="s">
        <v>334</v>
      </c>
      <c r="C60" s="148" t="str">
        <f>"Line "&amp;A54&amp;" * Line "&amp;A59&amp;""</f>
        <v>Line 213 * Line 216</v>
      </c>
      <c r="D60" s="389"/>
      <c r="E60" s="389"/>
      <c r="F60" s="390">
        <f>+G60+H60+I60</f>
        <v>165911494</v>
      </c>
      <c r="G60" s="389">
        <f>ROUND(G59*G54,0)</f>
        <v>2192337</v>
      </c>
      <c r="H60" s="389">
        <f>ROUND(H59*H54,0)</f>
        <v>118088259</v>
      </c>
      <c r="I60" s="389">
        <f>ROUND(I59*I54,0)</f>
        <v>45630898</v>
      </c>
      <c r="J60" s="124">
        <f>A60</f>
        <v>217</v>
      </c>
      <c r="L60" s="36"/>
    </row>
    <row r="61" spans="1:18">
      <c r="A61" s="124"/>
      <c r="B61" s="201"/>
      <c r="C61" s="197"/>
      <c r="D61" s="210"/>
      <c r="E61" s="210"/>
      <c r="F61" s="210"/>
      <c r="G61" s="210"/>
      <c r="H61" s="210"/>
      <c r="I61" s="210"/>
      <c r="J61" s="124"/>
      <c r="L61" s="36"/>
    </row>
    <row r="62" spans="1:18">
      <c r="A62" s="124"/>
      <c r="B62" s="201" t="s">
        <v>89</v>
      </c>
      <c r="C62" s="197"/>
      <c r="D62" s="210"/>
      <c r="E62" s="210"/>
      <c r="F62" s="210"/>
      <c r="G62" s="210"/>
      <c r="H62" s="210"/>
      <c r="I62" s="210"/>
      <c r="J62" s="124"/>
      <c r="L62" s="36"/>
    </row>
    <row r="63" spans="1:18">
      <c r="A63" s="124"/>
      <c r="B63" s="191" t="s">
        <v>782</v>
      </c>
      <c r="C63" s="197"/>
      <c r="D63" s="210"/>
      <c r="E63" s="210"/>
      <c r="F63" s="210"/>
      <c r="G63" s="210"/>
      <c r="H63" s="210"/>
      <c r="I63" s="210"/>
      <c r="J63" s="124"/>
      <c r="L63" s="36"/>
    </row>
    <row r="64" spans="1:18">
      <c r="A64" s="124"/>
      <c r="B64" s="191" t="s">
        <v>1103</v>
      </c>
      <c r="C64" s="197"/>
      <c r="D64" s="210"/>
      <c r="E64" s="210"/>
      <c r="F64" s="210"/>
      <c r="G64" s="210"/>
      <c r="H64" s="210"/>
      <c r="I64" s="210"/>
      <c r="J64" s="124"/>
      <c r="L64" s="36"/>
    </row>
    <row r="65" spans="1:12">
      <c r="A65" s="124"/>
      <c r="B65" s="191" t="s">
        <v>336</v>
      </c>
      <c r="C65" s="197"/>
      <c r="D65" s="210"/>
      <c r="E65" s="210"/>
      <c r="F65" s="210"/>
      <c r="G65" s="210"/>
      <c r="H65" s="210"/>
      <c r="I65" s="210"/>
      <c r="J65" s="124"/>
      <c r="L65" s="36"/>
    </row>
    <row r="66" spans="1:12">
      <c r="A66" s="124"/>
      <c r="B66" s="191" t="s">
        <v>337</v>
      </c>
      <c r="C66" s="197"/>
      <c r="D66" s="210"/>
      <c r="E66" s="210"/>
      <c r="F66" s="210"/>
      <c r="G66" s="210"/>
      <c r="H66" s="210"/>
      <c r="I66" s="210"/>
      <c r="J66" s="124"/>
      <c r="L66" s="36"/>
    </row>
    <row r="67" spans="1:12">
      <c r="A67" s="124"/>
      <c r="B67" s="191" t="s">
        <v>338</v>
      </c>
      <c r="C67" s="197"/>
      <c r="D67" s="210"/>
      <c r="E67" s="210"/>
      <c r="F67" s="210"/>
      <c r="G67" s="210"/>
      <c r="H67" s="210"/>
      <c r="I67" s="210"/>
      <c r="J67" s="124"/>
      <c r="L67" s="36"/>
    </row>
    <row r="68" spans="1:12">
      <c r="A68" s="124"/>
      <c r="B68" s="191" t="s">
        <v>339</v>
      </c>
      <c r="C68" s="197"/>
      <c r="D68" s="210"/>
      <c r="E68" s="210"/>
      <c r="F68" s="210"/>
      <c r="G68" s="210"/>
      <c r="H68" s="210"/>
      <c r="I68" s="210"/>
      <c r="J68" s="124"/>
      <c r="L68" s="36"/>
    </row>
    <row r="69" spans="1:12">
      <c r="B69" s="191" t="s">
        <v>340</v>
      </c>
    </row>
    <row r="72" spans="1:12">
      <c r="H72" s="17"/>
      <c r="I72" s="45"/>
    </row>
    <row r="73" spans="1:12">
      <c r="I73" s="45"/>
    </row>
    <row r="74" spans="1:12">
      <c r="H74" s="213"/>
    </row>
  </sheetData>
  <mergeCells count="3">
    <mergeCell ref="B30:I31"/>
    <mergeCell ref="G32:I32"/>
    <mergeCell ref="G35:I35"/>
  </mergeCells>
  <printOptions horizontalCentered="1"/>
  <pageMargins left="1" right="1" top="1" bottom="1" header="0.5" footer="0.5"/>
  <pageSetup scale="63" fitToHeight="0" orientation="landscape" r:id="rId1"/>
  <headerFooter>
    <oddHeader>&amp;C&amp;"-,Bold"&amp;12Pacific Gas and Electric Company
Formula Rate Model
Schedule 13-WorkCap</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N126"/>
  <sheetViews>
    <sheetView view="pageBreakPreview" zoomScale="70" zoomScaleNormal="70" zoomScaleSheetLayoutView="70" zoomScalePageLayoutView="55" workbookViewId="0">
      <selection activeCell="G13" sqref="G13"/>
    </sheetView>
  </sheetViews>
  <sheetFormatPr defaultColWidth="9.140625" defaultRowHeight="15"/>
  <cols>
    <col min="1" max="1" width="6.7109375" style="12" bestFit="1" customWidth="1"/>
    <col min="2" max="2" width="9.5703125" style="12" customWidth="1"/>
    <col min="3" max="3" width="48.42578125" style="12" customWidth="1"/>
    <col min="4" max="4" width="25.140625" style="12" customWidth="1"/>
    <col min="5" max="5" width="28.28515625" style="12" customWidth="1"/>
    <col min="6" max="6" width="30.140625" style="12" customWidth="1"/>
    <col min="7" max="7" width="25.28515625" style="12" customWidth="1"/>
    <col min="8" max="8" width="22.28515625" style="12" customWidth="1"/>
    <col min="9" max="9" width="53.5703125" style="12" bestFit="1" customWidth="1"/>
    <col min="10" max="10" width="34.7109375" style="12" customWidth="1"/>
    <col min="11" max="11" width="19.28515625" style="24" bestFit="1" customWidth="1"/>
    <col min="12" max="12" width="15" style="12" customWidth="1"/>
    <col min="13" max="13" width="18.7109375" style="12" customWidth="1"/>
    <col min="14" max="16" width="9.140625" style="12"/>
    <col min="17" max="17" width="11.42578125" style="12" bestFit="1" customWidth="1"/>
    <col min="18" max="16384" width="9.140625" style="12"/>
  </cols>
  <sheetData>
    <row r="1" spans="1:14">
      <c r="B1" s="7" t="s">
        <v>341</v>
      </c>
      <c r="C1" s="24"/>
      <c r="D1" s="24"/>
      <c r="E1" s="24"/>
      <c r="F1" s="24"/>
      <c r="G1" s="24"/>
      <c r="H1" s="24"/>
      <c r="I1" s="6"/>
      <c r="M1" s="8" t="str">
        <f>CONCATENATE("Prior Year: ",'1-DRR'!$K$2)</f>
        <v>Prior Year: 2021</v>
      </c>
      <c r="N1" s="173"/>
    </row>
    <row r="2" spans="1:14">
      <c r="B2" s="106" t="s">
        <v>122</v>
      </c>
      <c r="C2" s="214"/>
      <c r="D2" s="24"/>
      <c r="E2" s="24"/>
      <c r="F2" s="24"/>
      <c r="G2" s="24"/>
      <c r="H2" s="24"/>
      <c r="I2" s="6"/>
      <c r="J2" s="8"/>
      <c r="N2" s="173"/>
    </row>
    <row r="3" spans="1:14">
      <c r="B3" s="168" t="s">
        <v>1605</v>
      </c>
      <c r="C3" s="155"/>
      <c r="D3" s="155"/>
      <c r="J3" s="24"/>
      <c r="N3" s="173"/>
    </row>
    <row r="4" spans="1:14">
      <c r="B4" s="158" t="s">
        <v>342</v>
      </c>
      <c r="C4" s="159"/>
      <c r="D4" s="159"/>
      <c r="E4" s="62"/>
      <c r="F4" s="62"/>
      <c r="G4" s="62"/>
      <c r="H4" s="62"/>
      <c r="I4" s="62"/>
      <c r="J4" s="62"/>
      <c r="K4" s="62"/>
      <c r="L4" s="62"/>
      <c r="M4" s="62"/>
      <c r="N4" s="173"/>
    </row>
    <row r="5" spans="1:14">
      <c r="B5" s="215" t="s">
        <v>343</v>
      </c>
      <c r="C5" s="155"/>
      <c r="D5" s="155"/>
      <c r="J5" s="24"/>
      <c r="N5" s="173"/>
    </row>
    <row r="6" spans="1:14">
      <c r="B6" s="156"/>
      <c r="C6" s="112" t="s">
        <v>62</v>
      </c>
      <c r="D6" s="112" t="s">
        <v>63</v>
      </c>
      <c r="E6" s="112" t="s">
        <v>64</v>
      </c>
      <c r="J6" s="24"/>
      <c r="N6" s="173"/>
    </row>
    <row r="7" spans="1:14">
      <c r="C7" s="155"/>
      <c r="J7" s="24"/>
      <c r="N7" s="173"/>
    </row>
    <row r="8" spans="1:14">
      <c r="A8" s="109" t="s">
        <v>86</v>
      </c>
      <c r="B8" s="156"/>
      <c r="C8" s="170" t="s">
        <v>344</v>
      </c>
      <c r="D8" s="145" t="s">
        <v>1602</v>
      </c>
      <c r="E8" s="3" t="s">
        <v>38</v>
      </c>
      <c r="J8" s="24"/>
      <c r="N8" s="109" t="str">
        <f t="shared" ref="N8:N13" si="0">A8</f>
        <v>Line</v>
      </c>
    </row>
    <row r="9" spans="1:14">
      <c r="A9" s="141">
        <v>100</v>
      </c>
      <c r="B9" s="156"/>
      <c r="C9" s="13" t="s">
        <v>345</v>
      </c>
      <c r="D9" s="347">
        <f>+D41</f>
        <v>775790717.45761204</v>
      </c>
      <c r="E9" s="14" t="str">
        <f>"Line "&amp;A41&amp;", Col. 2"</f>
        <v>Line 212, Col. 2</v>
      </c>
      <c r="J9" s="24"/>
      <c r="N9" s="176">
        <f t="shared" si="0"/>
        <v>100</v>
      </c>
    </row>
    <row r="10" spans="1:14">
      <c r="A10" s="141">
        <f>A9+1</f>
        <v>101</v>
      </c>
      <c r="B10" s="156"/>
      <c r="C10" s="13" t="s">
        <v>346</v>
      </c>
      <c r="D10" s="347">
        <f>+D60</f>
        <v>-3622736505.5554495</v>
      </c>
      <c r="E10" s="14" t="str">
        <f>"Line "&amp;A60&amp;", Col. 2"</f>
        <v>Line 309, Col. 2</v>
      </c>
      <c r="J10" s="24"/>
      <c r="N10" s="176">
        <f t="shared" si="0"/>
        <v>101</v>
      </c>
    </row>
    <row r="11" spans="1:14">
      <c r="A11" s="141">
        <f>A10+1</f>
        <v>102</v>
      </c>
      <c r="B11" s="156"/>
      <c r="C11" s="13" t="s">
        <v>347</v>
      </c>
      <c r="D11" s="347">
        <f>+D79</f>
        <v>0</v>
      </c>
      <c r="E11" s="14" t="str">
        <f>"Line "&amp;A79&amp;", Col. 2"</f>
        <v>Line 406, Col. 2</v>
      </c>
      <c r="I11" s="216"/>
      <c r="J11" s="24"/>
      <c r="N11" s="176">
        <f t="shared" si="0"/>
        <v>102</v>
      </c>
    </row>
    <row r="12" spans="1:14">
      <c r="A12" s="141">
        <f>A11+1</f>
        <v>103</v>
      </c>
      <c r="B12" s="156"/>
      <c r="C12" s="13" t="s">
        <v>348</v>
      </c>
      <c r="D12" s="347">
        <f>+D95</f>
        <v>-23703529.575827047</v>
      </c>
      <c r="E12" s="14" t="str">
        <f>"Line "&amp;A95&amp;", Col. 2"</f>
        <v>Line 506, Col. 2</v>
      </c>
      <c r="I12" s="216"/>
      <c r="J12" s="24"/>
      <c r="N12" s="176">
        <f t="shared" si="0"/>
        <v>103</v>
      </c>
    </row>
    <row r="13" spans="1:14">
      <c r="A13" s="141">
        <f>A12+1</f>
        <v>104</v>
      </c>
      <c r="B13" s="156"/>
      <c r="C13" s="13" t="s">
        <v>349</v>
      </c>
      <c r="D13" s="871">
        <f>SUM(D9:D12)</f>
        <v>-2870649317.6736646</v>
      </c>
      <c r="E13" s="217" t="str">
        <f>"Sum of Lines "&amp;A9&amp;" to "&amp;A12&amp;""</f>
        <v>Sum of Lines 100 to 103</v>
      </c>
      <c r="F13" s="46"/>
      <c r="J13" s="24"/>
      <c r="N13" s="176">
        <f t="shared" si="0"/>
        <v>104</v>
      </c>
    </row>
    <row r="14" spans="1:14">
      <c r="A14" s="141"/>
      <c r="B14" s="156"/>
      <c r="D14" s="24"/>
      <c r="E14" s="24"/>
      <c r="G14" s="218"/>
      <c r="H14" s="211"/>
      <c r="I14" s="216"/>
      <c r="J14" s="24"/>
      <c r="N14" s="176"/>
    </row>
    <row r="15" spans="1:14">
      <c r="A15" s="141"/>
      <c r="B15" s="215" t="s">
        <v>350</v>
      </c>
      <c r="E15" s="24"/>
      <c r="G15" s="216"/>
      <c r="H15" s="219"/>
      <c r="I15" s="216"/>
      <c r="J15" s="24"/>
      <c r="N15" s="176"/>
    </row>
    <row r="16" spans="1:14">
      <c r="A16" s="141"/>
      <c r="B16" s="156"/>
      <c r="D16" s="145" t="s">
        <v>351</v>
      </c>
      <c r="E16" s="3" t="s">
        <v>38</v>
      </c>
      <c r="G16" s="220"/>
      <c r="H16" s="216"/>
      <c r="I16" s="216"/>
      <c r="J16" s="24"/>
      <c r="N16" s="176"/>
    </row>
    <row r="17" spans="1:14" ht="15.75" thickBot="1">
      <c r="A17" s="141">
        <f>A13+1</f>
        <v>105</v>
      </c>
      <c r="B17" s="156"/>
      <c r="C17" s="13" t="s">
        <v>349</v>
      </c>
      <c r="D17" s="948">
        <v>-2930469780.5325403</v>
      </c>
      <c r="E17" s="221" t="s">
        <v>744</v>
      </c>
      <c r="G17" s="949"/>
      <c r="H17" s="216"/>
      <c r="I17" s="216"/>
      <c r="J17" s="24"/>
      <c r="N17" s="176">
        <f>A17</f>
        <v>105</v>
      </c>
    </row>
    <row r="18" spans="1:14" ht="15.75" thickTop="1">
      <c r="A18" s="141"/>
      <c r="B18" s="156"/>
      <c r="D18" s="24"/>
      <c r="E18" s="24"/>
      <c r="F18" s="216"/>
      <c r="G18" s="216"/>
      <c r="H18" s="216"/>
      <c r="I18" s="216"/>
      <c r="J18" s="24"/>
      <c r="N18" s="176"/>
    </row>
    <row r="19" spans="1:14">
      <c r="A19" s="141"/>
      <c r="B19" s="215" t="s">
        <v>352</v>
      </c>
      <c r="D19" s="24"/>
      <c r="E19" s="24"/>
      <c r="F19" s="216"/>
      <c r="G19" s="216"/>
      <c r="H19" s="216"/>
      <c r="I19" s="216"/>
      <c r="J19" s="24"/>
      <c r="N19" s="176"/>
    </row>
    <row r="20" spans="1:14">
      <c r="A20" s="141"/>
      <c r="B20" s="155"/>
      <c r="D20" s="145" t="s">
        <v>353</v>
      </c>
      <c r="E20" s="3" t="s">
        <v>38</v>
      </c>
      <c r="G20" s="220"/>
      <c r="J20" s="24"/>
      <c r="N20" s="176"/>
    </row>
    <row r="21" spans="1:14">
      <c r="A21" s="141">
        <f>A17+1</f>
        <v>106</v>
      </c>
      <c r="B21" s="155"/>
      <c r="C21" s="222" t="s">
        <v>354</v>
      </c>
      <c r="D21" s="362">
        <f>J120</f>
        <v>-2902758429.1305637</v>
      </c>
      <c r="E21" s="14" t="str">
        <f>"Line "&amp;A120&amp;", Col. 8"</f>
        <v>Line 614, Col. 8</v>
      </c>
      <c r="G21" s="216"/>
      <c r="J21" s="24"/>
      <c r="N21" s="176">
        <f>A21</f>
        <v>106</v>
      </c>
    </row>
    <row r="22" spans="1:14">
      <c r="A22" s="141"/>
      <c r="B22" s="155"/>
      <c r="C22" s="223"/>
      <c r="D22" s="224"/>
      <c r="J22" s="24"/>
      <c r="N22" s="176"/>
    </row>
    <row r="23" spans="1:14">
      <c r="A23" s="141"/>
      <c r="B23" s="834" t="s">
        <v>1613</v>
      </c>
      <c r="C23" s="225"/>
      <c r="D23" s="226"/>
      <c r="E23" s="62"/>
      <c r="F23" s="62"/>
      <c r="G23" s="62"/>
      <c r="H23" s="62"/>
      <c r="I23" s="62"/>
      <c r="J23" s="62"/>
      <c r="K23" s="62"/>
      <c r="L23" s="62"/>
      <c r="M23" s="62"/>
      <c r="N23" s="38"/>
    </row>
    <row r="24" spans="1:14">
      <c r="A24" s="141"/>
      <c r="B24" s="156"/>
      <c r="C24" s="112" t="s">
        <v>62</v>
      </c>
      <c r="D24" s="112" t="s">
        <v>63</v>
      </c>
      <c r="E24" s="112" t="s">
        <v>64</v>
      </c>
      <c r="F24" s="112" t="s">
        <v>65</v>
      </c>
      <c r="G24" s="112" t="s">
        <v>66</v>
      </c>
      <c r="H24" s="112" t="s">
        <v>67</v>
      </c>
      <c r="I24" s="112" t="s">
        <v>68</v>
      </c>
      <c r="J24" s="24"/>
      <c r="N24" s="38"/>
    </row>
    <row r="25" spans="1:14">
      <c r="A25" s="26"/>
      <c r="B25" s="166"/>
      <c r="C25" s="166"/>
      <c r="D25" s="166" t="s">
        <v>726</v>
      </c>
      <c r="E25" s="166" t="s">
        <v>355</v>
      </c>
      <c r="F25" s="166"/>
      <c r="G25" s="166" t="s">
        <v>1607</v>
      </c>
      <c r="H25" s="166" t="s">
        <v>1608</v>
      </c>
      <c r="I25" s="227"/>
      <c r="J25" s="24"/>
      <c r="N25" s="38"/>
    </row>
    <row r="26" spans="1:14">
      <c r="A26" s="109" t="s">
        <v>86</v>
      </c>
      <c r="B26" s="228" t="s">
        <v>357</v>
      </c>
      <c r="C26" s="228" t="s">
        <v>358</v>
      </c>
      <c r="D26" s="228" t="s">
        <v>725</v>
      </c>
      <c r="E26" s="229" t="s">
        <v>359</v>
      </c>
      <c r="F26" s="229" t="s">
        <v>1284</v>
      </c>
      <c r="G26" s="228" t="s">
        <v>112</v>
      </c>
      <c r="H26" s="228" t="s">
        <v>112</v>
      </c>
      <c r="I26" s="228" t="s">
        <v>91</v>
      </c>
      <c r="J26" s="230" t="s">
        <v>158</v>
      </c>
      <c r="N26" s="109" t="str">
        <f>A26</f>
        <v>Line</v>
      </c>
    </row>
    <row r="27" spans="1:14">
      <c r="A27" s="141"/>
      <c r="B27" s="155" t="s">
        <v>362</v>
      </c>
      <c r="C27" s="155"/>
      <c r="D27" s="155"/>
      <c r="J27" s="24"/>
      <c r="N27" s="11"/>
    </row>
    <row r="28" spans="1:14">
      <c r="A28" s="124">
        <v>200</v>
      </c>
      <c r="B28" s="231">
        <v>190</v>
      </c>
      <c r="C28" s="214" t="s">
        <v>1772</v>
      </c>
      <c r="D28" s="395">
        <f t="shared" ref="D28:D37" si="1">SUM(E28:H28)</f>
        <v>-219094425</v>
      </c>
      <c r="E28" s="348">
        <v>-219094425</v>
      </c>
      <c r="F28" s="302"/>
      <c r="G28" s="349"/>
      <c r="H28" s="349"/>
      <c r="I28" s="232" t="s">
        <v>1780</v>
      </c>
      <c r="J28" s="221" t="s">
        <v>730</v>
      </c>
      <c r="N28" s="11">
        <f t="shared" ref="N28:N37" si="2">A28</f>
        <v>200</v>
      </c>
    </row>
    <row r="29" spans="1:14">
      <c r="A29" s="124">
        <f t="shared" ref="A29:A37" si="3">A28+1</f>
        <v>201</v>
      </c>
      <c r="B29" s="231">
        <v>190</v>
      </c>
      <c r="C29" s="214" t="s">
        <v>1773</v>
      </c>
      <c r="D29" s="395">
        <f t="shared" si="1"/>
        <v>72055771</v>
      </c>
      <c r="E29" s="348">
        <v>72055771</v>
      </c>
      <c r="F29" s="302"/>
      <c r="G29" s="349"/>
      <c r="H29" s="349"/>
      <c r="I29" s="232" t="s">
        <v>1780</v>
      </c>
      <c r="J29" s="221" t="s">
        <v>731</v>
      </c>
      <c r="N29" s="11">
        <f t="shared" si="2"/>
        <v>201</v>
      </c>
    </row>
    <row r="30" spans="1:14">
      <c r="A30" s="124">
        <f t="shared" si="3"/>
        <v>202</v>
      </c>
      <c r="B30" s="231">
        <v>190</v>
      </c>
      <c r="C30" s="214" t="s">
        <v>1774</v>
      </c>
      <c r="D30" s="395">
        <f t="shared" si="1"/>
        <v>46370272</v>
      </c>
      <c r="E30" s="348">
        <v>13693729</v>
      </c>
      <c r="F30" s="302"/>
      <c r="G30" s="349"/>
      <c r="H30" s="349">
        <v>32676543</v>
      </c>
      <c r="I30" s="233" t="s">
        <v>1781</v>
      </c>
      <c r="J30" s="221" t="s">
        <v>732</v>
      </c>
      <c r="N30" s="11">
        <f t="shared" si="2"/>
        <v>202</v>
      </c>
    </row>
    <row r="31" spans="1:14">
      <c r="A31" s="124">
        <f t="shared" si="3"/>
        <v>203</v>
      </c>
      <c r="B31" s="231">
        <v>190</v>
      </c>
      <c r="C31" s="214" t="s">
        <v>1775</v>
      </c>
      <c r="D31" s="395">
        <f t="shared" si="1"/>
        <v>57294848</v>
      </c>
      <c r="E31" s="348">
        <v>57294848</v>
      </c>
      <c r="F31" s="349"/>
      <c r="G31" s="349"/>
      <c r="H31" s="349"/>
      <c r="I31" s="232" t="s">
        <v>1780</v>
      </c>
      <c r="J31" s="221" t="s">
        <v>733</v>
      </c>
      <c r="N31" s="11">
        <f t="shared" si="2"/>
        <v>203</v>
      </c>
    </row>
    <row r="32" spans="1:14">
      <c r="A32" s="124">
        <f t="shared" si="3"/>
        <v>204</v>
      </c>
      <c r="B32" s="231">
        <v>190</v>
      </c>
      <c r="C32" s="214" t="s">
        <v>363</v>
      </c>
      <c r="D32" s="395">
        <f t="shared" si="1"/>
        <v>1559521843</v>
      </c>
      <c r="E32" s="348">
        <v>1559521843</v>
      </c>
      <c r="F32" s="302"/>
      <c r="G32" s="349"/>
      <c r="H32" s="349"/>
      <c r="I32" s="232" t="s">
        <v>1780</v>
      </c>
      <c r="J32" s="221" t="s">
        <v>734</v>
      </c>
      <c r="N32" s="11">
        <f t="shared" si="2"/>
        <v>204</v>
      </c>
    </row>
    <row r="33" spans="1:14" ht="15.75" customHeight="1">
      <c r="A33" s="124">
        <f t="shared" si="3"/>
        <v>205</v>
      </c>
      <c r="B33" s="231">
        <v>190</v>
      </c>
      <c r="C33" s="214" t="s">
        <v>1776</v>
      </c>
      <c r="D33" s="395">
        <f t="shared" si="1"/>
        <v>-244848194</v>
      </c>
      <c r="E33" s="348">
        <v>-275368549</v>
      </c>
      <c r="F33" s="429"/>
      <c r="G33" s="371">
        <v>30520355</v>
      </c>
      <c r="H33" s="349"/>
      <c r="I33" s="233" t="s">
        <v>1781</v>
      </c>
      <c r="J33" s="221" t="s">
        <v>735</v>
      </c>
      <c r="N33" s="11">
        <f t="shared" si="2"/>
        <v>205</v>
      </c>
    </row>
    <row r="34" spans="1:14">
      <c r="A34" s="124">
        <f t="shared" si="3"/>
        <v>206</v>
      </c>
      <c r="B34" s="231">
        <v>190</v>
      </c>
      <c r="C34" s="214" t="s">
        <v>1777</v>
      </c>
      <c r="D34" s="395">
        <f t="shared" si="1"/>
        <v>5694993263</v>
      </c>
      <c r="E34" s="348">
        <f>5694993263-F34</f>
        <v>4920808490.1975555</v>
      </c>
      <c r="F34" s="947">
        <v>774184772.80244398</v>
      </c>
      <c r="G34" s="349"/>
      <c r="H34" s="349"/>
      <c r="I34" s="233" t="s">
        <v>1782</v>
      </c>
      <c r="J34" s="221" t="s">
        <v>778</v>
      </c>
      <c r="N34" s="11">
        <f t="shared" si="2"/>
        <v>206</v>
      </c>
    </row>
    <row r="35" spans="1:14">
      <c r="A35" s="124">
        <f t="shared" si="3"/>
        <v>207</v>
      </c>
      <c r="B35" s="231">
        <v>190</v>
      </c>
      <c r="C35" s="214" t="s">
        <v>1778</v>
      </c>
      <c r="D35" s="395">
        <f t="shared" si="1"/>
        <v>0</v>
      </c>
      <c r="E35" s="348">
        <v>0</v>
      </c>
      <c r="F35" s="302"/>
      <c r="G35" s="349"/>
      <c r="H35" s="349"/>
      <c r="I35" s="233" t="s">
        <v>1781</v>
      </c>
      <c r="J35" s="221" t="s">
        <v>736</v>
      </c>
      <c r="N35" s="11">
        <f t="shared" si="2"/>
        <v>207</v>
      </c>
    </row>
    <row r="36" spans="1:14">
      <c r="A36" s="124">
        <f t="shared" si="3"/>
        <v>208</v>
      </c>
      <c r="B36" s="231">
        <v>190</v>
      </c>
      <c r="C36" s="214" t="s">
        <v>1760</v>
      </c>
      <c r="D36" s="395">
        <f t="shared" si="1"/>
        <v>-71624223</v>
      </c>
      <c r="E36" s="348">
        <v>-18188079</v>
      </c>
      <c r="F36" s="302"/>
      <c r="G36" s="349">
        <v>-53436144</v>
      </c>
      <c r="H36" s="349"/>
      <c r="I36" s="233" t="s">
        <v>1781</v>
      </c>
      <c r="J36" s="221" t="s">
        <v>737</v>
      </c>
      <c r="N36" s="11">
        <f t="shared" si="2"/>
        <v>208</v>
      </c>
    </row>
    <row r="37" spans="1:14">
      <c r="A37" s="124">
        <f t="shared" si="3"/>
        <v>209</v>
      </c>
      <c r="B37" s="231">
        <v>190</v>
      </c>
      <c r="C37" s="214" t="s">
        <v>1779</v>
      </c>
      <c r="D37" s="395">
        <f t="shared" si="1"/>
        <v>1805629311</v>
      </c>
      <c r="E37" s="348">
        <v>1805629311</v>
      </c>
      <c r="F37" s="302"/>
      <c r="G37" s="349"/>
      <c r="H37" s="349"/>
      <c r="I37" s="232" t="s">
        <v>1780</v>
      </c>
      <c r="J37" s="221" t="s">
        <v>738</v>
      </c>
      <c r="N37" s="11">
        <f t="shared" si="2"/>
        <v>209</v>
      </c>
    </row>
    <row r="38" spans="1:14">
      <c r="A38" s="124"/>
      <c r="B38" s="234"/>
      <c r="C38" s="155"/>
      <c r="D38" s="162"/>
      <c r="E38" s="36"/>
      <c r="F38" s="36"/>
      <c r="G38" s="36"/>
      <c r="H38" s="36"/>
      <c r="I38" s="3"/>
      <c r="J38" s="24"/>
      <c r="N38" s="11"/>
    </row>
    <row r="39" spans="1:14">
      <c r="A39" s="124">
        <f>+A37+1</f>
        <v>210</v>
      </c>
      <c r="B39" s="155"/>
      <c r="C39" s="155" t="s">
        <v>364</v>
      </c>
      <c r="D39" s="350">
        <f>SUM(D28:D37)</f>
        <v>8700298466</v>
      </c>
      <c r="E39" s="350">
        <f>SUM(E28:E37)</f>
        <v>7916352939.1975555</v>
      </c>
      <c r="F39" s="351">
        <f>SUM(F28:F37)</f>
        <v>774184772.80244398</v>
      </c>
      <c r="G39" s="351">
        <f>SUM(G28:G37)</f>
        <v>-22915789</v>
      </c>
      <c r="H39" s="351">
        <f>SUM(H28:H37)</f>
        <v>32676543</v>
      </c>
      <c r="I39" s="211" t="str">
        <f>"Sum of Above Lines beginning on Line "&amp;A28&amp;""</f>
        <v>Sum of Above Lines beginning on Line 200</v>
      </c>
      <c r="J39" s="24"/>
      <c r="N39" s="11">
        <f>A39</f>
        <v>210</v>
      </c>
    </row>
    <row r="40" spans="1:14">
      <c r="A40" s="177">
        <f>A39+1</f>
        <v>211</v>
      </c>
      <c r="B40" s="155"/>
      <c r="C40" s="155" t="s">
        <v>365</v>
      </c>
      <c r="D40" s="236"/>
      <c r="E40" s="236"/>
      <c r="F40" s="236"/>
      <c r="G40" s="264">
        <f>'24-Allocators'!C33</f>
        <v>0.55218181770616925</v>
      </c>
      <c r="H40" s="264">
        <f>'24-Allocators'!C23</f>
        <v>0.43638724816634106</v>
      </c>
      <c r="I40" s="237" t="s">
        <v>720</v>
      </c>
      <c r="J40" s="24"/>
      <c r="N40" s="11">
        <f>A40</f>
        <v>211</v>
      </c>
    </row>
    <row r="41" spans="1:14">
      <c r="A41" s="177">
        <f>+A40+1</f>
        <v>212</v>
      </c>
      <c r="B41" s="155"/>
      <c r="C41" s="156" t="s">
        <v>366</v>
      </c>
      <c r="D41" s="421">
        <f>SUM(F41:H41)</f>
        <v>775790717.45761204</v>
      </c>
      <c r="E41" s="351"/>
      <c r="F41" s="352">
        <f>+F39</f>
        <v>774184772.80244398</v>
      </c>
      <c r="G41" s="352">
        <f>+G39*G40</f>
        <v>-12653682.024191039</v>
      </c>
      <c r="H41" s="352">
        <f>+H39*H40</f>
        <v>14259626.679359114</v>
      </c>
      <c r="I41" s="239" t="str">
        <f>CONCATENATE("Line ",A39," * ","Line ",A40," for Cols 5 and 6")</f>
        <v>Line 210 * Line 211 for Cols 5 and 6</v>
      </c>
      <c r="J41" s="24"/>
      <c r="N41" s="11">
        <f>A41</f>
        <v>212</v>
      </c>
    </row>
    <row r="42" spans="1:14">
      <c r="A42" s="177"/>
      <c r="B42" s="155"/>
      <c r="C42" s="240" t="s">
        <v>367</v>
      </c>
      <c r="D42" s="236"/>
      <c r="E42" s="236"/>
      <c r="F42" s="236"/>
      <c r="G42" s="236"/>
      <c r="H42" s="236"/>
      <c r="I42" s="239"/>
      <c r="J42" s="24"/>
      <c r="N42" s="11"/>
    </row>
    <row r="43" spans="1:14">
      <c r="A43" s="177"/>
      <c r="B43" s="155"/>
      <c r="C43" s="155"/>
      <c r="D43" s="236"/>
      <c r="E43" s="236"/>
      <c r="F43" s="236"/>
      <c r="G43" s="236"/>
      <c r="H43" s="236"/>
      <c r="I43" s="239"/>
      <c r="J43" s="24"/>
      <c r="N43" s="11"/>
    </row>
    <row r="44" spans="1:14">
      <c r="A44" s="177">
        <f>+A41+1</f>
        <v>213</v>
      </c>
      <c r="B44" s="155"/>
      <c r="C44" s="155" t="s">
        <v>368</v>
      </c>
      <c r="D44" s="353">
        <v>8700298466</v>
      </c>
      <c r="E44" s="241" t="str">
        <f>CONCATENATE("Must match amount on Line ",A39," ",D24)</f>
        <v>Must match amount on Line 210 Col 2</v>
      </c>
      <c r="G44" s="236"/>
      <c r="H44" s="236"/>
      <c r="J44" s="373" t="s">
        <v>721</v>
      </c>
      <c r="N44" s="11">
        <f>A44</f>
        <v>213</v>
      </c>
    </row>
    <row r="45" spans="1:14">
      <c r="A45" s="124"/>
      <c r="B45" s="155"/>
      <c r="C45" s="155"/>
      <c r="D45" s="242"/>
      <c r="E45" s="242"/>
      <c r="F45" s="242"/>
      <c r="G45" s="242"/>
      <c r="H45" s="242"/>
      <c r="I45" s="179"/>
      <c r="J45" s="24"/>
      <c r="N45" s="11"/>
    </row>
    <row r="46" spans="1:14">
      <c r="A46" s="148"/>
      <c r="B46" s="834" t="s">
        <v>1614</v>
      </c>
      <c r="C46" s="243"/>
      <c r="D46" s="244"/>
      <c r="E46" s="62"/>
      <c r="F46" s="62"/>
      <c r="G46" s="62"/>
      <c r="H46" s="62"/>
      <c r="I46" s="62"/>
      <c r="J46" s="62"/>
      <c r="K46" s="62"/>
      <c r="L46" s="62"/>
      <c r="M46" s="62"/>
      <c r="N46" s="69"/>
    </row>
    <row r="47" spans="1:14">
      <c r="A47" s="148"/>
      <c r="C47" s="112" t="s">
        <v>62</v>
      </c>
      <c r="D47" s="112" t="s">
        <v>63</v>
      </c>
      <c r="E47" s="112" t="s">
        <v>64</v>
      </c>
      <c r="F47" s="112" t="s">
        <v>65</v>
      </c>
      <c r="G47" s="112" t="s">
        <v>66</v>
      </c>
      <c r="H47" s="112" t="s">
        <v>67</v>
      </c>
      <c r="I47" s="112" t="s">
        <v>68</v>
      </c>
      <c r="J47" s="24"/>
      <c r="N47" s="69"/>
    </row>
    <row r="48" spans="1:14">
      <c r="A48" s="148"/>
      <c r="B48" s="166"/>
      <c r="C48" s="166"/>
      <c r="D48" s="166" t="s">
        <v>726</v>
      </c>
      <c r="E48" s="166" t="s">
        <v>355</v>
      </c>
      <c r="F48" s="166"/>
      <c r="G48" s="166" t="s">
        <v>360</v>
      </c>
      <c r="H48" s="166" t="s">
        <v>356</v>
      </c>
      <c r="I48" s="227"/>
      <c r="J48" s="24"/>
      <c r="N48" s="69"/>
    </row>
    <row r="49" spans="1:14">
      <c r="A49" s="145" t="s">
        <v>86</v>
      </c>
      <c r="B49" s="228" t="s">
        <v>369</v>
      </c>
      <c r="C49" s="228" t="s">
        <v>358</v>
      </c>
      <c r="D49" s="228" t="s">
        <v>725</v>
      </c>
      <c r="E49" s="228" t="s">
        <v>359</v>
      </c>
      <c r="F49" s="229" t="s">
        <v>1284</v>
      </c>
      <c r="G49" s="228" t="s">
        <v>127</v>
      </c>
      <c r="H49" s="228" t="s">
        <v>361</v>
      </c>
      <c r="I49" s="228" t="s">
        <v>91</v>
      </c>
      <c r="J49" s="24"/>
      <c r="N49" s="109" t="str">
        <f t="shared" ref="N49:N56" si="4">A49</f>
        <v>Line</v>
      </c>
    </row>
    <row r="50" spans="1:14">
      <c r="A50" s="124">
        <v>300</v>
      </c>
      <c r="B50" s="245">
        <v>282</v>
      </c>
      <c r="C50" s="79" t="s">
        <v>1783</v>
      </c>
      <c r="D50" s="396">
        <f t="shared" ref="D50:D55" si="5">SUM(E50:H50)</f>
        <v>-3425232153</v>
      </c>
      <c r="E50" s="349"/>
      <c r="F50" s="349">
        <v>-3425232153</v>
      </c>
      <c r="G50" s="349"/>
      <c r="H50" s="349"/>
      <c r="I50" s="233" t="s">
        <v>1782</v>
      </c>
      <c r="J50" s="221" t="s">
        <v>739</v>
      </c>
      <c r="N50" s="11">
        <f t="shared" si="4"/>
        <v>300</v>
      </c>
    </row>
    <row r="51" spans="1:14">
      <c r="A51" s="124">
        <f t="shared" ref="A51:A56" si="6">A50+1</f>
        <v>301</v>
      </c>
      <c r="B51" s="245">
        <v>282</v>
      </c>
      <c r="C51" s="246" t="s">
        <v>1784</v>
      </c>
      <c r="D51" s="396">
        <f t="shared" si="5"/>
        <v>-5906703235</v>
      </c>
      <c r="E51" s="349">
        <v>-5906703235</v>
      </c>
      <c r="F51" s="349"/>
      <c r="G51" s="349"/>
      <c r="H51" s="349"/>
      <c r="I51" s="233" t="s">
        <v>1788</v>
      </c>
      <c r="J51" s="221"/>
      <c r="N51" s="11">
        <f t="shared" si="4"/>
        <v>301</v>
      </c>
    </row>
    <row r="52" spans="1:14">
      <c r="A52" s="124">
        <f t="shared" si="6"/>
        <v>302</v>
      </c>
      <c r="B52" s="245">
        <v>282</v>
      </c>
      <c r="C52" s="79" t="s">
        <v>1785</v>
      </c>
      <c r="D52" s="396">
        <f t="shared" si="5"/>
        <v>-481179946</v>
      </c>
      <c r="E52" s="349"/>
      <c r="F52" s="349"/>
      <c r="G52" s="349">
        <v>-481179946</v>
      </c>
      <c r="H52" s="349"/>
      <c r="I52" s="233" t="s">
        <v>1789</v>
      </c>
      <c r="J52" s="221"/>
      <c r="N52" s="11">
        <f t="shared" si="4"/>
        <v>302</v>
      </c>
    </row>
    <row r="53" spans="1:14">
      <c r="A53" s="124">
        <f t="shared" si="6"/>
        <v>303</v>
      </c>
      <c r="B53" s="245">
        <v>282</v>
      </c>
      <c r="C53" s="79" t="s">
        <v>1786</v>
      </c>
      <c r="D53" s="396">
        <f t="shared" si="5"/>
        <v>0</v>
      </c>
      <c r="E53" s="349"/>
      <c r="F53" s="349"/>
      <c r="G53" s="349"/>
      <c r="H53" s="349"/>
      <c r="I53" s="233" t="s">
        <v>1789</v>
      </c>
      <c r="J53" s="221"/>
      <c r="N53" s="11">
        <f t="shared" si="4"/>
        <v>303</v>
      </c>
    </row>
    <row r="54" spans="1:14">
      <c r="A54" s="124">
        <f t="shared" si="6"/>
        <v>304</v>
      </c>
      <c r="B54" s="245">
        <v>282</v>
      </c>
      <c r="C54" s="246" t="s">
        <v>1787</v>
      </c>
      <c r="D54" s="396">
        <f t="shared" si="5"/>
        <v>0</v>
      </c>
      <c r="E54" s="349"/>
      <c r="F54" s="349"/>
      <c r="G54" s="349"/>
      <c r="H54" s="349"/>
      <c r="I54" s="233" t="s">
        <v>1782</v>
      </c>
      <c r="J54" s="221" t="s">
        <v>781</v>
      </c>
      <c r="N54" s="11">
        <f t="shared" si="4"/>
        <v>304</v>
      </c>
    </row>
    <row r="55" spans="1:14">
      <c r="A55" s="124">
        <f t="shared" si="6"/>
        <v>305</v>
      </c>
      <c r="B55" s="245">
        <v>282</v>
      </c>
      <c r="C55" s="246" t="s">
        <v>1784</v>
      </c>
      <c r="D55" s="396">
        <f t="shared" si="5"/>
        <v>0</v>
      </c>
      <c r="E55" s="349"/>
      <c r="F55" s="349"/>
      <c r="G55" s="349"/>
      <c r="H55" s="349"/>
      <c r="I55" s="233" t="s">
        <v>1780</v>
      </c>
      <c r="J55" s="221"/>
      <c r="N55" s="11">
        <f t="shared" si="4"/>
        <v>305</v>
      </c>
    </row>
    <row r="56" spans="1:14">
      <c r="A56" s="124">
        <f t="shared" si="6"/>
        <v>306</v>
      </c>
      <c r="B56" s="231" t="s">
        <v>370</v>
      </c>
      <c r="C56" s="247"/>
      <c r="D56" s="350"/>
      <c r="E56" s="302"/>
      <c r="F56" s="302"/>
      <c r="G56" s="302"/>
      <c r="H56" s="302"/>
      <c r="I56" s="63"/>
      <c r="J56" s="24"/>
      <c r="N56" s="11">
        <f t="shared" si="4"/>
        <v>306</v>
      </c>
    </row>
    <row r="57" spans="1:14">
      <c r="A57" s="124"/>
      <c r="B57" s="134"/>
      <c r="C57" s="13"/>
      <c r="D57" s="235"/>
      <c r="E57" s="16"/>
      <c r="F57" s="16"/>
      <c r="G57" s="16"/>
      <c r="H57" s="16"/>
      <c r="I57" s="24"/>
      <c r="J57" s="24"/>
      <c r="N57" s="11"/>
    </row>
    <row r="58" spans="1:14">
      <c r="A58" s="124">
        <f>+A56+1</f>
        <v>307</v>
      </c>
      <c r="B58" s="26"/>
      <c r="C58" s="25" t="s">
        <v>371</v>
      </c>
      <c r="D58" s="351">
        <f>SUM(D50:D56)</f>
        <v>-9813115334</v>
      </c>
      <c r="E58" s="351"/>
      <c r="F58" s="351">
        <f>SUM(F50:F56)</f>
        <v>-3425232153</v>
      </c>
      <c r="G58" s="351">
        <f>SUM(G50:G56)</f>
        <v>-481179946</v>
      </c>
      <c r="H58" s="351">
        <f>SUM(H50:H56)</f>
        <v>0</v>
      </c>
      <c r="I58" s="211" t="str">
        <f>"Sum of Above Lines beginning on Line "&amp;A50&amp;""</f>
        <v>Sum of Above Lines beginning on Line 300</v>
      </c>
      <c r="J58" s="24"/>
      <c r="N58" s="11">
        <f>A58</f>
        <v>307</v>
      </c>
    </row>
    <row r="59" spans="1:14">
      <c r="A59" s="177">
        <f>+A58+1</f>
        <v>308</v>
      </c>
      <c r="B59" s="155"/>
      <c r="C59" s="155" t="s">
        <v>365</v>
      </c>
      <c r="D59" s="236"/>
      <c r="E59" s="236"/>
      <c r="F59" s="236"/>
      <c r="G59" s="872">
        <f>'24-Allocators'!$C$29</f>
        <v>0.4104584037578522</v>
      </c>
      <c r="H59" s="264">
        <f>'24-Allocators'!$C$24</f>
        <v>0.30680154907006396</v>
      </c>
      <c r="I59" s="237" t="s">
        <v>723</v>
      </c>
      <c r="J59" s="24"/>
      <c r="N59" s="11">
        <f>A59</f>
        <v>308</v>
      </c>
    </row>
    <row r="60" spans="1:14">
      <c r="A60" s="177">
        <f>+A59+1</f>
        <v>309</v>
      </c>
      <c r="B60" s="155"/>
      <c r="C60" s="156" t="s">
        <v>372</v>
      </c>
      <c r="D60" s="421">
        <f>SUM(F60:H60)</f>
        <v>-3622736505.5554495</v>
      </c>
      <c r="E60" s="355"/>
      <c r="F60" s="352">
        <f>+F58</f>
        <v>-3425232153</v>
      </c>
      <c r="G60" s="352">
        <f>+G58*G59</f>
        <v>-197504352.55544952</v>
      </c>
      <c r="H60" s="352">
        <f>+H58*H59</f>
        <v>0</v>
      </c>
      <c r="I60" s="239" t="str">
        <f>CONCATENATE("Line ",A58," * ","Line ",A59," for Cols 5 and 6")</f>
        <v>Line 307 * Line 308 for Cols 5 and 6</v>
      </c>
      <c r="J60" s="24"/>
      <c r="N60" s="11">
        <f>A60</f>
        <v>309</v>
      </c>
    </row>
    <row r="61" spans="1:14">
      <c r="A61" s="177"/>
      <c r="B61" s="155"/>
      <c r="C61" s="240" t="s">
        <v>367</v>
      </c>
      <c r="E61" s="236"/>
      <c r="F61" s="236"/>
      <c r="G61" s="236"/>
      <c r="H61" s="236"/>
      <c r="I61" s="239"/>
      <c r="J61" s="24"/>
      <c r="N61" s="11"/>
    </row>
    <row r="62" spans="1:14">
      <c r="A62" s="177"/>
      <c r="B62" s="155"/>
      <c r="D62" s="240"/>
      <c r="E62" s="236"/>
      <c r="F62" s="236"/>
      <c r="G62" s="236"/>
      <c r="H62" s="236"/>
      <c r="I62" s="239"/>
      <c r="J62" s="24"/>
      <c r="N62" s="11"/>
    </row>
    <row r="63" spans="1:14">
      <c r="A63" s="124">
        <f>+A60+1</f>
        <v>310</v>
      </c>
      <c r="B63" s="26"/>
      <c r="C63" s="155" t="s">
        <v>373</v>
      </c>
      <c r="D63" s="751">
        <v>-9813115334</v>
      </c>
      <c r="E63" s="241"/>
      <c r="F63" s="236"/>
      <c r="G63" s="236"/>
      <c r="H63" s="236"/>
      <c r="J63" s="374" t="s">
        <v>722</v>
      </c>
      <c r="N63" s="11">
        <f>A63</f>
        <v>310</v>
      </c>
    </row>
    <row r="64" spans="1:14">
      <c r="A64" s="320">
        <f>A63+1</f>
        <v>311</v>
      </c>
      <c r="B64" s="318"/>
      <c r="C64" s="155" t="s">
        <v>1491</v>
      </c>
      <c r="D64" s="350"/>
      <c r="E64" s="241"/>
      <c r="F64" s="236"/>
      <c r="G64" s="236"/>
      <c r="H64" s="236"/>
      <c r="J64" s="374"/>
      <c r="N64" s="11">
        <f>A64</f>
        <v>311</v>
      </c>
    </row>
    <row r="65" spans="1:14" ht="15.75" thickBot="1">
      <c r="A65" s="320">
        <f>A64+1</f>
        <v>312</v>
      </c>
      <c r="B65" s="318"/>
      <c r="C65" s="155" t="s">
        <v>373</v>
      </c>
      <c r="D65" s="752">
        <f>SUM(D63:D64)</f>
        <v>-9813115334</v>
      </c>
      <c r="E65" s="241" t="str">
        <f>CONCATENATE("Must match amount on Line ",A58," ",D47)</f>
        <v>Must match amount on Line 307 Col 2</v>
      </c>
      <c r="F65" s="236"/>
      <c r="G65" s="236"/>
      <c r="H65" s="236"/>
      <c r="I65" s="179"/>
      <c r="J65" s="24"/>
      <c r="N65" s="11">
        <f>A65</f>
        <v>312</v>
      </c>
    </row>
    <row r="66" spans="1:14" ht="15.75" thickTop="1">
      <c r="A66" s="124"/>
      <c r="B66" s="26"/>
      <c r="C66" s="25"/>
      <c r="D66" s="235"/>
      <c r="E66" s="241"/>
      <c r="F66" s="236"/>
      <c r="G66" s="236"/>
      <c r="H66" s="236"/>
      <c r="I66" s="179"/>
      <c r="J66" s="24"/>
      <c r="N66" s="11"/>
    </row>
    <row r="67" spans="1:14">
      <c r="A67" s="148"/>
      <c r="B67" s="158" t="s">
        <v>374</v>
      </c>
      <c r="C67" s="248"/>
      <c r="D67" s="249"/>
      <c r="E67" s="66"/>
      <c r="F67" s="66"/>
      <c r="G67" s="66"/>
      <c r="H67" s="66"/>
      <c r="I67" s="62"/>
      <c r="J67" s="62"/>
      <c r="K67" s="62"/>
      <c r="L67" s="62"/>
      <c r="M67" s="62"/>
      <c r="N67" s="11"/>
    </row>
    <row r="68" spans="1:14">
      <c r="A68" s="148"/>
      <c r="B68" s="156"/>
      <c r="C68" s="112" t="s">
        <v>62</v>
      </c>
      <c r="D68" s="112" t="s">
        <v>63</v>
      </c>
      <c r="E68" s="112" t="s">
        <v>64</v>
      </c>
      <c r="F68" s="112" t="s">
        <v>65</v>
      </c>
      <c r="G68" s="112" t="s">
        <v>66</v>
      </c>
      <c r="H68" s="112" t="s">
        <v>67</v>
      </c>
      <c r="I68" s="112" t="s">
        <v>68</v>
      </c>
      <c r="J68" s="24"/>
      <c r="N68" s="11"/>
    </row>
    <row r="69" spans="1:14">
      <c r="A69" s="148"/>
      <c r="B69" s="166"/>
      <c r="C69" s="166"/>
      <c r="D69" s="166" t="s">
        <v>726</v>
      </c>
      <c r="E69" s="250" t="s">
        <v>355</v>
      </c>
      <c r="F69" s="250"/>
      <c r="G69" s="250" t="s">
        <v>360</v>
      </c>
      <c r="H69" s="250" t="s">
        <v>1608</v>
      </c>
      <c r="I69" s="227"/>
      <c r="J69" s="24"/>
      <c r="N69" s="11"/>
    </row>
    <row r="70" spans="1:14">
      <c r="A70" s="145" t="s">
        <v>86</v>
      </c>
      <c r="B70" s="228" t="s">
        <v>375</v>
      </c>
      <c r="C70" s="228" t="s">
        <v>358</v>
      </c>
      <c r="D70" s="228" t="s">
        <v>725</v>
      </c>
      <c r="E70" s="251" t="s">
        <v>359</v>
      </c>
      <c r="F70" s="252" t="s">
        <v>1284</v>
      </c>
      <c r="G70" s="826"/>
      <c r="H70" s="826"/>
      <c r="I70" s="228" t="s">
        <v>91</v>
      </c>
      <c r="J70" s="24"/>
      <c r="N70" s="109" t="str">
        <f>A70</f>
        <v>Line</v>
      </c>
    </row>
    <row r="71" spans="1:14">
      <c r="A71" s="124"/>
      <c r="B71" s="155" t="s">
        <v>362</v>
      </c>
      <c r="D71" s="36"/>
      <c r="E71" s="36"/>
      <c r="F71" s="36"/>
      <c r="G71" s="36"/>
      <c r="H71" s="36"/>
      <c r="J71" s="24"/>
      <c r="N71" s="11"/>
    </row>
    <row r="72" spans="1:14">
      <c r="A72" s="124">
        <v>400</v>
      </c>
      <c r="B72" s="245">
        <v>283</v>
      </c>
      <c r="C72" s="246" t="s">
        <v>1790</v>
      </c>
      <c r="D72" s="396">
        <f>SUM(E72:H72)</f>
        <v>-39328848</v>
      </c>
      <c r="E72" s="353">
        <v>-39328848</v>
      </c>
      <c r="F72" s="354"/>
      <c r="G72" s="354"/>
      <c r="H72" s="354"/>
      <c r="I72" s="232" t="s">
        <v>1780</v>
      </c>
      <c r="J72" s="221" t="s">
        <v>799</v>
      </c>
      <c r="N72" s="11">
        <f>A72</f>
        <v>400</v>
      </c>
    </row>
    <row r="73" spans="1:14">
      <c r="A73" s="124">
        <f>A72+1</f>
        <v>401</v>
      </c>
      <c r="B73" s="245">
        <v>283</v>
      </c>
      <c r="C73" s="246" t="s">
        <v>1791</v>
      </c>
      <c r="D73" s="396">
        <f>SUM(E73:H73)</f>
        <v>-2005703135</v>
      </c>
      <c r="E73" s="353">
        <v>-2005703135</v>
      </c>
      <c r="F73" s="354"/>
      <c r="G73" s="354"/>
      <c r="H73" s="354"/>
      <c r="I73" s="232" t="s">
        <v>1792</v>
      </c>
      <c r="J73" s="221" t="s">
        <v>800</v>
      </c>
      <c r="N73" s="11">
        <f>A73</f>
        <v>401</v>
      </c>
    </row>
    <row r="74" spans="1:14">
      <c r="A74" s="124">
        <f>A73+1</f>
        <v>402</v>
      </c>
      <c r="B74" s="245">
        <v>283</v>
      </c>
      <c r="C74" s="246" t="s">
        <v>1779</v>
      </c>
      <c r="D74" s="396">
        <f>SUM(E74:H74)</f>
        <v>-365098002</v>
      </c>
      <c r="E74" s="353">
        <v>-365098002</v>
      </c>
      <c r="F74" s="354"/>
      <c r="G74" s="354"/>
      <c r="H74" s="354"/>
      <c r="I74" s="232" t="s">
        <v>1780</v>
      </c>
      <c r="J74" s="221" t="s">
        <v>801</v>
      </c>
      <c r="N74" s="11">
        <f>A74</f>
        <v>402</v>
      </c>
    </row>
    <row r="75" spans="1:14">
      <c r="A75" s="124">
        <f>A74+1</f>
        <v>403</v>
      </c>
      <c r="B75" s="245"/>
      <c r="C75" s="246"/>
      <c r="D75" s="396"/>
      <c r="E75" s="354"/>
      <c r="F75" s="354"/>
      <c r="G75" s="354"/>
      <c r="H75" s="354"/>
      <c r="I75" s="232"/>
      <c r="J75" s="221"/>
      <c r="N75" s="11">
        <f>A75</f>
        <v>403</v>
      </c>
    </row>
    <row r="76" spans="1:14">
      <c r="A76" s="124"/>
      <c r="B76" s="253"/>
      <c r="C76" s="254"/>
      <c r="D76" s="255"/>
      <c r="E76" s="16"/>
      <c r="F76" s="16"/>
      <c r="G76" s="16"/>
      <c r="H76" s="16"/>
      <c r="I76" s="24"/>
      <c r="J76" s="24"/>
      <c r="N76" s="11"/>
    </row>
    <row r="77" spans="1:14">
      <c r="A77" s="124">
        <f>A75+1</f>
        <v>404</v>
      </c>
      <c r="B77" s="174"/>
      <c r="C77" s="13" t="s">
        <v>376</v>
      </c>
      <c r="D77" s="351">
        <f>SUM(D72:D75)</f>
        <v>-2410129985</v>
      </c>
      <c r="E77" s="351">
        <f>SUM(E72:E75)</f>
        <v>-2410129985</v>
      </c>
      <c r="F77" s="351">
        <f>SUM(F72:F75)</f>
        <v>0</v>
      </c>
      <c r="G77" s="351">
        <f>SUM(G72:G75)</f>
        <v>0</v>
      </c>
      <c r="H77" s="351">
        <f>SUM(H72:H75)</f>
        <v>0</v>
      </c>
      <c r="I77" s="211" t="str">
        <f>"Sum of Above Lines beginning on Line "&amp;A72&amp;""</f>
        <v>Sum of Above Lines beginning on Line 400</v>
      </c>
      <c r="J77" s="24"/>
      <c r="N77" s="11">
        <f>A77</f>
        <v>404</v>
      </c>
    </row>
    <row r="78" spans="1:14">
      <c r="A78" s="177">
        <f>A77+1</f>
        <v>405</v>
      </c>
      <c r="B78" s="155"/>
      <c r="C78" s="155" t="s">
        <v>365</v>
      </c>
      <c r="D78" s="256"/>
      <c r="E78" s="256"/>
      <c r="F78" s="236"/>
      <c r="G78" s="872">
        <f>'24-Allocators'!$C$29</f>
        <v>0.4104584037578522</v>
      </c>
      <c r="H78" s="264">
        <f>'24-Allocators'!$C$24</f>
        <v>0.30680154907006396</v>
      </c>
      <c r="I78" s="237" t="s">
        <v>611</v>
      </c>
      <c r="J78" s="24"/>
      <c r="N78" s="11">
        <f>A78</f>
        <v>405</v>
      </c>
    </row>
    <row r="79" spans="1:14">
      <c r="A79" s="177">
        <f>+A78+1</f>
        <v>406</v>
      </c>
      <c r="B79" s="155"/>
      <c r="C79" s="156" t="s">
        <v>377</v>
      </c>
      <c r="D79" s="422">
        <f>SUM(F79:H79)</f>
        <v>0</v>
      </c>
      <c r="E79" s="236"/>
      <c r="F79" s="238">
        <f>+F77</f>
        <v>0</v>
      </c>
      <c r="G79" s="238">
        <f>+G77*G78</f>
        <v>0</v>
      </c>
      <c r="H79" s="257">
        <f>+H77*H78</f>
        <v>0</v>
      </c>
      <c r="I79" s="239" t="str">
        <f>CONCATENATE("Line ",A77," * ","Line ",A78," for Cols 5 and 6")</f>
        <v>Line 404 * Line 405 for Cols 5 and 6</v>
      </c>
      <c r="J79" s="24"/>
      <c r="N79" s="11">
        <f>A79</f>
        <v>406</v>
      </c>
    </row>
    <row r="80" spans="1:14">
      <c r="A80" s="124"/>
      <c r="C80" s="240" t="s">
        <v>367</v>
      </c>
      <c r="D80" s="152"/>
      <c r="E80" s="152"/>
      <c r="F80" s="152"/>
      <c r="G80" s="152"/>
      <c r="H80" s="152"/>
      <c r="I80" s="239"/>
      <c r="J80" s="16"/>
      <c r="N80" s="11"/>
    </row>
    <row r="81" spans="1:14">
      <c r="A81" s="124"/>
      <c r="C81" s="13"/>
      <c r="D81" s="152"/>
      <c r="E81" s="152"/>
      <c r="F81" s="152"/>
      <c r="G81" s="152"/>
      <c r="H81" s="152"/>
      <c r="I81" s="239"/>
      <c r="J81" s="24"/>
      <c r="N81" s="11"/>
    </row>
    <row r="82" spans="1:14">
      <c r="A82" s="124">
        <f>A79+1</f>
        <v>407</v>
      </c>
      <c r="C82" s="155" t="s">
        <v>378</v>
      </c>
      <c r="D82" s="353">
        <v>-2410129985</v>
      </c>
      <c r="E82" s="241" t="s">
        <v>1492</v>
      </c>
      <c r="F82" s="236"/>
      <c r="G82" s="236"/>
      <c r="H82" s="236"/>
      <c r="J82" s="374" t="s">
        <v>724</v>
      </c>
      <c r="N82" s="11">
        <f>A82</f>
        <v>407</v>
      </c>
    </row>
    <row r="83" spans="1:14">
      <c r="A83" s="124"/>
      <c r="C83" s="155"/>
      <c r="D83" s="241"/>
      <c r="E83" s="241"/>
      <c r="F83" s="236"/>
      <c r="G83" s="236"/>
      <c r="H83" s="236"/>
      <c r="I83" s="211"/>
      <c r="J83" s="24"/>
      <c r="N83" s="11"/>
    </row>
    <row r="84" spans="1:14">
      <c r="A84" s="148"/>
      <c r="B84" s="158" t="s">
        <v>379</v>
      </c>
      <c r="C84" s="248"/>
      <c r="D84" s="249"/>
      <c r="E84" s="66"/>
      <c r="F84" s="66"/>
      <c r="G84" s="66"/>
      <c r="H84" s="66"/>
      <c r="I84" s="62"/>
      <c r="J84" s="62"/>
      <c r="K84" s="62"/>
      <c r="L84" s="62"/>
      <c r="M84" s="62"/>
      <c r="N84" s="11"/>
    </row>
    <row r="85" spans="1:14">
      <c r="A85" s="148"/>
      <c r="B85" s="156"/>
      <c r="C85" s="112" t="s">
        <v>62</v>
      </c>
      <c r="D85" s="112" t="s">
        <v>63</v>
      </c>
      <c r="E85" s="112" t="s">
        <v>64</v>
      </c>
      <c r="F85" s="112" t="s">
        <v>65</v>
      </c>
      <c r="G85" s="112" t="s">
        <v>66</v>
      </c>
      <c r="H85" s="112" t="s">
        <v>67</v>
      </c>
      <c r="I85" s="112" t="s">
        <v>68</v>
      </c>
      <c r="J85" s="24"/>
      <c r="N85" s="11"/>
    </row>
    <row r="86" spans="1:14">
      <c r="A86" s="148"/>
      <c r="B86" s="166"/>
      <c r="C86" s="166"/>
      <c r="D86" s="166" t="s">
        <v>726</v>
      </c>
      <c r="E86" s="250" t="s">
        <v>355</v>
      </c>
      <c r="F86" s="250"/>
      <c r="G86" s="250" t="s">
        <v>360</v>
      </c>
      <c r="H86" s="250" t="s">
        <v>356</v>
      </c>
      <c r="I86" s="227"/>
      <c r="J86" s="24"/>
      <c r="N86" s="11"/>
    </row>
    <row r="87" spans="1:14">
      <c r="A87" s="145" t="s">
        <v>86</v>
      </c>
      <c r="B87" s="228" t="s">
        <v>380</v>
      </c>
      <c r="C87" s="228" t="s">
        <v>358</v>
      </c>
      <c r="D87" s="228" t="s">
        <v>725</v>
      </c>
      <c r="E87" s="251" t="s">
        <v>359</v>
      </c>
      <c r="F87" s="252" t="s">
        <v>1284</v>
      </c>
      <c r="G87" s="251" t="s">
        <v>127</v>
      </c>
      <c r="H87" s="251" t="s">
        <v>361</v>
      </c>
      <c r="I87" s="228" t="s">
        <v>91</v>
      </c>
      <c r="J87" s="24"/>
      <c r="N87" s="109" t="str">
        <f>A87</f>
        <v>Line</v>
      </c>
    </row>
    <row r="88" spans="1:14">
      <c r="A88" s="124"/>
      <c r="B88" s="155" t="s">
        <v>362</v>
      </c>
      <c r="D88" s="36"/>
      <c r="E88" s="36"/>
      <c r="F88" s="36"/>
      <c r="G88" s="36"/>
      <c r="H88" s="36"/>
      <c r="J88" s="24"/>
      <c r="N88" s="11"/>
    </row>
    <row r="89" spans="1:14">
      <c r="A89" s="124">
        <v>500</v>
      </c>
      <c r="B89" s="245">
        <v>255</v>
      </c>
      <c r="C89" s="246" t="s">
        <v>1793</v>
      </c>
      <c r="D89" s="396">
        <f>SUM(E89:H89)</f>
        <v>-19661366</v>
      </c>
      <c r="E89" s="354"/>
      <c r="F89" s="354">
        <v>-19661366</v>
      </c>
      <c r="G89" s="354"/>
      <c r="H89" s="354"/>
      <c r="I89" s="232" t="s">
        <v>1782</v>
      </c>
      <c r="J89" s="221" t="s">
        <v>740</v>
      </c>
      <c r="N89" s="11">
        <f>A89</f>
        <v>500</v>
      </c>
    </row>
    <row r="90" spans="1:14">
      <c r="A90" s="124">
        <f>A89+1</f>
        <v>501</v>
      </c>
      <c r="B90" s="245">
        <v>255</v>
      </c>
      <c r="C90" s="246" t="s">
        <v>1794</v>
      </c>
      <c r="D90" s="396">
        <f>SUM(E90:H90)</f>
        <v>-9847925</v>
      </c>
      <c r="E90" s="354"/>
      <c r="F90" s="354"/>
      <c r="G90" s="354">
        <v>-9847925</v>
      </c>
      <c r="H90" s="354"/>
      <c r="I90" s="232" t="s">
        <v>1796</v>
      </c>
      <c r="J90" s="221" t="s">
        <v>743</v>
      </c>
      <c r="N90" s="11">
        <f>A90</f>
        <v>501</v>
      </c>
    </row>
    <row r="91" spans="1:14">
      <c r="A91" s="124">
        <f>+A90+1</f>
        <v>502</v>
      </c>
      <c r="B91" s="245">
        <v>255</v>
      </c>
      <c r="C91" s="246" t="s">
        <v>1795</v>
      </c>
      <c r="D91" s="396">
        <f>SUM(E91:H91)</f>
        <v>-67069203</v>
      </c>
      <c r="E91" s="354">
        <v>-67069203</v>
      </c>
      <c r="F91" s="354"/>
      <c r="G91" s="354"/>
      <c r="H91" s="354"/>
      <c r="I91" s="232" t="s">
        <v>1780</v>
      </c>
      <c r="J91" s="24"/>
      <c r="N91" s="11">
        <f>A91</f>
        <v>502</v>
      </c>
    </row>
    <row r="92" spans="1:14">
      <c r="A92" s="321">
        <f t="shared" ref="A92:A95" si="7">+A91+1</f>
        <v>503</v>
      </c>
      <c r="B92" s="245">
        <v>256</v>
      </c>
      <c r="C92" s="246" t="s">
        <v>1795</v>
      </c>
      <c r="D92" s="396">
        <f>SUM(E92:H92)</f>
        <v>36396</v>
      </c>
      <c r="E92" s="354">
        <v>36396</v>
      </c>
      <c r="F92" s="354"/>
      <c r="G92" s="354"/>
      <c r="H92" s="354"/>
      <c r="I92" s="717"/>
      <c r="J92" s="24"/>
      <c r="N92" s="11"/>
    </row>
    <row r="93" spans="1:14">
      <c r="A93" s="321">
        <f t="shared" si="7"/>
        <v>504</v>
      </c>
      <c r="B93" s="174"/>
      <c r="C93" s="174" t="s">
        <v>381</v>
      </c>
      <c r="D93" s="351">
        <f>SUM(D89:D92)</f>
        <v>-96542098</v>
      </c>
      <c r="E93" s="351">
        <f>SUM(E89:E91)</f>
        <v>-67069203</v>
      </c>
      <c r="F93" s="351">
        <f t="shared" ref="F93:H93" si="8">SUM(F89:F91)</f>
        <v>-19661366</v>
      </c>
      <c r="G93" s="351">
        <f t="shared" si="8"/>
        <v>-9847925</v>
      </c>
      <c r="H93" s="351">
        <f t="shared" si="8"/>
        <v>0</v>
      </c>
      <c r="I93" s="211" t="str">
        <f>"Sum of Above Lines beginning on Line "&amp;A89&amp;""</f>
        <v>Sum of Above Lines beginning on Line 500</v>
      </c>
      <c r="J93" s="24"/>
      <c r="N93" s="11">
        <f>A93</f>
        <v>504</v>
      </c>
    </row>
    <row r="94" spans="1:14">
      <c r="A94" s="321">
        <f t="shared" si="7"/>
        <v>505</v>
      </c>
      <c r="B94" s="155"/>
      <c r="C94" s="155" t="s">
        <v>365</v>
      </c>
      <c r="D94" s="256"/>
      <c r="E94" s="256"/>
      <c r="F94" s="236"/>
      <c r="G94" s="872">
        <f>'24-Allocators'!$C$29</f>
        <v>0.4104584037578522</v>
      </c>
      <c r="H94" s="264">
        <f>'24-Allocators'!$C$24</f>
        <v>0.30680154907006396</v>
      </c>
      <c r="I94" s="237" t="s">
        <v>723</v>
      </c>
      <c r="N94" s="11">
        <f>A94</f>
        <v>505</v>
      </c>
    </row>
    <row r="95" spans="1:14">
      <c r="A95" s="321">
        <f t="shared" si="7"/>
        <v>506</v>
      </c>
      <c r="B95" s="155"/>
      <c r="C95" s="156" t="s">
        <v>382</v>
      </c>
      <c r="D95" s="423">
        <f>SUM(F95:H95)</f>
        <v>-23703529.575827047</v>
      </c>
      <c r="E95" s="351"/>
      <c r="F95" s="352">
        <f>+F93</f>
        <v>-19661366</v>
      </c>
      <c r="G95" s="352">
        <f>+G93*G94</f>
        <v>-4042163.5758270468</v>
      </c>
      <c r="H95" s="363">
        <f>+H93*H94</f>
        <v>0</v>
      </c>
      <c r="I95" s="239" t="str">
        <f>CONCATENATE("Line ",A93," * ","Line ",A94," for Cols 5 and 6")</f>
        <v>Line 504 * Line 505 for Cols 5 and 6</v>
      </c>
      <c r="N95" s="11">
        <f>A95</f>
        <v>506</v>
      </c>
    </row>
    <row r="96" spans="1:14">
      <c r="A96" s="124"/>
      <c r="C96" s="240" t="s">
        <v>367</v>
      </c>
      <c r="D96" s="152"/>
      <c r="E96" s="152"/>
      <c r="F96" s="152"/>
      <c r="G96" s="152"/>
      <c r="H96" s="152"/>
      <c r="I96" s="239"/>
      <c r="J96" s="36"/>
      <c r="N96" s="11"/>
    </row>
    <row r="97" spans="1:14">
      <c r="A97" s="124"/>
      <c r="C97" s="13"/>
      <c r="D97" s="152"/>
      <c r="E97" s="152"/>
      <c r="F97" s="152"/>
      <c r="G97" s="152"/>
      <c r="H97" s="152"/>
      <c r="I97" s="239"/>
      <c r="N97" s="11"/>
    </row>
    <row r="98" spans="1:14">
      <c r="A98" s="124">
        <f>A95+1</f>
        <v>507</v>
      </c>
      <c r="C98" s="155" t="s">
        <v>383</v>
      </c>
      <c r="D98" s="353">
        <v>-96542098</v>
      </c>
      <c r="E98" s="241" t="str">
        <f>CONCATENATE("Must match amount on Line ",A93," ",D85)</f>
        <v>Must match amount on Line 504 Col 2</v>
      </c>
      <c r="F98" s="236"/>
      <c r="G98" s="236"/>
      <c r="H98" s="236"/>
      <c r="J98" s="221" t="s">
        <v>798</v>
      </c>
      <c r="N98" s="11">
        <f>A98</f>
        <v>507</v>
      </c>
    </row>
    <row r="99" spans="1:14">
      <c r="A99" s="124"/>
      <c r="C99" s="155"/>
      <c r="D99" s="241"/>
      <c r="E99" s="241"/>
      <c r="F99" s="236"/>
      <c r="G99" s="236"/>
      <c r="H99" s="236"/>
      <c r="I99" s="211"/>
      <c r="N99" s="11"/>
    </row>
    <row r="100" spans="1:14">
      <c r="A100" s="124"/>
      <c r="B100" s="108" t="s">
        <v>384</v>
      </c>
      <c r="C100" s="159"/>
      <c r="D100" s="258"/>
      <c r="E100" s="258"/>
      <c r="F100" s="249"/>
      <c r="G100" s="249"/>
      <c r="H100" s="249"/>
      <c r="I100" s="259"/>
      <c r="J100" s="138"/>
      <c r="K100" s="62"/>
      <c r="L100" s="62"/>
      <c r="M100" s="62"/>
      <c r="N100" s="11"/>
    </row>
    <row r="101" spans="1:14">
      <c r="A101" s="124"/>
      <c r="B101" s="25"/>
      <c r="C101" s="146" t="s">
        <v>62</v>
      </c>
      <c r="D101" s="146" t="s">
        <v>63</v>
      </c>
      <c r="E101" s="146" t="s">
        <v>64</v>
      </c>
      <c r="F101" s="146" t="s">
        <v>65</v>
      </c>
      <c r="G101" s="146" t="s">
        <v>66</v>
      </c>
      <c r="H101" s="146" t="s">
        <v>67</v>
      </c>
      <c r="I101" s="146" t="s">
        <v>68</v>
      </c>
      <c r="J101" s="146" t="s">
        <v>69</v>
      </c>
      <c r="N101" s="11"/>
    </row>
    <row r="102" spans="1:14">
      <c r="A102" s="124"/>
      <c r="B102" s="25"/>
      <c r="C102" s="155"/>
      <c r="D102" s="260" t="s">
        <v>385</v>
      </c>
      <c r="E102" s="260" t="s">
        <v>386</v>
      </c>
      <c r="F102" s="236"/>
      <c r="G102" s="236"/>
      <c r="H102" s="260" t="s">
        <v>387</v>
      </c>
      <c r="I102" s="261" t="s">
        <v>388</v>
      </c>
      <c r="J102" s="260" t="s">
        <v>784</v>
      </c>
      <c r="N102" s="11"/>
    </row>
    <row r="103" spans="1:14">
      <c r="A103" s="124"/>
      <c r="B103" s="25"/>
      <c r="C103" s="155"/>
      <c r="D103" s="241"/>
      <c r="E103" s="241"/>
      <c r="F103" s="236"/>
      <c r="G103" s="236"/>
      <c r="H103" s="236"/>
      <c r="I103" s="144"/>
      <c r="J103" s="25"/>
      <c r="N103" s="11"/>
    </row>
    <row r="104" spans="1:14">
      <c r="A104" s="124"/>
      <c r="B104" s="25"/>
      <c r="C104" s="160"/>
      <c r="D104" s="260" t="s">
        <v>389</v>
      </c>
      <c r="E104" s="260" t="s">
        <v>390</v>
      </c>
      <c r="F104" s="260"/>
      <c r="G104" s="260" t="s">
        <v>391</v>
      </c>
      <c r="H104" s="260" t="s">
        <v>392</v>
      </c>
      <c r="I104" s="141" t="s">
        <v>393</v>
      </c>
      <c r="J104" s="141" t="s">
        <v>394</v>
      </c>
      <c r="N104" s="11"/>
    </row>
    <row r="105" spans="1:14">
      <c r="A105" s="145" t="s">
        <v>86</v>
      </c>
      <c r="B105" s="145" t="s">
        <v>73</v>
      </c>
      <c r="C105" s="160" t="s">
        <v>395</v>
      </c>
      <c r="D105" s="262" t="s">
        <v>396</v>
      </c>
      <c r="E105" s="262" t="s">
        <v>397</v>
      </c>
      <c r="F105" s="262" t="s">
        <v>398</v>
      </c>
      <c r="G105" s="262" t="s">
        <v>399</v>
      </c>
      <c r="H105" s="262" t="s">
        <v>400</v>
      </c>
      <c r="I105" s="109" t="s">
        <v>401</v>
      </c>
      <c r="J105" s="109" t="s">
        <v>402</v>
      </c>
      <c r="N105" s="109" t="str">
        <f t="shared" ref="N105:N120" si="9">A105</f>
        <v>Line</v>
      </c>
    </row>
    <row r="106" spans="1:14">
      <c r="A106" s="124">
        <v>600</v>
      </c>
      <c r="B106" s="319"/>
      <c r="C106" s="263" t="s">
        <v>783</v>
      </c>
      <c r="D106" s="356"/>
      <c r="E106" s="357">
        <f>D17</f>
        <v>-2930469780.5325403</v>
      </c>
      <c r="F106" s="236"/>
      <c r="G106" s="266">
        <f>+F107+G107-G118</f>
        <v>365</v>
      </c>
      <c r="H106" s="264">
        <f>1</f>
        <v>1</v>
      </c>
      <c r="I106" s="265"/>
      <c r="J106" s="359">
        <f>+E106</f>
        <v>-2930469780.5325403</v>
      </c>
      <c r="N106" s="11">
        <f t="shared" si="9"/>
        <v>600</v>
      </c>
    </row>
    <row r="107" spans="1:14">
      <c r="A107" s="124">
        <f t="shared" ref="A107:A120" si="10">A106+1</f>
        <v>601</v>
      </c>
      <c r="B107" s="323">
        <f>'1-DRR'!$K$2</f>
        <v>2021</v>
      </c>
      <c r="C107" s="263" t="s">
        <v>76</v>
      </c>
      <c r="D107" s="357">
        <f t="shared" ref="D107:D118" si="11">($D$13-$D$17)/12</f>
        <v>4985038.571572979</v>
      </c>
      <c r="E107" s="357">
        <f t="shared" ref="E107:E118" si="12">E106+D107</f>
        <v>-2925484741.9609675</v>
      </c>
      <c r="F107" s="266">
        <v>31</v>
      </c>
      <c r="G107" s="266">
        <f t="shared" ref="G107:G116" si="13">+F108+G108</f>
        <v>335</v>
      </c>
      <c r="H107" s="264">
        <f>G107/G106</f>
        <v>0.9178082191780822</v>
      </c>
      <c r="I107" s="358">
        <f t="shared" ref="I107:I118" si="14">D107*H107</f>
        <v>4575309.3739094464</v>
      </c>
      <c r="J107" s="181">
        <f t="shared" ref="J107:J118" si="15">J106+I107</f>
        <v>-2925894471.1586308</v>
      </c>
      <c r="N107" s="11">
        <f t="shared" si="9"/>
        <v>601</v>
      </c>
    </row>
    <row r="108" spans="1:14">
      <c r="A108" s="124">
        <f t="shared" si="10"/>
        <v>602</v>
      </c>
      <c r="B108" s="323">
        <f>'1-DRR'!$K$2</f>
        <v>2021</v>
      </c>
      <c r="C108" s="263" t="s">
        <v>77</v>
      </c>
      <c r="D108" s="357">
        <f t="shared" si="11"/>
        <v>4985038.571572979</v>
      </c>
      <c r="E108" s="357">
        <f t="shared" si="12"/>
        <v>-2920499703.3893948</v>
      </c>
      <c r="F108" s="263">
        <f>IF(OR(MOD(RIGHT($M$1,4),400)=0,AND(MOD(RIGHT($M$1,4),4)=0,MOD(RIGHT($M$1,4),100)&lt;&gt;0)),29,28)</f>
        <v>28</v>
      </c>
      <c r="G108" s="266">
        <f t="shared" si="13"/>
        <v>307</v>
      </c>
      <c r="H108" s="264">
        <f>G108/G106</f>
        <v>0.84109589041095889</v>
      </c>
      <c r="I108" s="358">
        <f t="shared" si="14"/>
        <v>4192895.4560901495</v>
      </c>
      <c r="J108" s="181">
        <f t="shared" si="15"/>
        <v>-2921701575.7025409</v>
      </c>
      <c r="N108" s="11">
        <f t="shared" si="9"/>
        <v>602</v>
      </c>
    </row>
    <row r="109" spans="1:14">
      <c r="A109" s="124">
        <f t="shared" si="10"/>
        <v>603</v>
      </c>
      <c r="B109" s="323">
        <f>'1-DRR'!$K$2</f>
        <v>2021</v>
      </c>
      <c r="C109" s="263" t="s">
        <v>78</v>
      </c>
      <c r="D109" s="357">
        <f t="shared" si="11"/>
        <v>4985038.571572979</v>
      </c>
      <c r="E109" s="357">
        <f t="shared" si="12"/>
        <v>-2915514664.817822</v>
      </c>
      <c r="F109" s="266">
        <v>31</v>
      </c>
      <c r="G109" s="266">
        <f t="shared" si="13"/>
        <v>276</v>
      </c>
      <c r="H109" s="264">
        <f>G109/G106</f>
        <v>0.75616438356164384</v>
      </c>
      <c r="I109" s="358">
        <f t="shared" si="14"/>
        <v>3769508.6185044991</v>
      </c>
      <c r="J109" s="181">
        <f t="shared" si="15"/>
        <v>-2917932067.0840364</v>
      </c>
      <c r="N109" s="11">
        <f t="shared" si="9"/>
        <v>603</v>
      </c>
    </row>
    <row r="110" spans="1:14">
      <c r="A110" s="124">
        <f t="shared" si="10"/>
        <v>604</v>
      </c>
      <c r="B110" s="323">
        <f>'1-DRR'!$K$2</f>
        <v>2021</v>
      </c>
      <c r="C110" s="263" t="s">
        <v>79</v>
      </c>
      <c r="D110" s="357">
        <f t="shared" si="11"/>
        <v>4985038.571572979</v>
      </c>
      <c r="E110" s="357">
        <f t="shared" si="12"/>
        <v>-2910529626.2462492</v>
      </c>
      <c r="F110" s="266">
        <v>30</v>
      </c>
      <c r="G110" s="266">
        <f t="shared" si="13"/>
        <v>246</v>
      </c>
      <c r="H110" s="264">
        <f>G110/G106</f>
        <v>0.67397260273972603</v>
      </c>
      <c r="I110" s="358">
        <f t="shared" si="14"/>
        <v>3359779.4208409665</v>
      </c>
      <c r="J110" s="181">
        <f t="shared" si="15"/>
        <v>-2914572287.6631956</v>
      </c>
      <c r="N110" s="11">
        <f t="shared" si="9"/>
        <v>604</v>
      </c>
    </row>
    <row r="111" spans="1:14">
      <c r="A111" s="124">
        <f t="shared" si="10"/>
        <v>605</v>
      </c>
      <c r="B111" s="323">
        <f>'1-DRR'!$K$2</f>
        <v>2021</v>
      </c>
      <c r="C111" s="263" t="s">
        <v>61</v>
      </c>
      <c r="D111" s="357">
        <f t="shared" si="11"/>
        <v>4985038.571572979</v>
      </c>
      <c r="E111" s="357">
        <f t="shared" si="12"/>
        <v>-2905544587.6746764</v>
      </c>
      <c r="F111" s="266">
        <v>31</v>
      </c>
      <c r="G111" s="266">
        <f t="shared" si="13"/>
        <v>215</v>
      </c>
      <c r="H111" s="264">
        <f>G111/G106</f>
        <v>0.58904109589041098</v>
      </c>
      <c r="I111" s="358">
        <f t="shared" si="14"/>
        <v>2936392.5832553166</v>
      </c>
      <c r="J111" s="181">
        <f t="shared" si="15"/>
        <v>-2911635895.0799403</v>
      </c>
      <c r="N111" s="11">
        <f t="shared" si="9"/>
        <v>605</v>
      </c>
    </row>
    <row r="112" spans="1:14">
      <c r="A112" s="124">
        <f t="shared" si="10"/>
        <v>606</v>
      </c>
      <c r="B112" s="323">
        <f>'1-DRR'!$K$2</f>
        <v>2021</v>
      </c>
      <c r="C112" s="263" t="s">
        <v>146</v>
      </c>
      <c r="D112" s="357">
        <f t="shared" si="11"/>
        <v>4985038.571572979</v>
      </c>
      <c r="E112" s="357">
        <f t="shared" si="12"/>
        <v>-2900559549.1031036</v>
      </c>
      <c r="F112" s="266">
        <v>30</v>
      </c>
      <c r="G112" s="266">
        <f t="shared" si="13"/>
        <v>185</v>
      </c>
      <c r="H112" s="264">
        <f>G112/G106</f>
        <v>0.50684931506849318</v>
      </c>
      <c r="I112" s="358">
        <f t="shared" si="14"/>
        <v>2526663.385591784</v>
      </c>
      <c r="J112" s="181">
        <f t="shared" si="15"/>
        <v>-2909109231.6943483</v>
      </c>
      <c r="N112" s="11">
        <f t="shared" si="9"/>
        <v>606</v>
      </c>
    </row>
    <row r="113" spans="1:14">
      <c r="A113" s="124">
        <f t="shared" si="10"/>
        <v>607</v>
      </c>
      <c r="B113" s="323">
        <f>'1-DRR'!$K$2</f>
        <v>2021</v>
      </c>
      <c r="C113" s="263" t="s">
        <v>81</v>
      </c>
      <c r="D113" s="357">
        <f t="shared" si="11"/>
        <v>4985038.571572979</v>
      </c>
      <c r="E113" s="357">
        <f t="shared" si="12"/>
        <v>-2895574510.5315309</v>
      </c>
      <c r="F113" s="266">
        <v>31</v>
      </c>
      <c r="G113" s="266">
        <f t="shared" si="13"/>
        <v>154</v>
      </c>
      <c r="H113" s="264">
        <f>G113/G106</f>
        <v>0.42191780821917807</v>
      </c>
      <c r="I113" s="358">
        <f t="shared" si="14"/>
        <v>2103276.5480061336</v>
      </c>
      <c r="J113" s="181">
        <f t="shared" si="15"/>
        <v>-2907005955.1463423</v>
      </c>
      <c r="N113" s="11">
        <f t="shared" si="9"/>
        <v>607</v>
      </c>
    </row>
    <row r="114" spans="1:14">
      <c r="A114" s="124">
        <f t="shared" si="10"/>
        <v>608</v>
      </c>
      <c r="B114" s="323">
        <f>'1-DRR'!$K$2</f>
        <v>2021</v>
      </c>
      <c r="C114" s="263" t="s">
        <v>82</v>
      </c>
      <c r="D114" s="357">
        <f t="shared" si="11"/>
        <v>4985038.571572979</v>
      </c>
      <c r="E114" s="357">
        <f t="shared" si="12"/>
        <v>-2890589471.9599581</v>
      </c>
      <c r="F114" s="266">
        <v>31</v>
      </c>
      <c r="G114" s="266">
        <f t="shared" si="13"/>
        <v>123</v>
      </c>
      <c r="H114" s="264">
        <f>G114/G106</f>
        <v>0.33698630136986302</v>
      </c>
      <c r="I114" s="358">
        <f t="shared" si="14"/>
        <v>1679889.7104204833</v>
      </c>
      <c r="J114" s="181">
        <f t="shared" si="15"/>
        <v>-2905326065.4359217</v>
      </c>
      <c r="N114" s="11">
        <f t="shared" si="9"/>
        <v>608</v>
      </c>
    </row>
    <row r="115" spans="1:14">
      <c r="A115" s="124">
        <f t="shared" si="10"/>
        <v>609</v>
      </c>
      <c r="B115" s="323">
        <f>'1-DRR'!$K$2</f>
        <v>2021</v>
      </c>
      <c r="C115" s="263" t="s">
        <v>83</v>
      </c>
      <c r="D115" s="357">
        <f t="shared" si="11"/>
        <v>4985038.571572979</v>
      </c>
      <c r="E115" s="357">
        <f t="shared" si="12"/>
        <v>-2885604433.3883853</v>
      </c>
      <c r="F115" s="266">
        <v>30</v>
      </c>
      <c r="G115" s="266">
        <f t="shared" si="13"/>
        <v>93</v>
      </c>
      <c r="H115" s="264">
        <f>G115/G106</f>
        <v>0.25479452054794521</v>
      </c>
      <c r="I115" s="358">
        <f t="shared" si="14"/>
        <v>1270160.5127569509</v>
      </c>
      <c r="J115" s="181">
        <f t="shared" si="15"/>
        <v>-2904055904.9231648</v>
      </c>
      <c r="N115" s="11">
        <f t="shared" si="9"/>
        <v>609</v>
      </c>
    </row>
    <row r="116" spans="1:14">
      <c r="A116" s="124">
        <f t="shared" si="10"/>
        <v>610</v>
      </c>
      <c r="B116" s="323">
        <f>'1-DRR'!$K$2</f>
        <v>2021</v>
      </c>
      <c r="C116" s="263" t="s">
        <v>84</v>
      </c>
      <c r="D116" s="357">
        <f t="shared" si="11"/>
        <v>4985038.571572979</v>
      </c>
      <c r="E116" s="357">
        <f t="shared" si="12"/>
        <v>-2880619394.8168125</v>
      </c>
      <c r="F116" s="266">
        <v>31</v>
      </c>
      <c r="G116" s="266">
        <f t="shared" si="13"/>
        <v>62</v>
      </c>
      <c r="H116" s="264">
        <f>G116/G106</f>
        <v>0.16986301369863013</v>
      </c>
      <c r="I116" s="358">
        <f t="shared" si="14"/>
        <v>846773.67517130054</v>
      </c>
      <c r="J116" s="181">
        <f t="shared" si="15"/>
        <v>-2903209131.2479935</v>
      </c>
      <c r="N116" s="11">
        <f t="shared" si="9"/>
        <v>610</v>
      </c>
    </row>
    <row r="117" spans="1:14">
      <c r="A117" s="124">
        <f t="shared" si="10"/>
        <v>611</v>
      </c>
      <c r="B117" s="323">
        <f>'1-DRR'!$K$2</f>
        <v>2021</v>
      </c>
      <c r="C117" s="263" t="s">
        <v>85</v>
      </c>
      <c r="D117" s="357">
        <f t="shared" si="11"/>
        <v>4985038.571572979</v>
      </c>
      <c r="E117" s="357">
        <f t="shared" si="12"/>
        <v>-2875634356.2452397</v>
      </c>
      <c r="F117" s="266">
        <v>30</v>
      </c>
      <c r="G117" s="266">
        <f>+F118+G118</f>
        <v>32</v>
      </c>
      <c r="H117" s="264">
        <f>G117/G106</f>
        <v>8.7671232876712329E-2</v>
      </c>
      <c r="I117" s="358">
        <f t="shared" si="14"/>
        <v>437044.47750776802</v>
      </c>
      <c r="J117" s="181">
        <f t="shared" si="15"/>
        <v>-2902772086.7704859</v>
      </c>
      <c r="N117" s="11">
        <f t="shared" si="9"/>
        <v>611</v>
      </c>
    </row>
    <row r="118" spans="1:14">
      <c r="A118" s="124">
        <f t="shared" si="10"/>
        <v>612</v>
      </c>
      <c r="B118" s="323">
        <f>'1-DRR'!$K$2</f>
        <v>2021</v>
      </c>
      <c r="C118" s="263" t="s">
        <v>75</v>
      </c>
      <c r="D118" s="357">
        <f t="shared" si="11"/>
        <v>4985038.571572979</v>
      </c>
      <c r="E118" s="357">
        <f t="shared" si="12"/>
        <v>-2870649317.673667</v>
      </c>
      <c r="F118" s="266">
        <v>31</v>
      </c>
      <c r="G118" s="266">
        <v>1</v>
      </c>
      <c r="H118" s="264">
        <f>G118/G106</f>
        <v>2.7397260273972603E-3</v>
      </c>
      <c r="I118" s="358">
        <f t="shared" si="14"/>
        <v>13657.639922117751</v>
      </c>
      <c r="J118" s="360">
        <f t="shared" si="15"/>
        <v>-2902758429.1305637</v>
      </c>
      <c r="N118" s="11">
        <f t="shared" si="9"/>
        <v>612</v>
      </c>
    </row>
    <row r="119" spans="1:14">
      <c r="A119" s="124">
        <f t="shared" si="10"/>
        <v>613</v>
      </c>
      <c r="B119" s="25"/>
      <c r="C119" s="263" t="s">
        <v>126</v>
      </c>
      <c r="D119" s="357"/>
      <c r="E119" s="357">
        <f>D13</f>
        <v>-2870649317.6736646</v>
      </c>
      <c r="F119" s="236"/>
      <c r="G119" s="236"/>
      <c r="H119" s="236"/>
      <c r="I119" s="144"/>
      <c r="J119" s="361"/>
      <c r="N119" s="11">
        <f t="shared" si="9"/>
        <v>613</v>
      </c>
    </row>
    <row r="120" spans="1:14">
      <c r="A120" s="124">
        <f t="shared" si="10"/>
        <v>614</v>
      </c>
      <c r="B120" s="25"/>
      <c r="C120" s="155"/>
      <c r="D120" s="241"/>
      <c r="E120" s="241"/>
      <c r="F120" s="236"/>
      <c r="G120" s="236"/>
      <c r="H120" s="236"/>
      <c r="I120" s="268" t="s">
        <v>403</v>
      </c>
      <c r="J120" s="424">
        <f>+J118</f>
        <v>-2902758429.1305637</v>
      </c>
      <c r="N120" s="11">
        <f t="shared" si="9"/>
        <v>614</v>
      </c>
    </row>
    <row r="121" spans="1:14">
      <c r="A121" s="29"/>
      <c r="C121" s="13"/>
      <c r="K121" s="69"/>
    </row>
    <row r="122" spans="1:14">
      <c r="A122" s="29"/>
      <c r="B122" s="167" t="s">
        <v>89</v>
      </c>
      <c r="K122" s="69"/>
    </row>
    <row r="123" spans="1:14">
      <c r="A123" s="29"/>
      <c r="B123" s="973" t="s">
        <v>404</v>
      </c>
      <c r="C123" s="973"/>
      <c r="D123" s="973"/>
      <c r="E123" s="973"/>
      <c r="F123" s="973"/>
      <c r="G123" s="973"/>
      <c r="H123" s="973"/>
      <c r="I123" s="973"/>
      <c r="J123" s="973"/>
      <c r="K123" s="69"/>
    </row>
    <row r="124" spans="1:14">
      <c r="A124" s="29"/>
      <c r="B124" s="973" t="s">
        <v>780</v>
      </c>
      <c r="C124" s="973"/>
      <c r="D124" s="973"/>
      <c r="E124" s="973"/>
      <c r="F124" s="973"/>
      <c r="G124" s="973"/>
      <c r="H124" s="973"/>
      <c r="I124" s="973"/>
      <c r="J124" s="973"/>
      <c r="K124" s="69"/>
    </row>
    <row r="125" spans="1:14">
      <c r="B125" s="317" t="s">
        <v>1606</v>
      </c>
    </row>
    <row r="126" spans="1:14">
      <c r="B126" s="317" t="s">
        <v>1609</v>
      </c>
    </row>
  </sheetData>
  <protectedRanges>
    <protectedRange password="F1C4" sqref="D13:D14 D16 D21 F18 D18:E20 D22:F27 B7:C27 E14:E17 D48:D49 D69:D70 D86:D87 J50:J53 J89:J90 J28:J37 J72:J75 J55" name="AAReport1_23_1_1_2"/>
    <protectedRange password="F1C4" sqref="F29:F30" name="AAReport1_23_1_1_2_1"/>
    <protectedRange password="F1C4" sqref="D17" name="AAReport1_23_1_1_2_2"/>
    <protectedRange password="F1C4" sqref="J54" name="AAReport1_23_1_1_2_3"/>
  </protectedRanges>
  <mergeCells count="2">
    <mergeCell ref="B123:J123"/>
    <mergeCell ref="B124:J124"/>
  </mergeCells>
  <phoneticPr fontId="104" type="noConversion"/>
  <conditionalFormatting sqref="B76 D76">
    <cfRule type="expression" dxfId="5" priority="8" stopIfTrue="1">
      <formula>Formulas</formula>
    </cfRule>
  </conditionalFormatting>
  <conditionalFormatting sqref="C76">
    <cfRule type="expression" dxfId="4" priority="7" stopIfTrue="1">
      <formula>#REF!&lt;&gt;""</formula>
    </cfRule>
  </conditionalFormatting>
  <conditionalFormatting sqref="C72:C75">
    <cfRule type="expression" dxfId="3" priority="6" stopIfTrue="1">
      <formula>#REF!&lt;&gt;""</formula>
    </cfRule>
  </conditionalFormatting>
  <conditionalFormatting sqref="C89">
    <cfRule type="expression" dxfId="2" priority="3" stopIfTrue="1">
      <formula>#REF!&lt;&gt;""</formula>
    </cfRule>
  </conditionalFormatting>
  <conditionalFormatting sqref="C91:C92">
    <cfRule type="expression" dxfId="1" priority="2" stopIfTrue="1">
      <formula>#REF!&lt;&gt;""</formula>
    </cfRule>
  </conditionalFormatting>
  <conditionalFormatting sqref="C90">
    <cfRule type="expression" dxfId="0" priority="1" stopIfTrue="1">
      <formula>#REF!&lt;&gt;""</formula>
    </cfRule>
  </conditionalFormatting>
  <printOptions horizontalCentered="1"/>
  <pageMargins left="1" right="1" top="1" bottom="1" header="0.5" footer="0.5"/>
  <pageSetup scale="33" fitToHeight="0" orientation="landscape" r:id="rId1"/>
  <headerFooter>
    <oddHeader>&amp;C&amp;"-,Bold"&amp;12Pacific Gas and Electric Company
Formula Rate Model
Schedule 14-ADIT</oddHeader>
  </headerFooter>
  <rowBreaks count="1" manualBreakCount="1">
    <brk id="65" max="13" man="1"/>
  </rowBreaks>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49DE2-ED6C-4C72-BA2C-28D2FBD5F9DB}">
  <sheetPr codeName="Sheet21">
    <pageSetUpPr fitToPage="1"/>
  </sheetPr>
  <dimension ref="A1:BD1012"/>
  <sheetViews>
    <sheetView tabSelected="1" view="pageBreakPreview" zoomScale="120" zoomScaleNormal="100" zoomScaleSheetLayoutView="120" workbookViewId="0">
      <selection activeCell="G13" sqref="G13"/>
    </sheetView>
  </sheetViews>
  <sheetFormatPr defaultColWidth="10.140625" defaultRowHeight="15"/>
  <cols>
    <col min="1" max="1" width="4.7109375" style="481" bestFit="1" customWidth="1"/>
    <col min="2" max="2" width="45.28515625" style="481" customWidth="1"/>
    <col min="3" max="4" width="14.7109375" style="481" customWidth="1"/>
    <col min="5" max="5" width="5.85546875" style="481" customWidth="1"/>
    <col min="6" max="7" width="14.7109375" style="481" customWidth="1"/>
    <col min="8" max="8" width="4.7109375" style="481" bestFit="1" customWidth="1"/>
    <col min="9" max="16384" width="10.140625" style="481"/>
  </cols>
  <sheetData>
    <row r="1" spans="1:56">
      <c r="B1" s="485" t="s">
        <v>1404</v>
      </c>
      <c r="G1" s="8" t="str">
        <f>CONCATENATE("Prior Year: ",'1-DRR'!$K$2)</f>
        <v>Prior Year: 2021</v>
      </c>
    </row>
    <row r="2" spans="1:56">
      <c r="B2" s="106" t="s">
        <v>122</v>
      </c>
    </row>
    <row r="3" spans="1:56">
      <c r="B3" s="168"/>
    </row>
    <row r="4" spans="1:56">
      <c r="A4" s="978" t="s">
        <v>913</v>
      </c>
      <c r="B4" s="978"/>
      <c r="C4" s="978"/>
      <c r="D4" s="978"/>
      <c r="E4" s="978"/>
      <c r="F4" s="978"/>
      <c r="G4" s="978"/>
    </row>
    <row r="5" spans="1:56">
      <c r="A5" s="979"/>
      <c r="B5" s="979"/>
      <c r="C5" s="979"/>
      <c r="D5" s="979"/>
      <c r="E5" s="979"/>
      <c r="F5" s="979"/>
      <c r="G5" s="979"/>
    </row>
    <row r="7" spans="1:56">
      <c r="C7" s="978" t="s">
        <v>893</v>
      </c>
      <c r="D7" s="978"/>
      <c r="F7" s="978" t="s">
        <v>894</v>
      </c>
      <c r="G7" s="978"/>
    </row>
    <row r="8" spans="1:56">
      <c r="C8" s="483" t="s">
        <v>62</v>
      </c>
      <c r="D8" s="483" t="s">
        <v>63</v>
      </c>
      <c r="E8" s="484"/>
      <c r="F8" s="483" t="s">
        <v>64</v>
      </c>
      <c r="G8" s="483" t="s">
        <v>65</v>
      </c>
    </row>
    <row r="10" spans="1:56">
      <c r="C10" s="482" t="s">
        <v>895</v>
      </c>
      <c r="D10" s="482" t="s">
        <v>896</v>
      </c>
      <c r="E10" s="485"/>
      <c r="F10" s="482" t="s">
        <v>895</v>
      </c>
      <c r="G10" s="482" t="s">
        <v>896</v>
      </c>
    </row>
    <row r="11" spans="1:56">
      <c r="A11" s="486" t="s">
        <v>86</v>
      </c>
      <c r="B11" s="486" t="s">
        <v>914</v>
      </c>
      <c r="C11" s="486" t="s">
        <v>60</v>
      </c>
      <c r="D11" s="486" t="s">
        <v>897</v>
      </c>
      <c r="E11" s="484"/>
      <c r="F11" s="486" t="s">
        <v>60</v>
      </c>
      <c r="G11" s="486" t="s">
        <v>897</v>
      </c>
      <c r="H11" s="486" t="s">
        <v>86</v>
      </c>
    </row>
    <row r="12" spans="1:56">
      <c r="A12" s="482"/>
      <c r="C12" s="487"/>
      <c r="D12" s="487"/>
      <c r="E12" s="487"/>
      <c r="F12" s="487"/>
      <c r="G12" s="487"/>
      <c r="H12" s="482"/>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488"/>
      <c r="AW12" s="488"/>
      <c r="AX12" s="488"/>
      <c r="AY12" s="488"/>
      <c r="AZ12" s="488"/>
      <c r="BA12" s="488"/>
      <c r="BB12" s="488"/>
      <c r="BC12" s="488"/>
      <c r="BD12" s="488"/>
    </row>
    <row r="13" spans="1:56">
      <c r="A13" s="482">
        <v>100</v>
      </c>
      <c r="B13" s="481" t="s">
        <v>898</v>
      </c>
      <c r="C13" s="489">
        <v>1.0021145</v>
      </c>
      <c r="D13" s="489">
        <v>0.99789000000000005</v>
      </c>
      <c r="E13" s="487"/>
      <c r="F13" s="489">
        <v>1.0018530000000001</v>
      </c>
      <c r="G13" s="489">
        <v>0.99814999999999998</v>
      </c>
      <c r="H13" s="482">
        <v>100</v>
      </c>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c r="AW13" s="488"/>
      <c r="AX13" s="488"/>
      <c r="AY13" s="488"/>
      <c r="AZ13" s="488"/>
      <c r="BA13" s="488"/>
      <c r="BB13" s="488"/>
      <c r="BC13" s="488"/>
      <c r="BD13" s="488"/>
    </row>
    <row r="14" spans="1:56">
      <c r="A14" s="482"/>
      <c r="C14" s="487"/>
      <c r="D14" s="487"/>
      <c r="E14" s="487"/>
      <c r="F14" s="487"/>
      <c r="G14" s="487"/>
      <c r="H14" s="482"/>
      <c r="I14" s="488"/>
      <c r="J14" s="488"/>
      <c r="K14" s="488"/>
      <c r="L14" s="488"/>
      <c r="M14" s="488"/>
      <c r="N14" s="488"/>
      <c r="O14" s="488"/>
      <c r="P14" s="488"/>
      <c r="Q14" s="488"/>
      <c r="R14" s="488"/>
      <c r="S14" s="488"/>
      <c r="T14" s="488"/>
      <c r="U14" s="488"/>
      <c r="V14" s="488"/>
      <c r="W14" s="488"/>
      <c r="X14" s="488"/>
      <c r="Y14" s="488"/>
      <c r="Z14" s="488"/>
      <c r="AA14" s="488"/>
      <c r="AB14" s="488"/>
      <c r="AC14" s="488"/>
      <c r="AD14" s="488"/>
      <c r="AE14" s="488"/>
      <c r="AF14" s="488"/>
      <c r="AG14" s="488"/>
      <c r="AH14" s="488"/>
      <c r="AI14" s="488"/>
      <c r="AJ14" s="488"/>
      <c r="AK14" s="488"/>
      <c r="AL14" s="488"/>
      <c r="AM14" s="488"/>
      <c r="AN14" s="488"/>
      <c r="AO14" s="488"/>
      <c r="AP14" s="488"/>
      <c r="AQ14" s="488"/>
      <c r="AR14" s="488"/>
      <c r="AS14" s="488"/>
      <c r="AT14" s="488"/>
      <c r="AU14" s="488"/>
      <c r="AV14" s="488"/>
      <c r="AW14" s="488"/>
      <c r="AX14" s="488"/>
      <c r="AY14" s="488"/>
      <c r="AZ14" s="488"/>
      <c r="BA14" s="488"/>
      <c r="BB14" s="488"/>
      <c r="BC14" s="488"/>
      <c r="BD14" s="488"/>
    </row>
    <row r="15" spans="1:56">
      <c r="A15" s="482">
        <v>101</v>
      </c>
      <c r="B15" s="481" t="s">
        <v>899</v>
      </c>
      <c r="C15" s="489">
        <v>1.0232026999999999</v>
      </c>
      <c r="D15" s="489">
        <v>0.97732300000000005</v>
      </c>
      <c r="E15" s="487"/>
      <c r="F15" s="489">
        <v>1.0199780000000001</v>
      </c>
      <c r="G15" s="489">
        <v>0.98041299999999998</v>
      </c>
      <c r="H15" s="482">
        <v>101</v>
      </c>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row>
    <row r="16" spans="1:56">
      <c r="A16" s="482"/>
      <c r="C16" s="487"/>
      <c r="D16" s="487"/>
      <c r="E16" s="487"/>
      <c r="F16" s="487"/>
      <c r="G16" s="487"/>
      <c r="H16" s="482"/>
      <c r="I16" s="488"/>
      <c r="J16" s="488"/>
      <c r="K16" s="488"/>
      <c r="L16" s="488"/>
      <c r="M16" s="488"/>
      <c r="N16" s="488"/>
      <c r="O16" s="488"/>
      <c r="P16" s="488"/>
      <c r="Q16" s="488"/>
      <c r="R16" s="488"/>
      <c r="S16" s="488"/>
      <c r="T16" s="488"/>
      <c r="U16" s="488"/>
      <c r="V16" s="488"/>
      <c r="W16" s="488"/>
      <c r="X16" s="488"/>
      <c r="Y16" s="488"/>
      <c r="Z16" s="488"/>
      <c r="AA16" s="488"/>
      <c r="AB16" s="488"/>
      <c r="AC16" s="488"/>
      <c r="AD16" s="488"/>
      <c r="AE16" s="488"/>
      <c r="AF16" s="488"/>
      <c r="AG16" s="488"/>
      <c r="AH16" s="488"/>
      <c r="AI16" s="488"/>
      <c r="AJ16" s="488"/>
      <c r="AK16" s="488"/>
      <c r="AL16" s="488"/>
      <c r="AM16" s="488"/>
      <c r="AN16" s="488"/>
      <c r="AO16" s="488"/>
      <c r="AP16" s="488"/>
      <c r="AQ16" s="488"/>
      <c r="AR16" s="488"/>
      <c r="AS16" s="488"/>
      <c r="AT16" s="488"/>
      <c r="AU16" s="488"/>
      <c r="AV16" s="488"/>
      <c r="AW16" s="488"/>
      <c r="AX16" s="488"/>
      <c r="AY16" s="488"/>
      <c r="AZ16" s="488"/>
      <c r="BA16" s="488"/>
      <c r="BB16" s="488"/>
      <c r="BC16" s="488"/>
      <c r="BD16" s="488"/>
    </row>
    <row r="17" spans="1:56">
      <c r="A17" s="482">
        <v>102</v>
      </c>
      <c r="B17" s="481" t="s">
        <v>900</v>
      </c>
      <c r="C17" s="489">
        <v>1.0435094</v>
      </c>
      <c r="D17" s="489">
        <v>0.95830499999999996</v>
      </c>
      <c r="E17" s="487"/>
      <c r="F17" s="489">
        <v>1.035974</v>
      </c>
      <c r="G17" s="489">
        <v>0.96527499999999999</v>
      </c>
      <c r="H17" s="482">
        <v>102</v>
      </c>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8"/>
      <c r="AF17" s="488"/>
      <c r="AG17" s="488"/>
      <c r="AH17" s="488"/>
      <c r="AI17" s="488"/>
      <c r="AJ17" s="488"/>
      <c r="AK17" s="488"/>
      <c r="AL17" s="488"/>
      <c r="AM17" s="488"/>
      <c r="AN17" s="488"/>
      <c r="AO17" s="488"/>
      <c r="AP17" s="488"/>
      <c r="AQ17" s="488"/>
      <c r="AR17" s="488"/>
      <c r="AS17" s="488"/>
      <c r="AT17" s="488"/>
      <c r="AU17" s="488"/>
      <c r="AV17" s="488"/>
      <c r="AW17" s="488"/>
      <c r="AX17" s="488"/>
      <c r="AY17" s="488"/>
      <c r="AZ17" s="488"/>
      <c r="BA17" s="488"/>
      <c r="BB17" s="488"/>
      <c r="BC17" s="488"/>
      <c r="BD17" s="488"/>
    </row>
    <row r="18" spans="1:56">
      <c r="A18" s="482"/>
      <c r="C18" s="487"/>
      <c r="D18" s="487"/>
      <c r="E18" s="487"/>
      <c r="F18" s="487"/>
      <c r="G18" s="487"/>
      <c r="H18" s="482"/>
      <c r="I18" s="488"/>
      <c r="J18" s="488"/>
      <c r="K18" s="488"/>
      <c r="L18" s="488"/>
      <c r="M18" s="488"/>
      <c r="N18" s="488"/>
      <c r="O18" s="488"/>
      <c r="P18" s="488"/>
      <c r="Q18" s="488"/>
      <c r="R18" s="488"/>
      <c r="S18" s="488"/>
      <c r="T18" s="488"/>
      <c r="U18" s="488"/>
      <c r="V18" s="488"/>
      <c r="W18" s="488"/>
      <c r="X18" s="488"/>
      <c r="Y18" s="488"/>
      <c r="Z18" s="488"/>
      <c r="AA18" s="488"/>
      <c r="AB18" s="488"/>
      <c r="AC18" s="488"/>
      <c r="AD18" s="488"/>
      <c r="AE18" s="488"/>
      <c r="AF18" s="488"/>
      <c r="AG18" s="488"/>
      <c r="AH18" s="488"/>
      <c r="AI18" s="488"/>
      <c r="AJ18" s="488"/>
      <c r="AK18" s="488"/>
      <c r="AL18" s="488"/>
      <c r="AM18" s="488"/>
      <c r="AN18" s="488"/>
      <c r="AO18" s="488"/>
      <c r="AP18" s="488"/>
      <c r="AQ18" s="488"/>
      <c r="AR18" s="488"/>
      <c r="AS18" s="488"/>
      <c r="AT18" s="488"/>
      <c r="AU18" s="488"/>
      <c r="AV18" s="488"/>
      <c r="AW18" s="488"/>
      <c r="AX18" s="488"/>
      <c r="AY18" s="488"/>
      <c r="AZ18" s="488"/>
      <c r="BA18" s="488"/>
      <c r="BB18" s="488"/>
      <c r="BC18" s="488"/>
      <c r="BD18" s="488"/>
    </row>
    <row r="19" spans="1:56">
      <c r="A19" s="482"/>
      <c r="B19" s="486" t="s">
        <v>915</v>
      </c>
      <c r="C19" s="487"/>
      <c r="D19" s="487"/>
      <c r="E19" s="487"/>
      <c r="F19" s="487"/>
      <c r="G19" s="487"/>
      <c r="H19" s="482"/>
      <c r="I19" s="488"/>
      <c r="J19" s="488"/>
      <c r="K19" s="488"/>
      <c r="L19" s="488"/>
      <c r="M19" s="488"/>
      <c r="N19" s="488"/>
      <c r="O19" s="488"/>
      <c r="P19" s="488"/>
      <c r="Q19" s="488"/>
      <c r="R19" s="488"/>
      <c r="S19" s="488"/>
      <c r="T19" s="488"/>
      <c r="U19" s="488"/>
      <c r="V19" s="488"/>
      <c r="W19" s="488"/>
      <c r="X19" s="488"/>
      <c r="Y19" s="488"/>
      <c r="Z19" s="488"/>
      <c r="AA19" s="488"/>
      <c r="AB19" s="488"/>
      <c r="AC19" s="488"/>
      <c r="AD19" s="488"/>
      <c r="AE19" s="488"/>
      <c r="AF19" s="488"/>
      <c r="AG19" s="488"/>
      <c r="AH19" s="488"/>
      <c r="AI19" s="488"/>
      <c r="AJ19" s="488"/>
      <c r="AK19" s="488"/>
      <c r="AL19" s="488"/>
      <c r="AM19" s="488"/>
      <c r="AN19" s="488"/>
      <c r="AO19" s="488"/>
      <c r="AP19" s="488"/>
      <c r="AQ19" s="488"/>
      <c r="AR19" s="488"/>
      <c r="AS19" s="488"/>
      <c r="AT19" s="488"/>
      <c r="AU19" s="488"/>
      <c r="AV19" s="488"/>
      <c r="AW19" s="488"/>
      <c r="AX19" s="488"/>
      <c r="AY19" s="488"/>
      <c r="AZ19" s="488"/>
      <c r="BA19" s="488"/>
      <c r="BB19" s="488"/>
      <c r="BC19" s="488"/>
      <c r="BD19" s="488"/>
    </row>
    <row r="20" spans="1:56">
      <c r="A20" s="482"/>
      <c r="C20" s="487"/>
      <c r="D20" s="487"/>
      <c r="E20" s="487"/>
      <c r="F20" s="487"/>
      <c r="G20" s="487"/>
      <c r="H20" s="482"/>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c r="AG20" s="488"/>
      <c r="AH20" s="488"/>
      <c r="AI20" s="488"/>
      <c r="AJ20" s="488"/>
      <c r="AK20" s="488"/>
      <c r="AL20" s="488"/>
      <c r="AM20" s="488"/>
      <c r="AN20" s="488"/>
      <c r="AO20" s="488"/>
      <c r="AP20" s="488"/>
      <c r="AQ20" s="488"/>
      <c r="AR20" s="488"/>
      <c r="AS20" s="488"/>
      <c r="AT20" s="488"/>
      <c r="AU20" s="488"/>
      <c r="AV20" s="488"/>
      <c r="AW20" s="488"/>
      <c r="AX20" s="488"/>
      <c r="AY20" s="488"/>
      <c r="AZ20" s="488"/>
      <c r="BA20" s="488"/>
      <c r="BB20" s="488"/>
      <c r="BC20" s="488"/>
      <c r="BD20" s="488"/>
    </row>
    <row r="21" spans="1:56">
      <c r="A21" s="482">
        <v>103</v>
      </c>
      <c r="B21" s="481" t="s">
        <v>901</v>
      </c>
      <c r="C21" s="489">
        <v>1.0741400000000001</v>
      </c>
      <c r="D21" s="489">
        <v>0.93096999999999996</v>
      </c>
      <c r="E21" s="487"/>
      <c r="F21" s="489">
        <v>1.0554699999999999</v>
      </c>
      <c r="G21" s="489">
        <v>0.94745000000000001</v>
      </c>
      <c r="H21" s="482">
        <v>103</v>
      </c>
      <c r="I21" s="488"/>
      <c r="J21" s="488"/>
      <c r="K21" s="488"/>
      <c r="L21" s="488"/>
      <c r="M21" s="488"/>
      <c r="N21" s="488"/>
      <c r="O21" s="488"/>
      <c r="P21" s="488"/>
      <c r="Q21" s="488"/>
      <c r="R21" s="488"/>
      <c r="S21" s="488"/>
      <c r="T21" s="488"/>
      <c r="U21" s="488"/>
      <c r="V21" s="488"/>
      <c r="W21" s="488"/>
      <c r="X21" s="488"/>
      <c r="Y21" s="488"/>
      <c r="Z21" s="488"/>
      <c r="AA21" s="488"/>
      <c r="AB21" s="488"/>
      <c r="AC21" s="488"/>
      <c r="AD21" s="488"/>
      <c r="AE21" s="488"/>
      <c r="AF21" s="488"/>
      <c r="AG21" s="488"/>
      <c r="AH21" s="488"/>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row>
    <row r="22" spans="1:56">
      <c r="A22" s="482"/>
      <c r="C22" s="487"/>
      <c r="D22" s="487"/>
      <c r="E22" s="487"/>
      <c r="F22" s="487"/>
      <c r="G22" s="487"/>
      <c r="H22" s="482"/>
      <c r="I22" s="488"/>
      <c r="J22" s="488"/>
      <c r="K22" s="488"/>
      <c r="L22" s="488"/>
      <c r="M22" s="488"/>
      <c r="N22" s="488"/>
      <c r="O22" s="488"/>
      <c r="P22" s="488"/>
      <c r="Q22" s="488"/>
      <c r="R22" s="488"/>
      <c r="S22" s="488"/>
      <c r="T22" s="488"/>
      <c r="U22" s="488"/>
      <c r="V22" s="488"/>
      <c r="W22" s="488"/>
      <c r="X22" s="488"/>
      <c r="Y22" s="488"/>
      <c r="Z22" s="488"/>
      <c r="AA22" s="488"/>
      <c r="AB22" s="488"/>
      <c r="AC22" s="488"/>
      <c r="AD22" s="488"/>
      <c r="AE22" s="488"/>
      <c r="AF22" s="488"/>
      <c r="AG22" s="488"/>
      <c r="AH22" s="488"/>
      <c r="AI22" s="488"/>
      <c r="AJ22" s="488"/>
      <c r="AK22" s="488"/>
      <c r="AL22" s="488"/>
      <c r="AM22" s="488"/>
      <c r="AN22" s="488"/>
      <c r="AO22" s="488"/>
      <c r="AP22" s="488"/>
      <c r="AQ22" s="488"/>
      <c r="AR22" s="488"/>
      <c r="AS22" s="488"/>
      <c r="AT22" s="488"/>
      <c r="AU22" s="488"/>
      <c r="AV22" s="488"/>
      <c r="AW22" s="488"/>
      <c r="AX22" s="488"/>
      <c r="AY22" s="488"/>
      <c r="AZ22" s="488"/>
      <c r="BA22" s="488"/>
      <c r="BB22" s="488"/>
      <c r="BC22" s="488"/>
      <c r="BD22" s="488"/>
    </row>
    <row r="23" spans="1:56">
      <c r="A23" s="482">
        <v>104</v>
      </c>
      <c r="B23" s="481" t="s">
        <v>902</v>
      </c>
      <c r="C23" s="489">
        <v>1.1384799999999999</v>
      </c>
      <c r="D23" s="489">
        <v>0.87836000000000003</v>
      </c>
      <c r="E23" s="487"/>
      <c r="F23" s="489">
        <v>1.1076999999999999</v>
      </c>
      <c r="G23" s="489">
        <v>0.90276999999999996</v>
      </c>
      <c r="H23" s="482">
        <v>104</v>
      </c>
      <c r="I23" s="488"/>
      <c r="J23" s="488"/>
      <c r="K23" s="488"/>
      <c r="L23" s="488"/>
      <c r="M23" s="488"/>
      <c r="N23" s="488"/>
      <c r="O23" s="488"/>
      <c r="P23" s="488"/>
      <c r="Q23" s="488"/>
      <c r="R23" s="488"/>
      <c r="S23" s="488"/>
      <c r="T23" s="488"/>
      <c r="U23" s="488"/>
      <c r="V23" s="488"/>
      <c r="W23" s="488"/>
      <c r="X23" s="488"/>
      <c r="Y23" s="488"/>
      <c r="Z23" s="488"/>
      <c r="AA23" s="488"/>
      <c r="AB23" s="488"/>
      <c r="AC23" s="488"/>
      <c r="AD23" s="488"/>
      <c r="AE23" s="488"/>
      <c r="AF23" s="488"/>
      <c r="AG23" s="488"/>
      <c r="AH23" s="488"/>
      <c r="AI23" s="488"/>
      <c r="AJ23" s="488"/>
      <c r="AK23" s="488"/>
      <c r="AL23" s="488"/>
      <c r="AM23" s="488"/>
      <c r="AN23" s="488"/>
      <c r="AO23" s="488"/>
      <c r="AP23" s="488"/>
      <c r="AQ23" s="488"/>
      <c r="AR23" s="488"/>
      <c r="AS23" s="488"/>
      <c r="AT23" s="488"/>
      <c r="AU23" s="488"/>
      <c r="AV23" s="488"/>
      <c r="AW23" s="488"/>
      <c r="AX23" s="488"/>
      <c r="AY23" s="488"/>
      <c r="AZ23" s="488"/>
      <c r="BA23" s="488"/>
      <c r="BB23" s="488"/>
      <c r="BC23" s="488"/>
      <c r="BD23" s="488"/>
    </row>
    <row r="24" spans="1:56">
      <c r="C24" s="488"/>
      <c r="D24" s="487"/>
      <c r="E24" s="487"/>
      <c r="F24" s="487"/>
      <c r="G24" s="487"/>
      <c r="H24" s="488"/>
      <c r="I24" s="488"/>
      <c r="J24" s="488"/>
      <c r="K24" s="488"/>
      <c r="L24" s="488"/>
      <c r="M24" s="488"/>
      <c r="N24" s="488"/>
      <c r="O24" s="488"/>
      <c r="P24" s="488"/>
      <c r="Q24" s="488"/>
      <c r="R24" s="488"/>
      <c r="S24" s="488"/>
      <c r="T24" s="488"/>
      <c r="U24" s="488"/>
      <c r="V24" s="488"/>
      <c r="W24" s="488"/>
      <c r="X24" s="488"/>
      <c r="Y24" s="488"/>
      <c r="Z24" s="488"/>
      <c r="AA24" s="488"/>
      <c r="AB24" s="488"/>
      <c r="AC24" s="488"/>
      <c r="AD24" s="488"/>
      <c r="AE24" s="488"/>
      <c r="AF24" s="488"/>
      <c r="AG24" s="488"/>
      <c r="AH24" s="488"/>
      <c r="AI24" s="488"/>
      <c r="AJ24" s="488"/>
      <c r="AK24" s="488"/>
      <c r="AL24" s="488"/>
      <c r="AM24" s="488"/>
      <c r="AN24" s="488"/>
      <c r="AO24" s="488"/>
      <c r="AP24" s="488"/>
      <c r="AQ24" s="488"/>
      <c r="AR24" s="488"/>
      <c r="AS24" s="488"/>
      <c r="AT24" s="488"/>
      <c r="AU24" s="488"/>
      <c r="AV24" s="488"/>
      <c r="AW24" s="488"/>
      <c r="AX24" s="488"/>
      <c r="AY24" s="488"/>
      <c r="AZ24" s="488"/>
      <c r="BA24" s="488"/>
      <c r="BB24" s="488"/>
      <c r="BC24" s="488"/>
      <c r="BD24" s="488"/>
    </row>
    <row r="25" spans="1:56">
      <c r="C25" s="488"/>
      <c r="D25" s="487"/>
      <c r="E25" s="487"/>
      <c r="F25" s="487"/>
      <c r="G25" s="487"/>
      <c r="H25" s="488"/>
      <c r="I25" s="488"/>
      <c r="J25" s="488"/>
      <c r="K25" s="488"/>
      <c r="L25" s="488"/>
      <c r="M25" s="488"/>
      <c r="N25" s="488"/>
      <c r="O25" s="488"/>
      <c r="P25" s="488"/>
      <c r="Q25" s="488"/>
      <c r="R25" s="488"/>
      <c r="S25" s="488"/>
      <c r="T25" s="488"/>
      <c r="U25" s="488"/>
      <c r="V25" s="488"/>
      <c r="W25" s="488"/>
      <c r="X25" s="488"/>
      <c r="Y25" s="488"/>
      <c r="Z25" s="488"/>
      <c r="AA25" s="488"/>
      <c r="AB25" s="488"/>
      <c r="AC25" s="488"/>
      <c r="AD25" s="488"/>
      <c r="AE25" s="488"/>
      <c r="AF25" s="488"/>
      <c r="AG25" s="488"/>
      <c r="AH25" s="488"/>
      <c r="AI25" s="488"/>
      <c r="AJ25" s="488"/>
      <c r="AK25" s="488"/>
      <c r="AL25" s="488"/>
      <c r="AM25" s="488"/>
      <c r="AN25" s="488"/>
      <c r="AO25" s="488"/>
      <c r="AP25" s="488"/>
      <c r="AQ25" s="488"/>
      <c r="AR25" s="488"/>
      <c r="AS25" s="488"/>
      <c r="AT25" s="488"/>
      <c r="AU25" s="488"/>
      <c r="AV25" s="488"/>
      <c r="AW25" s="488"/>
      <c r="AX25" s="488"/>
      <c r="AY25" s="488"/>
      <c r="AZ25" s="488"/>
      <c r="BA25" s="488"/>
      <c r="BB25" s="488"/>
      <c r="BC25" s="488"/>
      <c r="BD25" s="488"/>
    </row>
    <row r="26" spans="1:56" ht="15" customHeight="1">
      <c r="B26" s="977" t="s">
        <v>916</v>
      </c>
      <c r="C26" s="977"/>
      <c r="D26" s="977"/>
      <c r="E26" s="977"/>
      <c r="F26" s="977"/>
      <c r="G26" s="977"/>
      <c r="H26" s="488"/>
      <c r="I26" s="488"/>
      <c r="J26" s="488"/>
      <c r="K26" s="488"/>
      <c r="L26" s="488"/>
      <c r="M26" s="488"/>
      <c r="N26" s="488"/>
      <c r="O26" s="488"/>
      <c r="P26" s="488"/>
      <c r="Q26" s="488"/>
      <c r="R26" s="488"/>
      <c r="S26" s="488"/>
      <c r="T26" s="488"/>
      <c r="U26" s="488"/>
      <c r="V26" s="488"/>
      <c r="W26" s="488"/>
      <c r="X26" s="488"/>
      <c r="Y26" s="488"/>
      <c r="Z26" s="488"/>
      <c r="AA26" s="488"/>
      <c r="AB26" s="488"/>
      <c r="AC26" s="488"/>
      <c r="AD26" s="488"/>
      <c r="AE26" s="488"/>
      <c r="AF26" s="488"/>
      <c r="AG26" s="488"/>
      <c r="AH26" s="488"/>
      <c r="AI26" s="488"/>
      <c r="AJ26" s="488"/>
      <c r="AK26" s="488"/>
      <c r="AL26" s="488"/>
      <c r="AM26" s="488"/>
      <c r="AN26" s="488"/>
      <c r="AO26" s="488"/>
      <c r="AP26" s="488"/>
      <c r="AQ26" s="488"/>
      <c r="AR26" s="488"/>
      <c r="AS26" s="488"/>
      <c r="AT26" s="488"/>
      <c r="AU26" s="488"/>
      <c r="AV26" s="488"/>
      <c r="AW26" s="488"/>
      <c r="AX26" s="488"/>
      <c r="AY26" s="488"/>
      <c r="AZ26" s="488"/>
      <c r="BA26" s="488"/>
      <c r="BB26" s="488"/>
      <c r="BC26" s="488"/>
      <c r="BD26" s="488"/>
    </row>
    <row r="27" spans="1:56">
      <c r="B27" s="977"/>
      <c r="C27" s="977"/>
      <c r="D27" s="977"/>
      <c r="E27" s="977"/>
      <c r="F27" s="977"/>
      <c r="G27" s="977"/>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row>
    <row r="28" spans="1:56" ht="15" customHeight="1">
      <c r="B28" s="977" t="s">
        <v>917</v>
      </c>
      <c r="C28" s="977"/>
      <c r="D28" s="977"/>
      <c r="E28" s="977"/>
      <c r="F28" s="977"/>
      <c r="G28" s="977"/>
      <c r="H28" s="488"/>
      <c r="I28" s="488"/>
      <c r="J28" s="488"/>
      <c r="K28" s="488"/>
      <c r="L28" s="488"/>
      <c r="M28" s="488"/>
      <c r="N28" s="488"/>
      <c r="O28" s="488"/>
      <c r="P28" s="488"/>
      <c r="Q28" s="488"/>
      <c r="R28" s="488"/>
      <c r="S28" s="488"/>
      <c r="T28" s="488"/>
      <c r="U28" s="488"/>
      <c r="V28" s="488"/>
      <c r="W28" s="488"/>
      <c r="X28" s="488"/>
      <c r="Y28" s="488"/>
      <c r="Z28" s="488"/>
      <c r="AA28" s="488"/>
      <c r="AB28" s="488"/>
      <c r="AC28" s="488"/>
      <c r="AD28" s="488"/>
      <c r="AE28" s="488"/>
      <c r="AF28" s="488"/>
      <c r="AG28" s="488"/>
      <c r="AH28" s="488"/>
      <c r="AI28" s="488"/>
      <c r="AJ28" s="488"/>
      <c r="AK28" s="488"/>
      <c r="AL28" s="488"/>
      <c r="AM28" s="488"/>
      <c r="AN28" s="488"/>
      <c r="AO28" s="488"/>
      <c r="AP28" s="488"/>
      <c r="AQ28" s="488"/>
      <c r="AR28" s="488"/>
      <c r="AS28" s="488"/>
      <c r="AT28" s="488"/>
      <c r="AU28" s="488"/>
      <c r="AV28" s="488"/>
      <c r="AW28" s="488"/>
      <c r="AX28" s="488"/>
      <c r="AY28" s="488"/>
      <c r="AZ28" s="488"/>
      <c r="BA28" s="488"/>
      <c r="BB28" s="488"/>
      <c r="BC28" s="488"/>
      <c r="BD28" s="488"/>
    </row>
    <row r="29" spans="1:56">
      <c r="B29" s="977"/>
      <c r="C29" s="977"/>
      <c r="D29" s="977"/>
      <c r="E29" s="977"/>
      <c r="F29" s="977"/>
      <c r="G29" s="977"/>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88"/>
      <c r="AV29" s="488"/>
      <c r="AW29" s="488"/>
      <c r="AX29" s="488"/>
      <c r="AY29" s="488"/>
      <c r="AZ29" s="488"/>
      <c r="BA29" s="488"/>
      <c r="BB29" s="488"/>
      <c r="BC29" s="488"/>
      <c r="BD29" s="488"/>
    </row>
    <row r="30" spans="1:56">
      <c r="C30" s="488"/>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O30" s="488"/>
      <c r="AP30" s="488"/>
      <c r="AQ30" s="488"/>
      <c r="AR30" s="488"/>
      <c r="AS30" s="488"/>
      <c r="AT30" s="488"/>
      <c r="AU30" s="488"/>
      <c r="AV30" s="488"/>
      <c r="AW30" s="488"/>
      <c r="AX30" s="488"/>
      <c r="AY30" s="488"/>
      <c r="AZ30" s="488"/>
      <c r="BA30" s="488"/>
      <c r="BB30" s="488"/>
      <c r="BC30" s="488"/>
      <c r="BD30" s="488"/>
    </row>
    <row r="31" spans="1:56">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row>
    <row r="32" spans="1:56">
      <c r="C32" s="488"/>
      <c r="D32" s="48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row>
    <row r="33" spans="3:56">
      <c r="C33" s="488"/>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8"/>
      <c r="AO33" s="488"/>
      <c r="AP33" s="488"/>
      <c r="AQ33" s="488"/>
      <c r="AR33" s="488"/>
      <c r="AS33" s="488"/>
      <c r="AT33" s="488"/>
      <c r="AU33" s="488"/>
      <c r="AV33" s="488"/>
      <c r="AW33" s="488"/>
      <c r="AX33" s="488"/>
      <c r="AY33" s="488"/>
      <c r="AZ33" s="488"/>
      <c r="BA33" s="488"/>
      <c r="BB33" s="488"/>
      <c r="BC33" s="488"/>
      <c r="BD33" s="488"/>
    </row>
    <row r="34" spans="3:56">
      <c r="C34" s="488"/>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8"/>
      <c r="AO34" s="488"/>
      <c r="AP34" s="488"/>
      <c r="AQ34" s="488"/>
      <c r="AR34" s="488"/>
      <c r="AS34" s="488"/>
      <c r="AT34" s="488"/>
      <c r="AU34" s="488"/>
      <c r="AV34" s="488"/>
      <c r="AW34" s="488"/>
      <c r="AX34" s="488"/>
      <c r="AY34" s="488"/>
      <c r="AZ34" s="488"/>
      <c r="BA34" s="488"/>
      <c r="BB34" s="488"/>
      <c r="BC34" s="488"/>
      <c r="BD34" s="488"/>
    </row>
    <row r="35" spans="3:56">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488"/>
      <c r="AK35" s="488"/>
      <c r="AL35" s="488"/>
      <c r="AM35" s="488"/>
      <c r="AN35" s="488"/>
      <c r="AO35" s="488"/>
      <c r="AP35" s="488"/>
      <c r="AQ35" s="488"/>
      <c r="AR35" s="488"/>
      <c r="AS35" s="488"/>
      <c r="AT35" s="488"/>
      <c r="AU35" s="488"/>
      <c r="AV35" s="488"/>
      <c r="AW35" s="488"/>
      <c r="AX35" s="488"/>
      <c r="AY35" s="488"/>
      <c r="AZ35" s="488"/>
      <c r="BA35" s="488"/>
      <c r="BB35" s="488"/>
      <c r="BC35" s="488"/>
      <c r="BD35" s="488"/>
    </row>
    <row r="36" spans="3:56">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488"/>
      <c r="AO36" s="488"/>
      <c r="AP36" s="488"/>
      <c r="AQ36" s="488"/>
      <c r="AR36" s="488"/>
      <c r="AS36" s="488"/>
      <c r="AT36" s="488"/>
      <c r="AU36" s="488"/>
      <c r="AV36" s="488"/>
      <c r="AW36" s="488"/>
      <c r="AX36" s="488"/>
      <c r="AY36" s="488"/>
      <c r="AZ36" s="488"/>
      <c r="BA36" s="488"/>
      <c r="BB36" s="488"/>
      <c r="BC36" s="488"/>
      <c r="BD36" s="488"/>
    </row>
    <row r="37" spans="3:56">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8"/>
      <c r="AO37" s="488"/>
      <c r="AP37" s="488"/>
      <c r="AQ37" s="488"/>
      <c r="AR37" s="488"/>
      <c r="AS37" s="488"/>
      <c r="AT37" s="488"/>
      <c r="AU37" s="488"/>
      <c r="AV37" s="488"/>
      <c r="AW37" s="488"/>
      <c r="AX37" s="488"/>
      <c r="AY37" s="488"/>
      <c r="AZ37" s="488"/>
      <c r="BA37" s="488"/>
      <c r="BB37" s="488"/>
      <c r="BC37" s="488"/>
      <c r="BD37" s="488"/>
    </row>
    <row r="38" spans="3:56">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8"/>
      <c r="AO38" s="488"/>
      <c r="AP38" s="488"/>
      <c r="AQ38" s="488"/>
      <c r="AR38" s="488"/>
      <c r="AS38" s="488"/>
      <c r="AT38" s="488"/>
      <c r="AU38" s="488"/>
      <c r="AV38" s="488"/>
      <c r="AW38" s="488"/>
      <c r="AX38" s="488"/>
      <c r="AY38" s="488"/>
      <c r="AZ38" s="488"/>
      <c r="BA38" s="488"/>
      <c r="BB38" s="488"/>
      <c r="BC38" s="488"/>
      <c r="BD38" s="488"/>
    </row>
    <row r="39" spans="3:56">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8"/>
      <c r="AO39" s="488"/>
      <c r="AP39" s="488"/>
      <c r="AQ39" s="488"/>
      <c r="AR39" s="488"/>
      <c r="AS39" s="488"/>
      <c r="AT39" s="488"/>
      <c r="AU39" s="488"/>
      <c r="AV39" s="488"/>
      <c r="AW39" s="488"/>
      <c r="AX39" s="488"/>
      <c r="AY39" s="488"/>
      <c r="AZ39" s="488"/>
      <c r="BA39" s="488"/>
      <c r="BB39" s="488"/>
      <c r="BC39" s="488"/>
      <c r="BD39" s="488"/>
    </row>
    <row r="40" spans="3:56">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row>
    <row r="41" spans="3:56">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488"/>
      <c r="AZ41" s="488"/>
      <c r="BA41" s="488"/>
      <c r="BB41" s="488"/>
      <c r="BC41" s="488"/>
      <c r="BD41" s="488"/>
    </row>
    <row r="42" spans="3:56">
      <c r="C42" s="488"/>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8"/>
      <c r="AO42" s="488"/>
      <c r="AP42" s="488"/>
      <c r="AQ42" s="488"/>
      <c r="AR42" s="488"/>
      <c r="AS42" s="488"/>
      <c r="AT42" s="488"/>
      <c r="AU42" s="488"/>
      <c r="AV42" s="488"/>
      <c r="AW42" s="488"/>
      <c r="AX42" s="488"/>
      <c r="AY42" s="488"/>
      <c r="AZ42" s="488"/>
      <c r="BA42" s="488"/>
      <c r="BB42" s="488"/>
      <c r="BC42" s="488"/>
      <c r="BD42" s="488"/>
    </row>
    <row r="43" spans="3:56">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8"/>
      <c r="AO43" s="488"/>
      <c r="AP43" s="488"/>
      <c r="AQ43" s="488"/>
      <c r="AR43" s="488"/>
      <c r="AS43" s="488"/>
      <c r="AT43" s="488"/>
      <c r="AU43" s="488"/>
      <c r="AV43" s="488"/>
      <c r="AW43" s="488"/>
      <c r="AX43" s="488"/>
      <c r="AY43" s="488"/>
      <c r="AZ43" s="488"/>
      <c r="BA43" s="488"/>
      <c r="BB43" s="488"/>
      <c r="BC43" s="488"/>
      <c r="BD43" s="488"/>
    </row>
    <row r="44" spans="3:56">
      <c r="C44" s="488"/>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8"/>
      <c r="AO44" s="488"/>
      <c r="AP44" s="488"/>
      <c r="AQ44" s="488"/>
      <c r="AR44" s="488"/>
      <c r="AS44" s="488"/>
      <c r="AT44" s="488"/>
      <c r="AU44" s="488"/>
      <c r="AV44" s="488"/>
      <c r="AW44" s="488"/>
      <c r="AX44" s="488"/>
      <c r="AY44" s="488"/>
      <c r="AZ44" s="488"/>
      <c r="BA44" s="488"/>
      <c r="BB44" s="488"/>
      <c r="BC44" s="488"/>
      <c r="BD44" s="488"/>
    </row>
    <row r="45" spans="3:56">
      <c r="C45" s="488"/>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8"/>
      <c r="AO45" s="488"/>
      <c r="AP45" s="488"/>
      <c r="AQ45" s="488"/>
      <c r="AR45" s="488"/>
      <c r="AS45" s="488"/>
      <c r="AT45" s="488"/>
      <c r="AU45" s="488"/>
      <c r="AV45" s="488"/>
      <c r="AW45" s="488"/>
      <c r="AX45" s="488"/>
      <c r="AY45" s="488"/>
      <c r="AZ45" s="488"/>
      <c r="BA45" s="488"/>
      <c r="BB45" s="488"/>
      <c r="BC45" s="488"/>
      <c r="BD45" s="488"/>
    </row>
    <row r="46" spans="3:56">
      <c r="C46" s="488"/>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8"/>
      <c r="AO46" s="488"/>
      <c r="AP46" s="488"/>
      <c r="AQ46" s="488"/>
      <c r="AR46" s="488"/>
      <c r="AS46" s="488"/>
      <c r="AT46" s="488"/>
      <c r="AU46" s="488"/>
      <c r="AV46" s="488"/>
      <c r="AW46" s="488"/>
      <c r="AX46" s="488"/>
      <c r="AY46" s="488"/>
      <c r="AZ46" s="488"/>
      <c r="BA46" s="488"/>
      <c r="BB46" s="488"/>
      <c r="BC46" s="488"/>
      <c r="BD46" s="488"/>
    </row>
    <row r="47" spans="3:56">
      <c r="C47" s="488"/>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8"/>
      <c r="AO47" s="488"/>
      <c r="AP47" s="488"/>
      <c r="AQ47" s="488"/>
      <c r="AR47" s="488"/>
      <c r="AS47" s="488"/>
      <c r="AT47" s="488"/>
      <c r="AU47" s="488"/>
      <c r="AV47" s="488"/>
      <c r="AW47" s="488"/>
      <c r="AX47" s="488"/>
      <c r="AY47" s="488"/>
      <c r="AZ47" s="488"/>
      <c r="BA47" s="488"/>
      <c r="BB47" s="488"/>
      <c r="BC47" s="488"/>
      <c r="BD47" s="488"/>
    </row>
    <row r="48" spans="3:56">
      <c r="C48" s="488"/>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8"/>
      <c r="AO48" s="488"/>
      <c r="AP48" s="488"/>
      <c r="AQ48" s="488"/>
      <c r="AR48" s="488"/>
      <c r="AS48" s="488"/>
      <c r="AT48" s="488"/>
      <c r="AU48" s="488"/>
      <c r="AV48" s="488"/>
      <c r="AW48" s="488"/>
      <c r="AX48" s="488"/>
      <c r="AY48" s="488"/>
      <c r="AZ48" s="488"/>
      <c r="BA48" s="488"/>
      <c r="BB48" s="488"/>
      <c r="BC48" s="488"/>
      <c r="BD48" s="488"/>
    </row>
    <row r="49" spans="3:56">
      <c r="C49" s="488"/>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8"/>
      <c r="AO49" s="488"/>
      <c r="AP49" s="488"/>
      <c r="AQ49" s="488"/>
      <c r="AR49" s="488"/>
      <c r="AS49" s="488"/>
      <c r="AT49" s="488"/>
      <c r="AU49" s="488"/>
      <c r="AV49" s="488"/>
      <c r="AW49" s="488"/>
      <c r="AX49" s="488"/>
      <c r="AY49" s="488"/>
      <c r="AZ49" s="488"/>
      <c r="BA49" s="488"/>
      <c r="BB49" s="488"/>
      <c r="BC49" s="488"/>
      <c r="BD49" s="488"/>
    </row>
    <row r="50" spans="3:56">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488"/>
      <c r="AV50" s="488"/>
      <c r="AW50" s="488"/>
      <c r="AX50" s="488"/>
      <c r="AY50" s="488"/>
      <c r="AZ50" s="488"/>
      <c r="BA50" s="488"/>
      <c r="BB50" s="488"/>
      <c r="BC50" s="488"/>
      <c r="BD50" s="488"/>
    </row>
    <row r="51" spans="3:56">
      <c r="C51" s="488"/>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8"/>
      <c r="AO51" s="488"/>
      <c r="AP51" s="488"/>
      <c r="AQ51" s="488"/>
      <c r="AR51" s="488"/>
      <c r="AS51" s="488"/>
      <c r="AT51" s="488"/>
      <c r="AU51" s="488"/>
      <c r="AV51" s="488"/>
      <c r="AW51" s="488"/>
      <c r="AX51" s="488"/>
      <c r="AY51" s="488"/>
      <c r="AZ51" s="488"/>
      <c r="BA51" s="488"/>
      <c r="BB51" s="488"/>
      <c r="BC51" s="488"/>
      <c r="BD51" s="488"/>
    </row>
    <row r="52" spans="3:56">
      <c r="C52" s="488"/>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8"/>
      <c r="AO52" s="488"/>
      <c r="AP52" s="488"/>
      <c r="AQ52" s="488"/>
      <c r="AR52" s="488"/>
      <c r="AS52" s="488"/>
      <c r="AT52" s="488"/>
      <c r="AU52" s="488"/>
      <c r="AV52" s="488"/>
      <c r="AW52" s="488"/>
      <c r="AX52" s="488"/>
      <c r="AY52" s="488"/>
      <c r="AZ52" s="488"/>
      <c r="BA52" s="488"/>
      <c r="BB52" s="488"/>
      <c r="BC52" s="488"/>
      <c r="BD52" s="488"/>
    </row>
    <row r="53" spans="3:56">
      <c r="C53" s="488"/>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8"/>
      <c r="AO53" s="488"/>
      <c r="AP53" s="488"/>
      <c r="AQ53" s="488"/>
      <c r="AR53" s="488"/>
      <c r="AS53" s="488"/>
      <c r="AT53" s="488"/>
      <c r="AU53" s="488"/>
      <c r="AV53" s="488"/>
      <c r="AW53" s="488"/>
      <c r="AX53" s="488"/>
      <c r="AY53" s="488"/>
      <c r="AZ53" s="488"/>
      <c r="BA53" s="488"/>
      <c r="BB53" s="488"/>
      <c r="BC53" s="488"/>
      <c r="BD53" s="488"/>
    </row>
    <row r="54" spans="3:56">
      <c r="C54" s="488"/>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8"/>
      <c r="AO54" s="488"/>
      <c r="AP54" s="488"/>
      <c r="AQ54" s="488"/>
      <c r="AR54" s="488"/>
      <c r="AS54" s="488"/>
      <c r="AT54" s="488"/>
      <c r="AU54" s="488"/>
      <c r="AV54" s="488"/>
      <c r="AW54" s="488"/>
      <c r="AX54" s="488"/>
      <c r="AY54" s="488"/>
      <c r="AZ54" s="488"/>
      <c r="BA54" s="488"/>
      <c r="BB54" s="488"/>
      <c r="BC54" s="488"/>
      <c r="BD54" s="488"/>
    </row>
    <row r="55" spans="3:56">
      <c r="C55" s="488"/>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8"/>
      <c r="AO55" s="488"/>
      <c r="AP55" s="488"/>
      <c r="AQ55" s="488"/>
      <c r="AR55" s="488"/>
      <c r="AS55" s="488"/>
      <c r="AT55" s="488"/>
      <c r="AU55" s="488"/>
      <c r="AV55" s="488"/>
      <c r="AW55" s="488"/>
      <c r="AX55" s="488"/>
      <c r="AY55" s="488"/>
      <c r="AZ55" s="488"/>
      <c r="BA55" s="488"/>
      <c r="BB55" s="488"/>
      <c r="BC55" s="488"/>
      <c r="BD55" s="488"/>
    </row>
    <row r="56" spans="3:56">
      <c r="C56" s="488"/>
      <c r="D56" s="488"/>
      <c r="E56" s="488"/>
      <c r="F56" s="488"/>
      <c r="G56" s="488"/>
      <c r="H56" s="488"/>
      <c r="I56" s="488"/>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488"/>
      <c r="AM56" s="488"/>
      <c r="AN56" s="488"/>
      <c r="AO56" s="488"/>
      <c r="AP56" s="488"/>
      <c r="AQ56" s="488"/>
      <c r="AR56" s="488"/>
      <c r="AS56" s="488"/>
      <c r="AT56" s="488"/>
      <c r="AU56" s="488"/>
      <c r="AV56" s="488"/>
      <c r="AW56" s="488"/>
      <c r="AX56" s="488"/>
      <c r="AY56" s="488"/>
      <c r="AZ56" s="488"/>
      <c r="BA56" s="488"/>
      <c r="BB56" s="488"/>
      <c r="BC56" s="488"/>
      <c r="BD56" s="488"/>
    </row>
    <row r="57" spans="3:56">
      <c r="C57" s="488"/>
      <c r="D57" s="488"/>
      <c r="E57" s="488"/>
      <c r="F57" s="488"/>
      <c r="G57" s="488"/>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488"/>
      <c r="AM57" s="488"/>
      <c r="AN57" s="488"/>
      <c r="AO57" s="488"/>
      <c r="AP57" s="488"/>
      <c r="AQ57" s="488"/>
      <c r="AR57" s="488"/>
      <c r="AS57" s="488"/>
      <c r="AT57" s="488"/>
      <c r="AU57" s="488"/>
      <c r="AV57" s="488"/>
      <c r="AW57" s="488"/>
      <c r="AX57" s="488"/>
      <c r="AY57" s="488"/>
      <c r="AZ57" s="488"/>
      <c r="BA57" s="488"/>
      <c r="BB57" s="488"/>
      <c r="BC57" s="488"/>
      <c r="BD57" s="488"/>
    </row>
    <row r="58" spans="3:56">
      <c r="C58" s="488"/>
      <c r="D58" s="488"/>
      <c r="E58" s="488"/>
      <c r="F58" s="488"/>
      <c r="G58" s="488"/>
      <c r="H58" s="488"/>
      <c r="I58" s="488"/>
      <c r="J58" s="488"/>
      <c r="K58" s="488"/>
      <c r="L58" s="488"/>
      <c r="M58" s="488"/>
      <c r="N58" s="488"/>
      <c r="O58" s="488"/>
      <c r="P58" s="488"/>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c r="AW58" s="488"/>
      <c r="AX58" s="488"/>
      <c r="AY58" s="488"/>
      <c r="AZ58" s="488"/>
      <c r="BA58" s="488"/>
      <c r="BB58" s="488"/>
      <c r="BC58" s="488"/>
      <c r="BD58" s="488"/>
    </row>
    <row r="59" spans="3:56">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88"/>
      <c r="AG59" s="488"/>
      <c r="AH59" s="488"/>
      <c r="AI59" s="488"/>
      <c r="AJ59" s="488"/>
      <c r="AK59" s="488"/>
      <c r="AL59" s="488"/>
      <c r="AM59" s="488"/>
      <c r="AN59" s="488"/>
      <c r="AO59" s="488"/>
      <c r="AP59" s="488"/>
      <c r="AQ59" s="488"/>
      <c r="AR59" s="488"/>
      <c r="AS59" s="488"/>
      <c r="AT59" s="488"/>
      <c r="AU59" s="488"/>
      <c r="AV59" s="488"/>
      <c r="AW59" s="488"/>
      <c r="AX59" s="488"/>
      <c r="AY59" s="488"/>
      <c r="AZ59" s="488"/>
      <c r="BA59" s="488"/>
      <c r="BB59" s="488"/>
      <c r="BC59" s="488"/>
      <c r="BD59" s="488"/>
    </row>
    <row r="60" spans="3:56">
      <c r="C60" s="488"/>
      <c r="D60" s="488"/>
      <c r="E60" s="488"/>
      <c r="F60" s="488"/>
      <c r="G60" s="488"/>
      <c r="H60" s="488"/>
      <c r="I60" s="488"/>
      <c r="J60" s="488"/>
      <c r="K60" s="488"/>
      <c r="L60" s="488"/>
      <c r="M60" s="488"/>
      <c r="N60" s="488"/>
      <c r="O60" s="488"/>
      <c r="P60" s="488"/>
      <c r="Q60" s="488"/>
      <c r="R60" s="488"/>
      <c r="S60" s="488"/>
      <c r="T60" s="488"/>
      <c r="U60" s="488"/>
      <c r="V60" s="488"/>
      <c r="W60" s="488"/>
      <c r="X60" s="488"/>
      <c r="Y60" s="488"/>
      <c r="Z60" s="488"/>
      <c r="AA60" s="488"/>
      <c r="AB60" s="488"/>
      <c r="AC60" s="488"/>
      <c r="AD60" s="488"/>
      <c r="AE60" s="488"/>
      <c r="AF60" s="488"/>
      <c r="AG60" s="488"/>
      <c r="AH60" s="488"/>
      <c r="AI60" s="488"/>
      <c r="AJ60" s="488"/>
      <c r="AK60" s="488"/>
      <c r="AL60" s="488"/>
      <c r="AM60" s="488"/>
      <c r="AN60" s="488"/>
      <c r="AO60" s="488"/>
      <c r="AP60" s="488"/>
      <c r="AQ60" s="488"/>
      <c r="AR60" s="488"/>
      <c r="AS60" s="488"/>
      <c r="AT60" s="488"/>
      <c r="AU60" s="488"/>
      <c r="AV60" s="488"/>
      <c r="AW60" s="488"/>
      <c r="AX60" s="488"/>
      <c r="AY60" s="488"/>
      <c r="AZ60" s="488"/>
      <c r="BA60" s="488"/>
      <c r="BB60" s="488"/>
      <c r="BC60" s="488"/>
      <c r="BD60" s="488"/>
    </row>
    <row r="61" spans="3:56">
      <c r="C61" s="488"/>
      <c r="D61" s="488"/>
      <c r="E61" s="488"/>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c r="AI61" s="488"/>
      <c r="AJ61" s="488"/>
      <c r="AK61" s="488"/>
      <c r="AL61" s="488"/>
      <c r="AM61" s="488"/>
      <c r="AN61" s="488"/>
      <c r="AO61" s="488"/>
      <c r="AP61" s="488"/>
      <c r="AQ61" s="488"/>
      <c r="AR61" s="488"/>
      <c r="AS61" s="488"/>
      <c r="AT61" s="488"/>
      <c r="AU61" s="488"/>
      <c r="AV61" s="488"/>
      <c r="AW61" s="488"/>
      <c r="AX61" s="488"/>
      <c r="AY61" s="488"/>
      <c r="AZ61" s="488"/>
      <c r="BA61" s="488"/>
      <c r="BB61" s="488"/>
      <c r="BC61" s="488"/>
      <c r="BD61" s="488"/>
    </row>
    <row r="62" spans="3:56">
      <c r="C62" s="488"/>
      <c r="D62" s="488"/>
      <c r="E62" s="488"/>
      <c r="F62" s="488"/>
      <c r="G62" s="488"/>
      <c r="H62" s="488"/>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8"/>
      <c r="AG62" s="488"/>
      <c r="AH62" s="488"/>
      <c r="AI62" s="488"/>
      <c r="AJ62" s="488"/>
      <c r="AK62" s="488"/>
      <c r="AL62" s="488"/>
      <c r="AM62" s="488"/>
      <c r="AN62" s="488"/>
      <c r="AO62" s="488"/>
      <c r="AP62" s="488"/>
      <c r="AQ62" s="488"/>
      <c r="AR62" s="488"/>
      <c r="AS62" s="488"/>
      <c r="AT62" s="488"/>
      <c r="AU62" s="488"/>
      <c r="AV62" s="488"/>
      <c r="AW62" s="488"/>
      <c r="AX62" s="488"/>
      <c r="AY62" s="488"/>
      <c r="AZ62" s="488"/>
      <c r="BA62" s="488"/>
      <c r="BB62" s="488"/>
      <c r="BC62" s="488"/>
      <c r="BD62" s="488"/>
    </row>
    <row r="63" spans="3:56">
      <c r="C63" s="488"/>
      <c r="D63" s="488"/>
      <c r="E63" s="488"/>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488"/>
      <c r="AN63" s="488"/>
      <c r="AO63" s="488"/>
      <c r="AP63" s="488"/>
      <c r="AQ63" s="488"/>
      <c r="AR63" s="488"/>
      <c r="AS63" s="488"/>
      <c r="AT63" s="488"/>
      <c r="AU63" s="488"/>
      <c r="AV63" s="488"/>
      <c r="AW63" s="488"/>
      <c r="AX63" s="488"/>
      <c r="AY63" s="488"/>
      <c r="AZ63" s="488"/>
      <c r="BA63" s="488"/>
      <c r="BB63" s="488"/>
      <c r="BC63" s="488"/>
      <c r="BD63" s="488"/>
    </row>
    <row r="64" spans="3:56">
      <c r="C64" s="488"/>
      <c r="D64" s="488"/>
      <c r="E64" s="488"/>
      <c r="F64" s="488"/>
      <c r="G64" s="488"/>
      <c r="H64" s="488"/>
      <c r="I64" s="488"/>
      <c r="J64" s="488"/>
      <c r="K64" s="488"/>
      <c r="L64" s="488"/>
      <c r="M64" s="488"/>
      <c r="N64" s="488"/>
      <c r="O64" s="488"/>
      <c r="P64" s="488"/>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c r="AW64" s="488"/>
      <c r="AX64" s="488"/>
      <c r="AY64" s="488"/>
      <c r="AZ64" s="488"/>
      <c r="BA64" s="488"/>
      <c r="BB64" s="488"/>
      <c r="BC64" s="488"/>
      <c r="BD64" s="488"/>
    </row>
    <row r="65" spans="3:56">
      <c r="C65" s="488"/>
      <c r="D65" s="488"/>
      <c r="E65" s="488"/>
      <c r="F65" s="488"/>
      <c r="G65" s="488"/>
      <c r="H65" s="488"/>
      <c r="I65" s="488"/>
      <c r="J65" s="488"/>
      <c r="K65" s="488"/>
      <c r="L65" s="488"/>
      <c r="M65" s="488"/>
      <c r="N65" s="488"/>
      <c r="O65" s="488"/>
      <c r="P65" s="488"/>
      <c r="Q65" s="488"/>
      <c r="R65" s="488"/>
      <c r="S65" s="488"/>
      <c r="T65" s="488"/>
      <c r="U65" s="488"/>
      <c r="V65" s="488"/>
      <c r="W65" s="488"/>
      <c r="X65" s="488"/>
      <c r="Y65" s="488"/>
      <c r="Z65" s="488"/>
      <c r="AA65" s="488"/>
      <c r="AB65" s="488"/>
      <c r="AC65" s="488"/>
      <c r="AD65" s="488"/>
      <c r="AE65" s="488"/>
      <c r="AF65" s="488"/>
      <c r="AG65" s="488"/>
      <c r="AH65" s="488"/>
      <c r="AI65" s="488"/>
      <c r="AJ65" s="488"/>
      <c r="AK65" s="488"/>
      <c r="AL65" s="488"/>
      <c r="AM65" s="488"/>
      <c r="AN65" s="488"/>
      <c r="AO65" s="488"/>
      <c r="AP65" s="488"/>
      <c r="AQ65" s="488"/>
      <c r="AR65" s="488"/>
      <c r="AS65" s="488"/>
      <c r="AT65" s="488"/>
      <c r="AU65" s="488"/>
      <c r="AV65" s="488"/>
      <c r="AW65" s="488"/>
      <c r="AX65" s="488"/>
      <c r="AY65" s="488"/>
      <c r="AZ65" s="488"/>
      <c r="BA65" s="488"/>
      <c r="BB65" s="488"/>
      <c r="BC65" s="488"/>
      <c r="BD65" s="488"/>
    </row>
    <row r="66" spans="3:56">
      <c r="C66" s="488"/>
      <c r="D66" s="488"/>
      <c r="E66" s="488"/>
      <c r="F66" s="488"/>
      <c r="G66" s="488"/>
      <c r="H66" s="488"/>
      <c r="I66" s="488"/>
      <c r="J66" s="488"/>
      <c r="K66" s="488"/>
      <c r="L66" s="488"/>
      <c r="M66" s="488"/>
      <c r="N66" s="488"/>
      <c r="O66" s="488"/>
      <c r="P66" s="488"/>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c r="AW66" s="488"/>
      <c r="AX66" s="488"/>
      <c r="AY66" s="488"/>
      <c r="AZ66" s="488"/>
      <c r="BA66" s="488"/>
      <c r="BB66" s="488"/>
      <c r="BC66" s="488"/>
      <c r="BD66" s="488"/>
    </row>
    <row r="67" spans="3:56">
      <c r="C67" s="488"/>
      <c r="D67" s="488"/>
      <c r="E67" s="488"/>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c r="AY67" s="488"/>
      <c r="AZ67" s="488"/>
      <c r="BA67" s="488"/>
      <c r="BB67" s="488"/>
      <c r="BC67" s="488"/>
      <c r="BD67" s="488"/>
    </row>
    <row r="68" spans="3:56">
      <c r="C68" s="488"/>
      <c r="D68" s="488"/>
      <c r="E68" s="488"/>
      <c r="F68" s="488"/>
      <c r="G68" s="488"/>
      <c r="H68" s="488"/>
      <c r="I68" s="488"/>
      <c r="J68" s="488"/>
      <c r="K68" s="488"/>
      <c r="L68" s="488"/>
      <c r="M68" s="488"/>
      <c r="N68" s="488"/>
      <c r="O68" s="488"/>
      <c r="P68" s="488"/>
      <c r="Q68" s="488"/>
      <c r="R68" s="488"/>
      <c r="S68" s="488"/>
      <c r="T68" s="488"/>
      <c r="U68" s="488"/>
      <c r="V68" s="488"/>
      <c r="W68" s="488"/>
      <c r="X68" s="488"/>
      <c r="Y68" s="488"/>
      <c r="Z68" s="488"/>
      <c r="AA68" s="488"/>
      <c r="AB68" s="488"/>
      <c r="AC68" s="488"/>
      <c r="AD68" s="488"/>
      <c r="AE68" s="488"/>
      <c r="AF68" s="488"/>
      <c r="AG68" s="488"/>
      <c r="AH68" s="488"/>
      <c r="AI68" s="488"/>
      <c r="AJ68" s="488"/>
      <c r="AK68" s="488"/>
      <c r="AL68" s="488"/>
      <c r="AM68" s="488"/>
      <c r="AN68" s="488"/>
      <c r="AO68" s="488"/>
      <c r="AP68" s="488"/>
      <c r="AQ68" s="488"/>
      <c r="AR68" s="488"/>
      <c r="AS68" s="488"/>
      <c r="AT68" s="488"/>
      <c r="AU68" s="488"/>
      <c r="AV68" s="488"/>
      <c r="AW68" s="488"/>
      <c r="AX68" s="488"/>
      <c r="AY68" s="488"/>
      <c r="AZ68" s="488"/>
      <c r="BA68" s="488"/>
      <c r="BB68" s="488"/>
      <c r="BC68" s="488"/>
      <c r="BD68" s="488"/>
    </row>
    <row r="69" spans="3:56">
      <c r="C69" s="488"/>
      <c r="D69" s="488"/>
      <c r="E69" s="488"/>
      <c r="F69" s="488"/>
      <c r="G69" s="488"/>
      <c r="H69" s="488"/>
      <c r="I69" s="488"/>
      <c r="J69" s="488"/>
      <c r="K69" s="488"/>
      <c r="L69" s="488"/>
      <c r="M69" s="488"/>
      <c r="N69" s="488"/>
      <c r="O69" s="488"/>
      <c r="P69" s="488"/>
      <c r="Q69" s="488"/>
      <c r="R69" s="488"/>
      <c r="S69" s="488"/>
      <c r="T69" s="488"/>
      <c r="U69" s="488"/>
      <c r="V69" s="488"/>
      <c r="W69" s="488"/>
      <c r="X69" s="488"/>
      <c r="Y69" s="488"/>
      <c r="Z69" s="488"/>
      <c r="AA69" s="488"/>
      <c r="AB69" s="488"/>
      <c r="AC69" s="488"/>
      <c r="AD69" s="488"/>
      <c r="AE69" s="488"/>
      <c r="AF69" s="488"/>
      <c r="AG69" s="488"/>
      <c r="AH69" s="488"/>
      <c r="AI69" s="488"/>
      <c r="AJ69" s="488"/>
      <c r="AK69" s="488"/>
      <c r="AL69" s="488"/>
      <c r="AM69" s="488"/>
      <c r="AN69" s="488"/>
      <c r="AO69" s="488"/>
      <c r="AP69" s="488"/>
      <c r="AQ69" s="488"/>
      <c r="AR69" s="488"/>
      <c r="AS69" s="488"/>
      <c r="AT69" s="488"/>
      <c r="AU69" s="488"/>
      <c r="AV69" s="488"/>
      <c r="AW69" s="488"/>
      <c r="AX69" s="488"/>
      <c r="AY69" s="488"/>
      <c r="AZ69" s="488"/>
      <c r="BA69" s="488"/>
      <c r="BB69" s="488"/>
      <c r="BC69" s="488"/>
      <c r="BD69" s="488"/>
    </row>
    <row r="70" spans="3:56">
      <c r="C70" s="488"/>
      <c r="D70" s="488"/>
      <c r="E70" s="488"/>
      <c r="F70" s="488"/>
      <c r="G70" s="488"/>
      <c r="H70" s="488"/>
      <c r="I70" s="488"/>
      <c r="J70" s="488"/>
      <c r="K70" s="488"/>
      <c r="L70" s="488"/>
      <c r="M70" s="488"/>
      <c r="N70" s="488"/>
      <c r="O70" s="488"/>
      <c r="P70" s="488"/>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c r="AW70" s="488"/>
      <c r="AX70" s="488"/>
      <c r="AY70" s="488"/>
      <c r="AZ70" s="488"/>
      <c r="BA70" s="488"/>
      <c r="BB70" s="488"/>
      <c r="BC70" s="488"/>
      <c r="BD70" s="488"/>
    </row>
    <row r="71" spans="3:56">
      <c r="C71" s="488"/>
      <c r="D71" s="488"/>
      <c r="E71" s="488"/>
      <c r="F71" s="488"/>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c r="AW71" s="488"/>
      <c r="AX71" s="488"/>
      <c r="AY71" s="488"/>
      <c r="AZ71" s="488"/>
      <c r="BA71" s="488"/>
      <c r="BB71" s="488"/>
      <c r="BC71" s="488"/>
      <c r="BD71" s="488"/>
    </row>
    <row r="72" spans="3:56">
      <c r="C72" s="488"/>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A72" s="488"/>
      <c r="AB72" s="488"/>
      <c r="AC72" s="488"/>
      <c r="AD72" s="488"/>
      <c r="AE72" s="488"/>
      <c r="AF72" s="488"/>
      <c r="AG72" s="488"/>
      <c r="AH72" s="488"/>
      <c r="AI72" s="488"/>
      <c r="AJ72" s="488"/>
      <c r="AK72" s="488"/>
      <c r="AL72" s="488"/>
      <c r="AM72" s="488"/>
      <c r="AN72" s="488"/>
      <c r="AO72" s="488"/>
      <c r="AP72" s="488"/>
      <c r="AQ72" s="488"/>
      <c r="AR72" s="488"/>
      <c r="AS72" s="488"/>
      <c r="AT72" s="488"/>
      <c r="AU72" s="488"/>
      <c r="AV72" s="488"/>
      <c r="AW72" s="488"/>
      <c r="AX72" s="488"/>
      <c r="AY72" s="488"/>
      <c r="AZ72" s="488"/>
      <c r="BA72" s="488"/>
      <c r="BB72" s="488"/>
      <c r="BC72" s="488"/>
      <c r="BD72" s="488"/>
    </row>
    <row r="73" spans="3:56">
      <c r="C73" s="488"/>
      <c r="D73" s="488"/>
      <c r="E73" s="488"/>
      <c r="F73" s="488"/>
      <c r="G73" s="488"/>
      <c r="H73" s="488"/>
      <c r="I73" s="488"/>
      <c r="J73" s="488"/>
      <c r="K73" s="488"/>
      <c r="L73" s="488"/>
      <c r="M73" s="488"/>
      <c r="N73" s="488"/>
      <c r="O73" s="488"/>
      <c r="P73" s="488"/>
      <c r="Q73" s="488"/>
      <c r="R73" s="488"/>
      <c r="S73" s="488"/>
      <c r="T73" s="488"/>
      <c r="U73" s="488"/>
      <c r="V73" s="488"/>
      <c r="W73" s="488"/>
      <c r="X73" s="488"/>
      <c r="Y73" s="488"/>
      <c r="Z73" s="488"/>
      <c r="AA73" s="488"/>
      <c r="AB73" s="488"/>
      <c r="AC73" s="488"/>
      <c r="AD73" s="488"/>
      <c r="AE73" s="488"/>
      <c r="AF73" s="488"/>
      <c r="AG73" s="488"/>
      <c r="AH73" s="488"/>
      <c r="AI73" s="488"/>
      <c r="AJ73" s="488"/>
      <c r="AK73" s="488"/>
      <c r="AL73" s="488"/>
      <c r="AM73" s="488"/>
      <c r="AN73" s="488"/>
      <c r="AO73" s="488"/>
      <c r="AP73" s="488"/>
      <c r="AQ73" s="488"/>
      <c r="AR73" s="488"/>
      <c r="AS73" s="488"/>
      <c r="AT73" s="488"/>
      <c r="AU73" s="488"/>
      <c r="AV73" s="488"/>
      <c r="AW73" s="488"/>
      <c r="AX73" s="488"/>
      <c r="AY73" s="488"/>
      <c r="AZ73" s="488"/>
      <c r="BA73" s="488"/>
      <c r="BB73" s="488"/>
      <c r="BC73" s="488"/>
      <c r="BD73" s="488"/>
    </row>
    <row r="74" spans="3:56">
      <c r="C74" s="488"/>
      <c r="D74" s="488"/>
      <c r="E74" s="488"/>
      <c r="F74" s="488"/>
      <c r="G74" s="488"/>
      <c r="H74" s="488"/>
      <c r="I74" s="488"/>
      <c r="J74" s="488"/>
      <c r="K74" s="488"/>
      <c r="L74" s="488"/>
      <c r="M74" s="488"/>
      <c r="N74" s="488"/>
      <c r="O74" s="488"/>
      <c r="P74" s="488"/>
      <c r="Q74" s="488"/>
      <c r="R74" s="488"/>
      <c r="S74" s="488"/>
      <c r="T74" s="488"/>
      <c r="U74" s="488"/>
      <c r="V74" s="488"/>
      <c r="W74" s="488"/>
      <c r="X74" s="488"/>
      <c r="Y74" s="488"/>
      <c r="Z74" s="488"/>
      <c r="AA74" s="488"/>
      <c r="AB74" s="488"/>
      <c r="AC74" s="488"/>
      <c r="AD74" s="488"/>
      <c r="AE74" s="488"/>
      <c r="AF74" s="488"/>
      <c r="AG74" s="488"/>
      <c r="AH74" s="488"/>
      <c r="AI74" s="488"/>
      <c r="AJ74" s="488"/>
      <c r="AK74" s="488"/>
      <c r="AL74" s="488"/>
      <c r="AM74" s="488"/>
      <c r="AN74" s="488"/>
      <c r="AO74" s="488"/>
      <c r="AP74" s="488"/>
      <c r="AQ74" s="488"/>
      <c r="AR74" s="488"/>
      <c r="AS74" s="488"/>
      <c r="AT74" s="488"/>
      <c r="AU74" s="488"/>
      <c r="AV74" s="488"/>
      <c r="AW74" s="488"/>
      <c r="AX74" s="488"/>
      <c r="AY74" s="488"/>
      <c r="AZ74" s="488"/>
      <c r="BA74" s="488"/>
      <c r="BB74" s="488"/>
      <c r="BC74" s="488"/>
      <c r="BD74" s="488"/>
    </row>
    <row r="75" spans="3:56">
      <c r="C75" s="488"/>
      <c r="D75" s="488"/>
      <c r="E75" s="488"/>
      <c r="F75" s="488"/>
      <c r="G75" s="488"/>
      <c r="H75" s="488"/>
      <c r="I75" s="488"/>
      <c r="J75" s="488"/>
      <c r="K75" s="488"/>
      <c r="L75" s="488"/>
      <c r="M75" s="488"/>
      <c r="N75" s="488"/>
      <c r="O75" s="488"/>
      <c r="P75" s="488"/>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c r="AW75" s="488"/>
      <c r="AX75" s="488"/>
      <c r="AY75" s="488"/>
      <c r="AZ75" s="488"/>
      <c r="BA75" s="488"/>
      <c r="BB75" s="488"/>
      <c r="BC75" s="488"/>
      <c r="BD75" s="488"/>
    </row>
    <row r="76" spans="3:56">
      <c r="C76" s="488"/>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c r="AB76" s="488"/>
      <c r="AC76" s="488"/>
      <c r="AD76" s="488"/>
      <c r="AE76" s="488"/>
      <c r="AF76" s="488"/>
      <c r="AG76" s="488"/>
      <c r="AH76" s="488"/>
      <c r="AI76" s="488"/>
      <c r="AJ76" s="488"/>
      <c r="AK76" s="488"/>
      <c r="AL76" s="488"/>
      <c r="AM76" s="488"/>
      <c r="AN76" s="488"/>
      <c r="AO76" s="488"/>
      <c r="AP76" s="488"/>
      <c r="AQ76" s="488"/>
      <c r="AR76" s="488"/>
      <c r="AS76" s="488"/>
      <c r="AT76" s="488"/>
      <c r="AU76" s="488"/>
      <c r="AV76" s="488"/>
      <c r="AW76" s="488"/>
      <c r="AX76" s="488"/>
      <c r="AY76" s="488"/>
      <c r="AZ76" s="488"/>
      <c r="BA76" s="488"/>
      <c r="BB76" s="488"/>
      <c r="BC76" s="488"/>
      <c r="BD76" s="488"/>
    </row>
    <row r="77" spans="3:56">
      <c r="C77" s="488"/>
      <c r="D77" s="488"/>
      <c r="E77" s="488"/>
      <c r="F77" s="488"/>
      <c r="G77" s="488"/>
      <c r="H77" s="488"/>
      <c r="I77" s="488"/>
      <c r="J77" s="488"/>
      <c r="K77" s="488"/>
      <c r="L77" s="488"/>
      <c r="M77" s="488"/>
      <c r="N77" s="488"/>
      <c r="O77" s="488"/>
      <c r="P77" s="488"/>
      <c r="Q77" s="488"/>
      <c r="R77" s="488"/>
      <c r="S77" s="488"/>
      <c r="T77" s="488"/>
      <c r="U77" s="488"/>
      <c r="V77" s="488"/>
      <c r="W77" s="488"/>
      <c r="X77" s="488"/>
      <c r="Y77" s="488"/>
      <c r="Z77" s="488"/>
      <c r="AA77" s="488"/>
      <c r="AB77" s="488"/>
      <c r="AC77" s="488"/>
      <c r="AD77" s="488"/>
      <c r="AE77" s="488"/>
      <c r="AF77" s="488"/>
      <c r="AG77" s="488"/>
      <c r="AH77" s="488"/>
      <c r="AI77" s="488"/>
      <c r="AJ77" s="488"/>
      <c r="AK77" s="488"/>
      <c r="AL77" s="488"/>
      <c r="AM77" s="488"/>
      <c r="AN77" s="488"/>
      <c r="AO77" s="488"/>
      <c r="AP77" s="488"/>
      <c r="AQ77" s="488"/>
      <c r="AR77" s="488"/>
      <c r="AS77" s="488"/>
      <c r="AT77" s="488"/>
      <c r="AU77" s="488"/>
      <c r="AV77" s="488"/>
      <c r="AW77" s="488"/>
      <c r="AX77" s="488"/>
      <c r="AY77" s="488"/>
      <c r="AZ77" s="488"/>
      <c r="BA77" s="488"/>
      <c r="BB77" s="488"/>
      <c r="BC77" s="488"/>
      <c r="BD77" s="488"/>
    </row>
    <row r="78" spans="3:56">
      <c r="C78" s="488"/>
      <c r="D78" s="488"/>
      <c r="E78" s="488"/>
      <c r="F78" s="488"/>
      <c r="G78" s="488"/>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c r="AH78" s="488"/>
      <c r="AI78" s="488"/>
      <c r="AJ78" s="488"/>
      <c r="AK78" s="488"/>
      <c r="AL78" s="488"/>
      <c r="AM78" s="488"/>
      <c r="AN78" s="488"/>
      <c r="AO78" s="488"/>
      <c r="AP78" s="488"/>
      <c r="AQ78" s="488"/>
      <c r="AR78" s="488"/>
      <c r="AS78" s="488"/>
      <c r="AT78" s="488"/>
      <c r="AU78" s="488"/>
      <c r="AV78" s="488"/>
      <c r="AW78" s="488"/>
      <c r="AX78" s="488"/>
      <c r="AY78" s="488"/>
      <c r="AZ78" s="488"/>
      <c r="BA78" s="488"/>
      <c r="BB78" s="488"/>
      <c r="BC78" s="488"/>
      <c r="BD78" s="488"/>
    </row>
    <row r="79" spans="3:56">
      <c r="C79" s="488"/>
      <c r="D79" s="488"/>
      <c r="E79" s="488"/>
      <c r="F79" s="488"/>
      <c r="G79" s="488"/>
      <c r="H79" s="488"/>
      <c r="I79" s="488"/>
      <c r="J79" s="488"/>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c r="AI79" s="488"/>
      <c r="AJ79" s="488"/>
      <c r="AK79" s="488"/>
      <c r="AL79" s="488"/>
      <c r="AM79" s="488"/>
      <c r="AN79" s="488"/>
      <c r="AO79" s="488"/>
      <c r="AP79" s="488"/>
      <c r="AQ79" s="488"/>
      <c r="AR79" s="488"/>
      <c r="AS79" s="488"/>
      <c r="AT79" s="488"/>
      <c r="AU79" s="488"/>
      <c r="AV79" s="488"/>
      <c r="AW79" s="488"/>
      <c r="AX79" s="488"/>
      <c r="AY79" s="488"/>
      <c r="AZ79" s="488"/>
      <c r="BA79" s="488"/>
      <c r="BB79" s="488"/>
      <c r="BC79" s="488"/>
      <c r="BD79" s="488"/>
    </row>
    <row r="80" spans="3:56">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c r="AX80" s="488"/>
      <c r="AY80" s="488"/>
      <c r="AZ80" s="488"/>
      <c r="BA80" s="488"/>
      <c r="BB80" s="488"/>
      <c r="BC80" s="488"/>
      <c r="BD80" s="488"/>
    </row>
    <row r="81" spans="3:56">
      <c r="C81" s="488"/>
      <c r="D81" s="488"/>
      <c r="E81" s="488"/>
      <c r="F81" s="488"/>
      <c r="G81" s="488"/>
      <c r="H81" s="488"/>
      <c r="I81" s="488"/>
      <c r="J81" s="488"/>
      <c r="K81" s="488"/>
      <c r="L81" s="488"/>
      <c r="M81" s="488"/>
      <c r="N81" s="488"/>
      <c r="O81" s="488"/>
      <c r="P81" s="488"/>
      <c r="Q81" s="488"/>
      <c r="R81" s="488"/>
      <c r="S81" s="488"/>
      <c r="T81" s="488"/>
      <c r="U81" s="488"/>
      <c r="V81" s="488"/>
      <c r="W81" s="488"/>
      <c r="X81" s="488"/>
      <c r="Y81" s="488"/>
      <c r="Z81" s="488"/>
      <c r="AA81" s="488"/>
      <c r="AB81" s="488"/>
      <c r="AC81" s="488"/>
      <c r="AD81" s="488"/>
      <c r="AE81" s="488"/>
      <c r="AF81" s="488"/>
      <c r="AG81" s="488"/>
      <c r="AH81" s="488"/>
      <c r="AI81" s="488"/>
      <c r="AJ81" s="488"/>
      <c r="AK81" s="488"/>
      <c r="AL81" s="488"/>
      <c r="AM81" s="488"/>
      <c r="AN81" s="488"/>
      <c r="AO81" s="488"/>
      <c r="AP81" s="488"/>
      <c r="AQ81" s="488"/>
      <c r="AR81" s="488"/>
      <c r="AS81" s="488"/>
      <c r="AT81" s="488"/>
      <c r="AU81" s="488"/>
      <c r="AV81" s="488"/>
      <c r="AW81" s="488"/>
      <c r="AX81" s="488"/>
      <c r="AY81" s="488"/>
      <c r="AZ81" s="488"/>
      <c r="BA81" s="488"/>
      <c r="BB81" s="488"/>
      <c r="BC81" s="488"/>
      <c r="BD81" s="488"/>
    </row>
    <row r="82" spans="3:56">
      <c r="C82" s="488"/>
      <c r="D82" s="488"/>
      <c r="E82" s="488"/>
      <c r="F82" s="488"/>
      <c r="G82" s="488"/>
      <c r="H82" s="488"/>
      <c r="I82" s="488"/>
      <c r="J82" s="488"/>
      <c r="K82" s="488"/>
      <c r="L82" s="488"/>
      <c r="M82" s="488"/>
      <c r="N82" s="488"/>
      <c r="O82" s="488"/>
      <c r="P82" s="488"/>
      <c r="Q82" s="488"/>
      <c r="R82" s="488"/>
      <c r="S82" s="488"/>
      <c r="T82" s="488"/>
      <c r="U82" s="488"/>
      <c r="V82" s="488"/>
      <c r="W82" s="488"/>
      <c r="X82" s="488"/>
      <c r="Y82" s="488"/>
      <c r="Z82" s="488"/>
      <c r="AA82" s="488"/>
      <c r="AB82" s="488"/>
      <c r="AC82" s="488"/>
      <c r="AD82" s="488"/>
      <c r="AE82" s="488"/>
      <c r="AF82" s="488"/>
      <c r="AG82" s="488"/>
      <c r="AH82" s="488"/>
      <c r="AI82" s="488"/>
      <c r="AJ82" s="488"/>
      <c r="AK82" s="488"/>
      <c r="AL82" s="488"/>
      <c r="AM82" s="488"/>
      <c r="AN82" s="488"/>
      <c r="AO82" s="488"/>
      <c r="AP82" s="488"/>
      <c r="AQ82" s="488"/>
      <c r="AR82" s="488"/>
      <c r="AS82" s="488"/>
      <c r="AT82" s="488"/>
      <c r="AU82" s="488"/>
      <c r="AV82" s="488"/>
      <c r="AW82" s="488"/>
      <c r="AX82" s="488"/>
      <c r="AY82" s="488"/>
      <c r="AZ82" s="488"/>
      <c r="BA82" s="488"/>
      <c r="BB82" s="488"/>
      <c r="BC82" s="488"/>
      <c r="BD82" s="488"/>
    </row>
    <row r="83" spans="3:56">
      <c r="C83" s="488"/>
      <c r="D83" s="488"/>
      <c r="E83" s="488"/>
      <c r="F83" s="488"/>
      <c r="G83" s="488"/>
      <c r="H83" s="488"/>
      <c r="I83" s="488"/>
      <c r="J83" s="488"/>
      <c r="K83" s="488"/>
      <c r="L83" s="488"/>
      <c r="M83" s="488"/>
      <c r="N83" s="488"/>
      <c r="O83" s="488"/>
      <c r="P83" s="488"/>
      <c r="Q83" s="488"/>
      <c r="R83" s="488"/>
      <c r="S83" s="488"/>
      <c r="T83" s="488"/>
      <c r="U83" s="488"/>
      <c r="V83" s="488"/>
      <c r="W83" s="488"/>
      <c r="X83" s="488"/>
      <c r="Y83" s="488"/>
      <c r="Z83" s="488"/>
      <c r="AA83" s="488"/>
      <c r="AB83" s="488"/>
      <c r="AC83" s="488"/>
      <c r="AD83" s="488"/>
      <c r="AE83" s="488"/>
      <c r="AF83" s="488"/>
      <c r="AG83" s="488"/>
      <c r="AH83" s="488"/>
      <c r="AI83" s="488"/>
      <c r="AJ83" s="488"/>
      <c r="AK83" s="488"/>
      <c r="AL83" s="488"/>
      <c r="AM83" s="488"/>
      <c r="AN83" s="488"/>
      <c r="AO83" s="488"/>
      <c r="AP83" s="488"/>
      <c r="AQ83" s="488"/>
      <c r="AR83" s="488"/>
      <c r="AS83" s="488"/>
      <c r="AT83" s="488"/>
      <c r="AU83" s="488"/>
      <c r="AV83" s="488"/>
      <c r="AW83" s="488"/>
      <c r="AX83" s="488"/>
      <c r="AY83" s="488"/>
      <c r="AZ83" s="488"/>
      <c r="BA83" s="488"/>
      <c r="BB83" s="488"/>
      <c r="BC83" s="488"/>
      <c r="BD83" s="488"/>
    </row>
    <row r="84" spans="3:56">
      <c r="C84" s="488"/>
      <c r="D84" s="488"/>
      <c r="E84" s="488"/>
      <c r="F84" s="488"/>
      <c r="G84" s="488"/>
      <c r="H84" s="488"/>
      <c r="I84" s="488"/>
      <c r="J84" s="488"/>
      <c r="K84" s="488"/>
      <c r="L84" s="488"/>
      <c r="M84" s="488"/>
      <c r="N84" s="488"/>
      <c r="O84" s="488"/>
      <c r="P84" s="488"/>
      <c r="Q84" s="488"/>
      <c r="R84" s="488"/>
      <c r="S84" s="488"/>
      <c r="T84" s="488"/>
      <c r="U84" s="488"/>
      <c r="V84" s="488"/>
      <c r="W84" s="488"/>
      <c r="X84" s="488"/>
      <c r="Y84" s="488"/>
      <c r="Z84" s="488"/>
      <c r="AA84" s="488"/>
      <c r="AB84" s="488"/>
      <c r="AC84" s="488"/>
      <c r="AD84" s="488"/>
      <c r="AE84" s="488"/>
      <c r="AF84" s="488"/>
      <c r="AG84" s="488"/>
      <c r="AH84" s="488"/>
      <c r="AI84" s="488"/>
      <c r="AJ84" s="488"/>
      <c r="AK84" s="488"/>
      <c r="AL84" s="488"/>
      <c r="AM84" s="488"/>
      <c r="AN84" s="488"/>
      <c r="AO84" s="488"/>
      <c r="AP84" s="488"/>
      <c r="AQ84" s="488"/>
      <c r="AR84" s="488"/>
      <c r="AS84" s="488"/>
      <c r="AT84" s="488"/>
      <c r="AU84" s="488"/>
      <c r="AV84" s="488"/>
      <c r="AW84" s="488"/>
      <c r="AX84" s="488"/>
      <c r="AY84" s="488"/>
      <c r="AZ84" s="488"/>
      <c r="BA84" s="488"/>
      <c r="BB84" s="488"/>
      <c r="BC84" s="488"/>
      <c r="BD84" s="488"/>
    </row>
    <row r="85" spans="3:56">
      <c r="C85" s="488"/>
      <c r="D85" s="488"/>
      <c r="E85" s="488"/>
      <c r="F85" s="488"/>
      <c r="G85" s="488"/>
      <c r="H85" s="488"/>
      <c r="I85" s="488"/>
      <c r="J85" s="488"/>
      <c r="K85" s="488"/>
      <c r="L85" s="488"/>
      <c r="M85" s="488"/>
      <c r="N85" s="488"/>
      <c r="O85" s="488"/>
      <c r="P85" s="488"/>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c r="AW85" s="488"/>
      <c r="AX85" s="488"/>
      <c r="AY85" s="488"/>
      <c r="AZ85" s="488"/>
      <c r="BA85" s="488"/>
      <c r="BB85" s="488"/>
      <c r="BC85" s="488"/>
      <c r="BD85" s="488"/>
    </row>
    <row r="86" spans="3:56">
      <c r="C86" s="488"/>
      <c r="D86" s="488"/>
      <c r="E86" s="488"/>
      <c r="F86" s="488"/>
      <c r="G86" s="488"/>
      <c r="H86" s="488"/>
      <c r="I86" s="488"/>
      <c r="J86" s="488"/>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c r="AH86" s="488"/>
      <c r="AI86" s="488"/>
      <c r="AJ86" s="488"/>
      <c r="AK86" s="488"/>
      <c r="AL86" s="488"/>
      <c r="AM86" s="488"/>
      <c r="AN86" s="488"/>
      <c r="AO86" s="488"/>
      <c r="AP86" s="488"/>
      <c r="AQ86" s="488"/>
      <c r="AR86" s="488"/>
      <c r="AS86" s="488"/>
      <c r="AT86" s="488"/>
      <c r="AU86" s="488"/>
      <c r="AV86" s="488"/>
      <c r="AW86" s="488"/>
      <c r="AX86" s="488"/>
      <c r="AY86" s="488"/>
      <c r="AZ86" s="488"/>
      <c r="BA86" s="488"/>
      <c r="BB86" s="488"/>
      <c r="BC86" s="488"/>
      <c r="BD86" s="488"/>
    </row>
    <row r="87" spans="3:56">
      <c r="C87" s="488"/>
      <c r="D87" s="488"/>
      <c r="E87" s="488"/>
      <c r="F87" s="488"/>
      <c r="G87" s="48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c r="AI87" s="488"/>
      <c r="AJ87" s="488"/>
      <c r="AK87" s="488"/>
      <c r="AL87" s="488"/>
      <c r="AM87" s="488"/>
      <c r="AN87" s="488"/>
      <c r="AO87" s="488"/>
      <c r="AP87" s="488"/>
      <c r="AQ87" s="488"/>
      <c r="AR87" s="488"/>
      <c r="AS87" s="488"/>
      <c r="AT87" s="488"/>
      <c r="AU87" s="488"/>
      <c r="AV87" s="488"/>
      <c r="AW87" s="488"/>
      <c r="AX87" s="488"/>
      <c r="AY87" s="488"/>
      <c r="AZ87" s="488"/>
      <c r="BA87" s="488"/>
      <c r="BB87" s="488"/>
      <c r="BC87" s="488"/>
      <c r="BD87" s="488"/>
    </row>
    <row r="88" spans="3:56">
      <c r="C88" s="488"/>
      <c r="D88" s="488"/>
      <c r="E88" s="488"/>
      <c r="F88" s="488"/>
      <c r="G88" s="488"/>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c r="AI88" s="488"/>
      <c r="AJ88" s="488"/>
      <c r="AK88" s="488"/>
      <c r="AL88" s="488"/>
      <c r="AM88" s="488"/>
      <c r="AN88" s="488"/>
      <c r="AO88" s="488"/>
      <c r="AP88" s="488"/>
      <c r="AQ88" s="488"/>
      <c r="AR88" s="488"/>
      <c r="AS88" s="488"/>
      <c r="AT88" s="488"/>
      <c r="AU88" s="488"/>
      <c r="AV88" s="488"/>
      <c r="AW88" s="488"/>
      <c r="AX88" s="488"/>
      <c r="AY88" s="488"/>
      <c r="AZ88" s="488"/>
      <c r="BA88" s="488"/>
      <c r="BB88" s="488"/>
      <c r="BC88" s="488"/>
      <c r="BD88" s="488"/>
    </row>
    <row r="89" spans="3:56">
      <c r="C89" s="488"/>
      <c r="D89" s="488"/>
      <c r="E89" s="488"/>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c r="AH89" s="488"/>
      <c r="AI89" s="488"/>
      <c r="AJ89" s="488"/>
      <c r="AK89" s="488"/>
      <c r="AL89" s="488"/>
      <c r="AM89" s="488"/>
      <c r="AN89" s="488"/>
      <c r="AO89" s="488"/>
      <c r="AP89" s="488"/>
      <c r="AQ89" s="488"/>
      <c r="AR89" s="488"/>
      <c r="AS89" s="488"/>
      <c r="AT89" s="488"/>
      <c r="AU89" s="488"/>
      <c r="AV89" s="488"/>
      <c r="AW89" s="488"/>
      <c r="AX89" s="488"/>
      <c r="AY89" s="488"/>
      <c r="AZ89" s="488"/>
      <c r="BA89" s="488"/>
      <c r="BB89" s="488"/>
      <c r="BC89" s="488"/>
      <c r="BD89" s="488"/>
    </row>
    <row r="90" spans="3:56">
      <c r="C90" s="488"/>
      <c r="D90" s="488"/>
      <c r="E90" s="488"/>
      <c r="F90" s="488"/>
      <c r="G90" s="488"/>
      <c r="H90" s="488"/>
      <c r="I90" s="488"/>
      <c r="J90" s="488"/>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c r="AH90" s="488"/>
      <c r="AI90" s="488"/>
      <c r="AJ90" s="488"/>
      <c r="AK90" s="488"/>
      <c r="AL90" s="488"/>
      <c r="AM90" s="488"/>
      <c r="AN90" s="488"/>
      <c r="AO90" s="488"/>
      <c r="AP90" s="488"/>
      <c r="AQ90" s="488"/>
      <c r="AR90" s="488"/>
      <c r="AS90" s="488"/>
      <c r="AT90" s="488"/>
      <c r="AU90" s="488"/>
      <c r="AV90" s="488"/>
      <c r="AW90" s="488"/>
      <c r="AX90" s="488"/>
      <c r="AY90" s="488"/>
      <c r="AZ90" s="488"/>
      <c r="BA90" s="488"/>
      <c r="BB90" s="488"/>
      <c r="BC90" s="488"/>
      <c r="BD90" s="488"/>
    </row>
    <row r="91" spans="3:56">
      <c r="C91" s="488"/>
      <c r="D91" s="488"/>
      <c r="E91" s="488"/>
      <c r="F91" s="488"/>
      <c r="G91" s="488"/>
      <c r="H91" s="488"/>
      <c r="I91" s="488"/>
      <c r="J91" s="488"/>
      <c r="K91" s="488"/>
      <c r="L91" s="488"/>
      <c r="M91" s="488"/>
      <c r="N91" s="488"/>
      <c r="O91" s="488"/>
      <c r="P91" s="488"/>
      <c r="Q91" s="488"/>
      <c r="R91" s="488"/>
      <c r="S91" s="488"/>
      <c r="T91" s="488"/>
      <c r="U91" s="488"/>
      <c r="V91" s="488"/>
      <c r="W91" s="488"/>
      <c r="X91" s="488"/>
      <c r="Y91" s="488"/>
      <c r="Z91" s="488"/>
      <c r="AA91" s="488"/>
      <c r="AB91" s="488"/>
      <c r="AC91" s="488"/>
      <c r="AD91" s="488"/>
      <c r="AE91" s="488"/>
      <c r="AF91" s="488"/>
      <c r="AG91" s="488"/>
      <c r="AH91" s="488"/>
      <c r="AI91" s="488"/>
      <c r="AJ91" s="488"/>
      <c r="AK91" s="488"/>
      <c r="AL91" s="488"/>
      <c r="AM91" s="488"/>
      <c r="AN91" s="488"/>
      <c r="AO91" s="488"/>
      <c r="AP91" s="488"/>
      <c r="AQ91" s="488"/>
      <c r="AR91" s="488"/>
      <c r="AS91" s="488"/>
      <c r="AT91" s="488"/>
      <c r="AU91" s="488"/>
      <c r="AV91" s="488"/>
      <c r="AW91" s="488"/>
      <c r="AX91" s="488"/>
      <c r="AY91" s="488"/>
      <c r="AZ91" s="488"/>
      <c r="BA91" s="488"/>
      <c r="BB91" s="488"/>
      <c r="BC91" s="488"/>
      <c r="BD91" s="488"/>
    </row>
    <row r="92" spans="3:56">
      <c r="C92" s="488"/>
      <c r="D92" s="488"/>
      <c r="E92" s="488"/>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c r="AI92" s="488"/>
      <c r="AJ92" s="488"/>
      <c r="AK92" s="488"/>
      <c r="AL92" s="488"/>
      <c r="AM92" s="488"/>
      <c r="AN92" s="488"/>
      <c r="AO92" s="488"/>
      <c r="AP92" s="488"/>
      <c r="AQ92" s="488"/>
      <c r="AR92" s="488"/>
      <c r="AS92" s="488"/>
      <c r="AT92" s="488"/>
      <c r="AU92" s="488"/>
      <c r="AV92" s="488"/>
      <c r="AW92" s="488"/>
      <c r="AX92" s="488"/>
      <c r="AY92" s="488"/>
      <c r="AZ92" s="488"/>
      <c r="BA92" s="488"/>
      <c r="BB92" s="488"/>
      <c r="BC92" s="488"/>
      <c r="BD92" s="488"/>
    </row>
    <row r="93" spans="3:56">
      <c r="C93" s="488"/>
      <c r="D93" s="488"/>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O93" s="488"/>
      <c r="AP93" s="488"/>
      <c r="AQ93" s="488"/>
      <c r="AR93" s="488"/>
      <c r="AS93" s="488"/>
      <c r="AT93" s="488"/>
      <c r="AU93" s="488"/>
      <c r="AV93" s="488"/>
      <c r="AW93" s="488"/>
      <c r="AX93" s="488"/>
      <c r="AY93" s="488"/>
      <c r="AZ93" s="488"/>
      <c r="BA93" s="488"/>
      <c r="BB93" s="488"/>
      <c r="BC93" s="488"/>
      <c r="BD93" s="488"/>
    </row>
    <row r="94" spans="3:56">
      <c r="C94" s="488"/>
      <c r="D94" s="488"/>
      <c r="E94" s="488"/>
      <c r="F94" s="488"/>
      <c r="G94" s="488"/>
      <c r="H94" s="488"/>
      <c r="I94" s="488"/>
      <c r="J94" s="488"/>
      <c r="K94" s="488"/>
      <c r="L94" s="488"/>
      <c r="M94" s="488"/>
      <c r="N94" s="488"/>
      <c r="O94" s="488"/>
      <c r="P94" s="488"/>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c r="AY94" s="488"/>
      <c r="AZ94" s="488"/>
      <c r="BA94" s="488"/>
      <c r="BB94" s="488"/>
      <c r="BC94" s="488"/>
      <c r="BD94" s="488"/>
    </row>
    <row r="95" spans="3:56">
      <c r="C95" s="488"/>
      <c r="D95" s="488"/>
      <c r="E95" s="488"/>
      <c r="F95" s="488"/>
      <c r="G95" s="488"/>
      <c r="H95" s="488"/>
      <c r="I95" s="488"/>
      <c r="J95" s="488"/>
      <c r="K95" s="488"/>
      <c r="L95" s="488"/>
      <c r="M95" s="488"/>
      <c r="N95" s="488"/>
      <c r="O95" s="488"/>
      <c r="P95" s="488"/>
      <c r="Q95" s="488"/>
      <c r="R95" s="488"/>
      <c r="S95" s="488"/>
      <c r="T95" s="488"/>
      <c r="U95" s="488"/>
      <c r="V95" s="488"/>
      <c r="W95" s="488"/>
      <c r="X95" s="488"/>
      <c r="Y95" s="488"/>
      <c r="Z95" s="488"/>
      <c r="AA95" s="488"/>
      <c r="AB95" s="488"/>
      <c r="AC95" s="488"/>
      <c r="AD95" s="488"/>
      <c r="AE95" s="488"/>
      <c r="AF95" s="488"/>
      <c r="AG95" s="488"/>
      <c r="AH95" s="488"/>
      <c r="AI95" s="488"/>
      <c r="AJ95" s="488"/>
      <c r="AK95" s="488"/>
      <c r="AL95" s="488"/>
      <c r="AM95" s="488"/>
      <c r="AN95" s="488"/>
      <c r="AO95" s="488"/>
      <c r="AP95" s="488"/>
      <c r="AQ95" s="488"/>
      <c r="AR95" s="488"/>
      <c r="AS95" s="488"/>
      <c r="AT95" s="488"/>
      <c r="AU95" s="488"/>
      <c r="AV95" s="488"/>
      <c r="AW95" s="488"/>
      <c r="AX95" s="488"/>
      <c r="AY95" s="488"/>
      <c r="AZ95" s="488"/>
      <c r="BA95" s="488"/>
      <c r="BB95" s="488"/>
      <c r="BC95" s="488"/>
      <c r="BD95" s="488"/>
    </row>
    <row r="96" spans="3:56">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O96" s="488"/>
      <c r="AP96" s="488"/>
      <c r="AQ96" s="488"/>
      <c r="AR96" s="488"/>
      <c r="AS96" s="488"/>
      <c r="AT96" s="488"/>
      <c r="AU96" s="488"/>
      <c r="AV96" s="488"/>
      <c r="AW96" s="488"/>
      <c r="AX96" s="488"/>
      <c r="AY96" s="488"/>
      <c r="AZ96" s="488"/>
      <c r="BA96" s="488"/>
      <c r="BB96" s="488"/>
      <c r="BC96" s="488"/>
      <c r="BD96" s="488"/>
    </row>
    <row r="97" spans="3:56">
      <c r="C97" s="488"/>
      <c r="D97" s="488"/>
      <c r="E97" s="488"/>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c r="AI97" s="488"/>
      <c r="AJ97" s="488"/>
      <c r="AK97" s="488"/>
      <c r="AL97" s="488"/>
      <c r="AM97" s="488"/>
      <c r="AN97" s="488"/>
      <c r="AO97" s="488"/>
      <c r="AP97" s="488"/>
      <c r="AQ97" s="488"/>
      <c r="AR97" s="488"/>
      <c r="AS97" s="488"/>
      <c r="AT97" s="488"/>
      <c r="AU97" s="488"/>
      <c r="AV97" s="488"/>
      <c r="AW97" s="488"/>
      <c r="AX97" s="488"/>
      <c r="AY97" s="488"/>
      <c r="AZ97" s="488"/>
      <c r="BA97" s="488"/>
      <c r="BB97" s="488"/>
      <c r="BC97" s="488"/>
      <c r="BD97" s="488"/>
    </row>
    <row r="98" spans="3:56">
      <c r="C98" s="488"/>
      <c r="D98" s="488"/>
      <c r="E98" s="488"/>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488"/>
      <c r="AE98" s="488"/>
      <c r="AF98" s="488"/>
      <c r="AG98" s="488"/>
      <c r="AH98" s="488"/>
      <c r="AI98" s="488"/>
      <c r="AJ98" s="488"/>
      <c r="AK98" s="488"/>
      <c r="AL98" s="488"/>
      <c r="AM98" s="488"/>
      <c r="AN98" s="488"/>
      <c r="AO98" s="488"/>
      <c r="AP98" s="488"/>
      <c r="AQ98" s="488"/>
      <c r="AR98" s="488"/>
      <c r="AS98" s="488"/>
      <c r="AT98" s="488"/>
      <c r="AU98" s="488"/>
      <c r="AV98" s="488"/>
      <c r="AW98" s="488"/>
      <c r="AX98" s="488"/>
      <c r="AY98" s="488"/>
      <c r="AZ98" s="488"/>
      <c r="BA98" s="488"/>
      <c r="BB98" s="488"/>
      <c r="BC98" s="488"/>
      <c r="BD98" s="488"/>
    </row>
    <row r="99" spans="3:56">
      <c r="C99" s="488"/>
      <c r="D99" s="488"/>
      <c r="E99" s="488"/>
      <c r="F99" s="488"/>
      <c r="G99" s="488"/>
      <c r="H99" s="488"/>
      <c r="I99" s="488"/>
      <c r="J99" s="488"/>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c r="AH99" s="488"/>
      <c r="AI99" s="488"/>
      <c r="AJ99" s="488"/>
      <c r="AK99" s="488"/>
      <c r="AL99" s="488"/>
      <c r="AM99" s="488"/>
      <c r="AN99" s="488"/>
      <c r="AO99" s="488"/>
      <c r="AP99" s="488"/>
      <c r="AQ99" s="488"/>
      <c r="AR99" s="488"/>
      <c r="AS99" s="488"/>
      <c r="AT99" s="488"/>
      <c r="AU99" s="488"/>
      <c r="AV99" s="488"/>
      <c r="AW99" s="488"/>
      <c r="AX99" s="488"/>
      <c r="AY99" s="488"/>
      <c r="AZ99" s="488"/>
      <c r="BA99" s="488"/>
      <c r="BB99" s="488"/>
      <c r="BC99" s="488"/>
      <c r="BD99" s="488"/>
    </row>
    <row r="100" spans="3:56">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8"/>
      <c r="AM100" s="488"/>
      <c r="AN100" s="488"/>
      <c r="AO100" s="488"/>
      <c r="AP100" s="488"/>
      <c r="AQ100" s="488"/>
      <c r="AR100" s="488"/>
      <c r="AS100" s="488"/>
      <c r="AT100" s="488"/>
      <c r="AU100" s="488"/>
      <c r="AV100" s="488"/>
      <c r="AW100" s="488"/>
      <c r="AX100" s="488"/>
      <c r="AY100" s="488"/>
      <c r="AZ100" s="488"/>
      <c r="BA100" s="488"/>
      <c r="BB100" s="488"/>
      <c r="BC100" s="488"/>
      <c r="BD100" s="488"/>
    </row>
    <row r="101" spans="3:56">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8"/>
      <c r="AM101" s="488"/>
      <c r="AN101" s="488"/>
      <c r="AO101" s="488"/>
      <c r="AP101" s="488"/>
      <c r="AQ101" s="488"/>
      <c r="AR101" s="488"/>
      <c r="AS101" s="488"/>
      <c r="AT101" s="488"/>
      <c r="AU101" s="488"/>
      <c r="AV101" s="488"/>
      <c r="AW101" s="488"/>
      <c r="AX101" s="488"/>
      <c r="AY101" s="488"/>
      <c r="AZ101" s="488"/>
      <c r="BA101" s="488"/>
      <c r="BB101" s="488"/>
      <c r="BC101" s="488"/>
      <c r="BD101" s="488"/>
    </row>
    <row r="102" spans="3:56">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8"/>
      <c r="AM102" s="488"/>
      <c r="AN102" s="488"/>
      <c r="AO102" s="488"/>
      <c r="AP102" s="488"/>
      <c r="AQ102" s="488"/>
      <c r="AR102" s="488"/>
      <c r="AS102" s="488"/>
      <c r="AT102" s="488"/>
      <c r="AU102" s="488"/>
      <c r="AV102" s="488"/>
      <c r="AW102" s="488"/>
      <c r="AX102" s="488"/>
      <c r="AY102" s="488"/>
      <c r="AZ102" s="488"/>
      <c r="BA102" s="488"/>
      <c r="BB102" s="488"/>
      <c r="BC102" s="488"/>
      <c r="BD102" s="488"/>
    </row>
    <row r="103" spans="3:56">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c r="AY103" s="488"/>
      <c r="AZ103" s="488"/>
      <c r="BA103" s="488"/>
      <c r="BB103" s="488"/>
      <c r="BC103" s="488"/>
      <c r="BD103" s="488"/>
    </row>
    <row r="104" spans="3:56">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8"/>
      <c r="AM104" s="488"/>
      <c r="AN104" s="488"/>
      <c r="AO104" s="488"/>
      <c r="AP104" s="488"/>
      <c r="AQ104" s="488"/>
      <c r="AR104" s="488"/>
      <c r="AS104" s="488"/>
      <c r="AT104" s="488"/>
      <c r="AU104" s="488"/>
      <c r="AV104" s="488"/>
      <c r="AW104" s="488"/>
      <c r="AX104" s="488"/>
      <c r="AY104" s="488"/>
      <c r="AZ104" s="488"/>
      <c r="BA104" s="488"/>
      <c r="BB104" s="488"/>
      <c r="BC104" s="488"/>
      <c r="BD104" s="488"/>
    </row>
    <row r="105" spans="3:56">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8"/>
      <c r="AM105" s="488"/>
      <c r="AN105" s="488"/>
      <c r="AO105" s="488"/>
      <c r="AP105" s="488"/>
      <c r="AQ105" s="488"/>
      <c r="AR105" s="488"/>
      <c r="AS105" s="488"/>
      <c r="AT105" s="488"/>
      <c r="AU105" s="488"/>
      <c r="AV105" s="488"/>
      <c r="AW105" s="488"/>
      <c r="AX105" s="488"/>
      <c r="AY105" s="488"/>
      <c r="AZ105" s="488"/>
      <c r="BA105" s="488"/>
      <c r="BB105" s="488"/>
      <c r="BC105" s="488"/>
      <c r="BD105" s="488"/>
    </row>
    <row r="106" spans="3:56">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8"/>
      <c r="AM106" s="488"/>
      <c r="AN106" s="488"/>
      <c r="AO106" s="488"/>
      <c r="AP106" s="488"/>
      <c r="AQ106" s="488"/>
      <c r="AR106" s="488"/>
      <c r="AS106" s="488"/>
      <c r="AT106" s="488"/>
      <c r="AU106" s="488"/>
      <c r="AV106" s="488"/>
      <c r="AW106" s="488"/>
      <c r="AX106" s="488"/>
      <c r="AY106" s="488"/>
      <c r="AZ106" s="488"/>
      <c r="BA106" s="488"/>
      <c r="BB106" s="488"/>
      <c r="BC106" s="488"/>
      <c r="BD106" s="488"/>
    </row>
    <row r="107" spans="3:56">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8"/>
      <c r="AM107" s="488"/>
      <c r="AN107" s="488"/>
      <c r="AO107" s="488"/>
      <c r="AP107" s="488"/>
      <c r="AQ107" s="488"/>
      <c r="AR107" s="488"/>
      <c r="AS107" s="488"/>
      <c r="AT107" s="488"/>
      <c r="AU107" s="488"/>
      <c r="AV107" s="488"/>
      <c r="AW107" s="488"/>
      <c r="AX107" s="488"/>
      <c r="AY107" s="488"/>
      <c r="AZ107" s="488"/>
      <c r="BA107" s="488"/>
      <c r="BB107" s="488"/>
      <c r="BC107" s="488"/>
      <c r="BD107" s="488"/>
    </row>
    <row r="108" spans="3:56">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8"/>
      <c r="AM108" s="488"/>
      <c r="AN108" s="488"/>
      <c r="AO108" s="488"/>
      <c r="AP108" s="488"/>
      <c r="AQ108" s="488"/>
      <c r="AR108" s="488"/>
      <c r="AS108" s="488"/>
      <c r="AT108" s="488"/>
      <c r="AU108" s="488"/>
      <c r="AV108" s="488"/>
      <c r="AW108" s="488"/>
      <c r="AX108" s="488"/>
      <c r="AY108" s="488"/>
      <c r="AZ108" s="488"/>
      <c r="BA108" s="488"/>
      <c r="BB108" s="488"/>
      <c r="BC108" s="488"/>
      <c r="BD108" s="488"/>
    </row>
    <row r="109" spans="3:56">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c r="AI109" s="488"/>
      <c r="AJ109" s="488"/>
      <c r="AK109" s="488"/>
      <c r="AL109" s="488"/>
      <c r="AM109" s="488"/>
      <c r="AN109" s="488"/>
      <c r="AO109" s="488"/>
      <c r="AP109" s="488"/>
      <c r="AQ109" s="488"/>
      <c r="AR109" s="488"/>
      <c r="AS109" s="488"/>
      <c r="AT109" s="488"/>
      <c r="AU109" s="488"/>
      <c r="AV109" s="488"/>
      <c r="AW109" s="488"/>
      <c r="AX109" s="488"/>
      <c r="AY109" s="488"/>
      <c r="AZ109" s="488"/>
      <c r="BA109" s="488"/>
      <c r="BB109" s="488"/>
      <c r="BC109" s="488"/>
      <c r="BD109" s="488"/>
    </row>
    <row r="110" spans="3:56">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c r="Z110" s="488"/>
      <c r="AA110" s="488"/>
      <c r="AB110" s="488"/>
      <c r="AC110" s="488"/>
      <c r="AD110" s="488"/>
      <c r="AE110" s="488"/>
      <c r="AF110" s="488"/>
      <c r="AG110" s="488"/>
      <c r="AH110" s="488"/>
      <c r="AI110" s="488"/>
      <c r="AJ110" s="488"/>
      <c r="AK110" s="488"/>
      <c r="AL110" s="488"/>
      <c r="AM110" s="488"/>
      <c r="AN110" s="488"/>
      <c r="AO110" s="488"/>
      <c r="AP110" s="488"/>
      <c r="AQ110" s="488"/>
      <c r="AR110" s="488"/>
      <c r="AS110" s="488"/>
      <c r="AT110" s="488"/>
      <c r="AU110" s="488"/>
      <c r="AV110" s="488"/>
      <c r="AW110" s="488"/>
      <c r="AX110" s="488"/>
      <c r="AY110" s="488"/>
      <c r="AZ110" s="488"/>
      <c r="BA110" s="488"/>
      <c r="BB110" s="488"/>
      <c r="BC110" s="488"/>
      <c r="BD110" s="488"/>
    </row>
    <row r="111" spans="3:56">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488"/>
      <c r="AY111" s="488"/>
      <c r="AZ111" s="488"/>
      <c r="BA111" s="488"/>
      <c r="BB111" s="488"/>
      <c r="BC111" s="488"/>
      <c r="BD111" s="488"/>
    </row>
    <row r="112" spans="3:56">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488"/>
      <c r="AY112" s="488"/>
      <c r="AZ112" s="488"/>
      <c r="BA112" s="488"/>
      <c r="BB112" s="488"/>
      <c r="BC112" s="488"/>
      <c r="BD112" s="488"/>
    </row>
    <row r="113" spans="3:56">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488"/>
      <c r="AY113" s="488"/>
      <c r="AZ113" s="488"/>
      <c r="BA113" s="488"/>
      <c r="BB113" s="488"/>
      <c r="BC113" s="488"/>
      <c r="BD113" s="488"/>
    </row>
    <row r="114" spans="3:56">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488"/>
      <c r="AY114" s="488"/>
      <c r="AZ114" s="488"/>
      <c r="BA114" s="488"/>
      <c r="BB114" s="488"/>
      <c r="BC114" s="488"/>
      <c r="BD114" s="488"/>
    </row>
    <row r="115" spans="3:56">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c r="Z115" s="488"/>
      <c r="AA115" s="488"/>
      <c r="AB115" s="488"/>
      <c r="AC115" s="488"/>
      <c r="AD115" s="488"/>
      <c r="AE115" s="488"/>
      <c r="AF115" s="488"/>
      <c r="AG115" s="488"/>
      <c r="AH115" s="488"/>
      <c r="AI115" s="488"/>
      <c r="AJ115" s="488"/>
      <c r="AK115" s="488"/>
      <c r="AL115" s="488"/>
      <c r="AM115" s="488"/>
      <c r="AN115" s="488"/>
      <c r="AO115" s="488"/>
      <c r="AP115" s="488"/>
      <c r="AQ115" s="488"/>
      <c r="AR115" s="488"/>
      <c r="AS115" s="488"/>
      <c r="AT115" s="488"/>
      <c r="AU115" s="488"/>
      <c r="AV115" s="488"/>
      <c r="AW115" s="488"/>
      <c r="AX115" s="488"/>
      <c r="AY115" s="488"/>
      <c r="AZ115" s="488"/>
      <c r="BA115" s="488"/>
      <c r="BB115" s="488"/>
      <c r="BC115" s="488"/>
      <c r="BD115" s="488"/>
    </row>
    <row r="116" spans="3:56">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c r="Z116" s="488"/>
      <c r="AA116" s="488"/>
      <c r="AB116" s="488"/>
      <c r="AC116" s="488"/>
      <c r="AD116" s="488"/>
      <c r="AE116" s="488"/>
      <c r="AF116" s="488"/>
      <c r="AG116" s="488"/>
      <c r="AH116" s="488"/>
      <c r="AI116" s="488"/>
      <c r="AJ116" s="488"/>
      <c r="AK116" s="488"/>
      <c r="AL116" s="488"/>
      <c r="AM116" s="488"/>
      <c r="AN116" s="488"/>
      <c r="AO116" s="488"/>
      <c r="AP116" s="488"/>
      <c r="AQ116" s="488"/>
      <c r="AR116" s="488"/>
      <c r="AS116" s="488"/>
      <c r="AT116" s="488"/>
      <c r="AU116" s="488"/>
      <c r="AV116" s="488"/>
      <c r="AW116" s="488"/>
      <c r="AX116" s="488"/>
      <c r="AY116" s="488"/>
      <c r="AZ116" s="488"/>
      <c r="BA116" s="488"/>
      <c r="BB116" s="488"/>
      <c r="BC116" s="488"/>
      <c r="BD116" s="488"/>
    </row>
    <row r="117" spans="3:56">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c r="AJ117" s="488"/>
      <c r="AK117" s="488"/>
      <c r="AL117" s="488"/>
      <c r="AM117" s="488"/>
      <c r="AN117" s="488"/>
      <c r="AO117" s="488"/>
      <c r="AP117" s="488"/>
      <c r="AQ117" s="488"/>
      <c r="AR117" s="488"/>
      <c r="AS117" s="488"/>
      <c r="AT117" s="488"/>
      <c r="AU117" s="488"/>
      <c r="AV117" s="488"/>
      <c r="AW117" s="488"/>
      <c r="AX117" s="488"/>
      <c r="AY117" s="488"/>
      <c r="AZ117" s="488"/>
      <c r="BA117" s="488"/>
      <c r="BB117" s="488"/>
      <c r="BC117" s="488"/>
      <c r="BD117" s="488"/>
    </row>
    <row r="118" spans="3:56">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c r="AI118" s="488"/>
      <c r="AJ118" s="488"/>
      <c r="AK118" s="488"/>
      <c r="AL118" s="488"/>
      <c r="AM118" s="488"/>
      <c r="AN118" s="488"/>
      <c r="AO118" s="488"/>
      <c r="AP118" s="488"/>
      <c r="AQ118" s="488"/>
      <c r="AR118" s="488"/>
      <c r="AS118" s="488"/>
      <c r="AT118" s="488"/>
      <c r="AU118" s="488"/>
      <c r="AV118" s="488"/>
      <c r="AW118" s="488"/>
      <c r="AX118" s="488"/>
      <c r="AY118" s="488"/>
      <c r="AZ118" s="488"/>
      <c r="BA118" s="488"/>
      <c r="BB118" s="488"/>
      <c r="BC118" s="488"/>
      <c r="BD118" s="488"/>
    </row>
    <row r="119" spans="3:56">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c r="AH119" s="488"/>
      <c r="AI119" s="488"/>
      <c r="AJ119" s="488"/>
      <c r="AK119" s="488"/>
      <c r="AL119" s="488"/>
      <c r="AM119" s="488"/>
      <c r="AN119" s="488"/>
      <c r="AO119" s="488"/>
      <c r="AP119" s="488"/>
      <c r="AQ119" s="488"/>
      <c r="AR119" s="488"/>
      <c r="AS119" s="488"/>
      <c r="AT119" s="488"/>
      <c r="AU119" s="488"/>
      <c r="AV119" s="488"/>
      <c r="AW119" s="488"/>
      <c r="AX119" s="488"/>
      <c r="AY119" s="488"/>
      <c r="AZ119" s="488"/>
      <c r="BA119" s="488"/>
      <c r="BB119" s="488"/>
      <c r="BC119" s="488"/>
      <c r="BD119" s="488"/>
    </row>
    <row r="120" spans="3:56">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c r="AH120" s="488"/>
      <c r="AI120" s="488"/>
      <c r="AJ120" s="488"/>
      <c r="AK120" s="488"/>
      <c r="AL120" s="488"/>
      <c r="AM120" s="488"/>
      <c r="AN120" s="488"/>
      <c r="AO120" s="488"/>
      <c r="AP120" s="488"/>
      <c r="AQ120" s="488"/>
      <c r="AR120" s="488"/>
      <c r="AS120" s="488"/>
      <c r="AT120" s="488"/>
      <c r="AU120" s="488"/>
      <c r="AV120" s="488"/>
      <c r="AW120" s="488"/>
      <c r="AX120" s="488"/>
      <c r="AY120" s="488"/>
      <c r="AZ120" s="488"/>
      <c r="BA120" s="488"/>
      <c r="BB120" s="488"/>
      <c r="BC120" s="488"/>
      <c r="BD120" s="488"/>
    </row>
    <row r="121" spans="3:56">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c r="AI121" s="488"/>
      <c r="AJ121" s="488"/>
      <c r="AK121" s="488"/>
      <c r="AL121" s="488"/>
      <c r="AM121" s="488"/>
      <c r="AN121" s="488"/>
      <c r="AO121" s="488"/>
      <c r="AP121" s="488"/>
      <c r="AQ121" s="488"/>
      <c r="AR121" s="488"/>
      <c r="AS121" s="488"/>
      <c r="AT121" s="488"/>
      <c r="AU121" s="488"/>
      <c r="AV121" s="488"/>
      <c r="AW121" s="488"/>
      <c r="AX121" s="488"/>
      <c r="AY121" s="488"/>
      <c r="AZ121" s="488"/>
      <c r="BA121" s="488"/>
      <c r="BB121" s="488"/>
      <c r="BC121" s="488"/>
      <c r="BD121" s="488"/>
    </row>
    <row r="122" spans="3:56">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c r="AH122" s="488"/>
      <c r="AI122" s="488"/>
      <c r="AJ122" s="488"/>
      <c r="AK122" s="488"/>
      <c r="AL122" s="488"/>
      <c r="AM122" s="488"/>
      <c r="AN122" s="488"/>
      <c r="AO122" s="488"/>
      <c r="AP122" s="488"/>
      <c r="AQ122" s="488"/>
      <c r="AR122" s="488"/>
      <c r="AS122" s="488"/>
      <c r="AT122" s="488"/>
      <c r="AU122" s="488"/>
      <c r="AV122" s="488"/>
      <c r="AW122" s="488"/>
      <c r="AX122" s="488"/>
      <c r="AY122" s="488"/>
      <c r="AZ122" s="488"/>
      <c r="BA122" s="488"/>
      <c r="BB122" s="488"/>
      <c r="BC122" s="488"/>
      <c r="BD122" s="488"/>
    </row>
    <row r="123" spans="3:56">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c r="AG123" s="488"/>
      <c r="AH123" s="488"/>
      <c r="AI123" s="488"/>
      <c r="AJ123" s="488"/>
      <c r="AK123" s="488"/>
      <c r="AL123" s="488"/>
      <c r="AM123" s="488"/>
      <c r="AN123" s="488"/>
      <c r="AO123" s="488"/>
      <c r="AP123" s="488"/>
      <c r="AQ123" s="488"/>
      <c r="AR123" s="488"/>
      <c r="AS123" s="488"/>
      <c r="AT123" s="488"/>
      <c r="AU123" s="488"/>
      <c r="AV123" s="488"/>
      <c r="AW123" s="488"/>
      <c r="AX123" s="488"/>
      <c r="AY123" s="488"/>
      <c r="AZ123" s="488"/>
      <c r="BA123" s="488"/>
      <c r="BB123" s="488"/>
      <c r="BC123" s="488"/>
      <c r="BD123" s="488"/>
    </row>
    <row r="124" spans="3:56">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c r="AG124" s="488"/>
      <c r="AH124" s="488"/>
      <c r="AI124" s="488"/>
      <c r="AJ124" s="488"/>
      <c r="AK124" s="488"/>
      <c r="AL124" s="488"/>
      <c r="AM124" s="488"/>
      <c r="AN124" s="488"/>
      <c r="AO124" s="488"/>
      <c r="AP124" s="488"/>
      <c r="AQ124" s="488"/>
      <c r="AR124" s="488"/>
      <c r="AS124" s="488"/>
      <c r="AT124" s="488"/>
      <c r="AU124" s="488"/>
      <c r="AV124" s="488"/>
      <c r="AW124" s="488"/>
      <c r="AX124" s="488"/>
      <c r="AY124" s="488"/>
      <c r="AZ124" s="488"/>
      <c r="BA124" s="488"/>
      <c r="BB124" s="488"/>
      <c r="BC124" s="488"/>
      <c r="BD124" s="488"/>
    </row>
    <row r="125" spans="3:56">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c r="Z125" s="488"/>
      <c r="AA125" s="488"/>
      <c r="AB125" s="488"/>
      <c r="AC125" s="488"/>
      <c r="AD125" s="488"/>
      <c r="AE125" s="488"/>
      <c r="AF125" s="488"/>
      <c r="AG125" s="488"/>
      <c r="AH125" s="488"/>
      <c r="AI125" s="488"/>
      <c r="AJ125" s="488"/>
      <c r="AK125" s="488"/>
      <c r="AL125" s="488"/>
      <c r="AM125" s="488"/>
      <c r="AN125" s="488"/>
      <c r="AO125" s="488"/>
      <c r="AP125" s="488"/>
      <c r="AQ125" s="488"/>
      <c r="AR125" s="488"/>
      <c r="AS125" s="488"/>
      <c r="AT125" s="488"/>
      <c r="AU125" s="488"/>
      <c r="AV125" s="488"/>
      <c r="AW125" s="488"/>
      <c r="AX125" s="488"/>
      <c r="AY125" s="488"/>
      <c r="AZ125" s="488"/>
      <c r="BA125" s="488"/>
      <c r="BB125" s="488"/>
      <c r="BC125" s="488"/>
      <c r="BD125" s="488"/>
    </row>
    <row r="126" spans="3:56">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c r="AI126" s="488"/>
      <c r="AJ126" s="488"/>
      <c r="AK126" s="488"/>
      <c r="AL126" s="488"/>
      <c r="AM126" s="488"/>
      <c r="AN126" s="488"/>
      <c r="AO126" s="488"/>
      <c r="AP126" s="488"/>
      <c r="AQ126" s="488"/>
      <c r="AR126" s="488"/>
      <c r="AS126" s="488"/>
      <c r="AT126" s="488"/>
      <c r="AU126" s="488"/>
      <c r="AV126" s="488"/>
      <c r="AW126" s="488"/>
      <c r="AX126" s="488"/>
      <c r="AY126" s="488"/>
      <c r="AZ126" s="488"/>
      <c r="BA126" s="488"/>
      <c r="BB126" s="488"/>
      <c r="BC126" s="488"/>
      <c r="BD126" s="488"/>
    </row>
    <row r="127" spans="3:56">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488"/>
      <c r="AY127" s="488"/>
      <c r="AZ127" s="488"/>
      <c r="BA127" s="488"/>
      <c r="BB127" s="488"/>
      <c r="BC127" s="488"/>
      <c r="BD127" s="488"/>
    </row>
    <row r="128" spans="3:56">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488"/>
      <c r="AY128" s="488"/>
      <c r="AZ128" s="488"/>
      <c r="BA128" s="488"/>
      <c r="BB128" s="488"/>
      <c r="BC128" s="488"/>
      <c r="BD128" s="488"/>
    </row>
    <row r="129" spans="3:56">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488"/>
      <c r="AY129" s="488"/>
      <c r="AZ129" s="488"/>
      <c r="BA129" s="488"/>
      <c r="BB129" s="488"/>
      <c r="BC129" s="488"/>
      <c r="BD129" s="488"/>
    </row>
    <row r="130" spans="3:56">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488"/>
      <c r="AY130" s="488"/>
      <c r="AZ130" s="488"/>
      <c r="BA130" s="488"/>
      <c r="BB130" s="488"/>
      <c r="BC130" s="488"/>
      <c r="BD130" s="488"/>
    </row>
    <row r="131" spans="3:56">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488"/>
      <c r="AE131" s="488"/>
      <c r="AF131" s="488"/>
      <c r="AG131" s="488"/>
      <c r="AH131" s="488"/>
      <c r="AI131" s="488"/>
      <c r="AJ131" s="488"/>
      <c r="AK131" s="488"/>
      <c r="AL131" s="488"/>
      <c r="AM131" s="488"/>
      <c r="AN131" s="488"/>
      <c r="AO131" s="488"/>
      <c r="AP131" s="488"/>
      <c r="AQ131" s="488"/>
      <c r="AR131" s="488"/>
      <c r="AS131" s="488"/>
      <c r="AT131" s="488"/>
      <c r="AU131" s="488"/>
      <c r="AV131" s="488"/>
      <c r="AW131" s="488"/>
      <c r="AX131" s="488"/>
      <c r="AY131" s="488"/>
      <c r="AZ131" s="488"/>
      <c r="BA131" s="488"/>
      <c r="BB131" s="488"/>
      <c r="BC131" s="488"/>
      <c r="BD131" s="488"/>
    </row>
    <row r="132" spans="3:56">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c r="Z132" s="488"/>
      <c r="AA132" s="488"/>
      <c r="AB132" s="488"/>
      <c r="AC132" s="488"/>
      <c r="AD132" s="488"/>
      <c r="AE132" s="488"/>
      <c r="AF132" s="488"/>
      <c r="AG132" s="488"/>
      <c r="AH132" s="488"/>
      <c r="AI132" s="488"/>
      <c r="AJ132" s="488"/>
      <c r="AK132" s="488"/>
      <c r="AL132" s="488"/>
      <c r="AM132" s="488"/>
      <c r="AN132" s="488"/>
      <c r="AO132" s="488"/>
      <c r="AP132" s="488"/>
      <c r="AQ132" s="488"/>
      <c r="AR132" s="488"/>
      <c r="AS132" s="488"/>
      <c r="AT132" s="488"/>
      <c r="AU132" s="488"/>
      <c r="AV132" s="488"/>
      <c r="AW132" s="488"/>
      <c r="AX132" s="488"/>
      <c r="AY132" s="488"/>
      <c r="AZ132" s="488"/>
      <c r="BA132" s="488"/>
      <c r="BB132" s="488"/>
      <c r="BC132" s="488"/>
      <c r="BD132" s="488"/>
    </row>
    <row r="133" spans="3:56">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c r="Z133" s="488"/>
      <c r="AA133" s="488"/>
      <c r="AB133" s="488"/>
      <c r="AC133" s="488"/>
      <c r="AD133" s="488"/>
      <c r="AE133" s="488"/>
      <c r="AF133" s="488"/>
      <c r="AG133" s="488"/>
      <c r="AH133" s="488"/>
      <c r="AI133" s="488"/>
      <c r="AJ133" s="488"/>
      <c r="AK133" s="488"/>
      <c r="AL133" s="488"/>
      <c r="AM133" s="488"/>
      <c r="AN133" s="488"/>
      <c r="AO133" s="488"/>
      <c r="AP133" s="488"/>
      <c r="AQ133" s="488"/>
      <c r="AR133" s="488"/>
      <c r="AS133" s="488"/>
      <c r="AT133" s="488"/>
      <c r="AU133" s="488"/>
      <c r="AV133" s="488"/>
      <c r="AW133" s="488"/>
      <c r="AX133" s="488"/>
      <c r="AY133" s="488"/>
      <c r="AZ133" s="488"/>
      <c r="BA133" s="488"/>
      <c r="BB133" s="488"/>
      <c r="BC133" s="488"/>
      <c r="BD133" s="488"/>
    </row>
    <row r="134" spans="3:56">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c r="AL134" s="488"/>
      <c r="AM134" s="488"/>
      <c r="AN134" s="488"/>
      <c r="AO134" s="488"/>
      <c r="AP134" s="488"/>
      <c r="AQ134" s="488"/>
      <c r="AR134" s="488"/>
      <c r="AS134" s="488"/>
      <c r="AT134" s="488"/>
      <c r="AU134" s="488"/>
      <c r="AV134" s="488"/>
      <c r="AW134" s="488"/>
      <c r="AX134" s="488"/>
      <c r="AY134" s="488"/>
      <c r="AZ134" s="488"/>
      <c r="BA134" s="488"/>
      <c r="BB134" s="488"/>
      <c r="BC134" s="488"/>
      <c r="BD134" s="488"/>
    </row>
    <row r="135" spans="3:56">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c r="AL135" s="488"/>
      <c r="AM135" s="488"/>
      <c r="AN135" s="488"/>
      <c r="AO135" s="488"/>
      <c r="AP135" s="488"/>
      <c r="AQ135" s="488"/>
      <c r="AR135" s="488"/>
      <c r="AS135" s="488"/>
      <c r="AT135" s="488"/>
      <c r="AU135" s="488"/>
      <c r="AV135" s="488"/>
      <c r="AW135" s="488"/>
      <c r="AX135" s="488"/>
      <c r="AY135" s="488"/>
      <c r="AZ135" s="488"/>
      <c r="BA135" s="488"/>
      <c r="BB135" s="488"/>
      <c r="BC135" s="488"/>
      <c r="BD135" s="488"/>
    </row>
    <row r="136" spans="3:56">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c r="Z136" s="488"/>
      <c r="AA136" s="488"/>
      <c r="AB136" s="488"/>
      <c r="AC136" s="488"/>
      <c r="AD136" s="488"/>
      <c r="AE136" s="488"/>
      <c r="AF136" s="488"/>
      <c r="AG136" s="488"/>
      <c r="AH136" s="488"/>
      <c r="AI136" s="488"/>
      <c r="AJ136" s="488"/>
      <c r="AK136" s="488"/>
      <c r="AL136" s="488"/>
      <c r="AM136" s="488"/>
      <c r="AN136" s="488"/>
      <c r="AO136" s="488"/>
      <c r="AP136" s="488"/>
      <c r="AQ136" s="488"/>
      <c r="AR136" s="488"/>
      <c r="AS136" s="488"/>
      <c r="AT136" s="488"/>
      <c r="AU136" s="488"/>
      <c r="AV136" s="488"/>
      <c r="AW136" s="488"/>
      <c r="AX136" s="488"/>
      <c r="AY136" s="488"/>
      <c r="AZ136" s="488"/>
      <c r="BA136" s="488"/>
      <c r="BB136" s="488"/>
      <c r="BC136" s="488"/>
      <c r="BD136" s="488"/>
    </row>
    <row r="137" spans="3:56">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c r="AH137" s="488"/>
      <c r="AI137" s="488"/>
      <c r="AJ137" s="488"/>
      <c r="AK137" s="488"/>
      <c r="AL137" s="488"/>
      <c r="AM137" s="488"/>
      <c r="AN137" s="488"/>
      <c r="AO137" s="488"/>
      <c r="AP137" s="488"/>
      <c r="AQ137" s="488"/>
      <c r="AR137" s="488"/>
      <c r="AS137" s="488"/>
      <c r="AT137" s="488"/>
      <c r="AU137" s="488"/>
      <c r="AV137" s="488"/>
      <c r="AW137" s="488"/>
      <c r="AX137" s="488"/>
      <c r="AY137" s="488"/>
      <c r="AZ137" s="488"/>
      <c r="BA137" s="488"/>
      <c r="BB137" s="488"/>
      <c r="BC137" s="488"/>
      <c r="BD137" s="488"/>
    </row>
    <row r="138" spans="3:56">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c r="AA138" s="488"/>
      <c r="AB138" s="488"/>
      <c r="AC138" s="488"/>
      <c r="AD138" s="488"/>
      <c r="AE138" s="488"/>
      <c r="AF138" s="488"/>
      <c r="AG138" s="488"/>
      <c r="AH138" s="488"/>
      <c r="AI138" s="488"/>
      <c r="AJ138" s="488"/>
      <c r="AK138" s="488"/>
      <c r="AL138" s="488"/>
      <c r="AM138" s="488"/>
      <c r="AN138" s="488"/>
      <c r="AO138" s="488"/>
      <c r="AP138" s="488"/>
      <c r="AQ138" s="488"/>
      <c r="AR138" s="488"/>
      <c r="AS138" s="488"/>
      <c r="AT138" s="488"/>
      <c r="AU138" s="488"/>
      <c r="AV138" s="488"/>
      <c r="AW138" s="488"/>
      <c r="AX138" s="488"/>
      <c r="AY138" s="488"/>
      <c r="AZ138" s="488"/>
      <c r="BA138" s="488"/>
      <c r="BB138" s="488"/>
      <c r="BC138" s="488"/>
      <c r="BD138" s="488"/>
    </row>
    <row r="139" spans="3:56">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488"/>
      <c r="AB139" s="488"/>
      <c r="AC139" s="488"/>
      <c r="AD139" s="488"/>
      <c r="AE139" s="488"/>
      <c r="AF139" s="488"/>
      <c r="AG139" s="488"/>
      <c r="AH139" s="488"/>
      <c r="AI139" s="488"/>
      <c r="AJ139" s="488"/>
      <c r="AK139" s="488"/>
      <c r="AL139" s="488"/>
      <c r="AM139" s="488"/>
      <c r="AN139" s="488"/>
      <c r="AO139" s="488"/>
      <c r="AP139" s="488"/>
      <c r="AQ139" s="488"/>
      <c r="AR139" s="488"/>
      <c r="AS139" s="488"/>
      <c r="AT139" s="488"/>
      <c r="AU139" s="488"/>
      <c r="AV139" s="488"/>
      <c r="AW139" s="488"/>
      <c r="AX139" s="488"/>
      <c r="AY139" s="488"/>
      <c r="AZ139" s="488"/>
      <c r="BA139" s="488"/>
      <c r="BB139" s="488"/>
      <c r="BC139" s="488"/>
      <c r="BD139" s="488"/>
    </row>
    <row r="140" spans="3:56">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488"/>
      <c r="AL140" s="488"/>
      <c r="AM140" s="488"/>
      <c r="AN140" s="488"/>
      <c r="AO140" s="488"/>
      <c r="AP140" s="488"/>
      <c r="AQ140" s="488"/>
      <c r="AR140" s="488"/>
      <c r="AS140" s="488"/>
      <c r="AT140" s="488"/>
      <c r="AU140" s="488"/>
      <c r="AV140" s="488"/>
      <c r="AW140" s="488"/>
      <c r="AX140" s="488"/>
      <c r="AY140" s="488"/>
      <c r="AZ140" s="488"/>
      <c r="BA140" s="488"/>
      <c r="BB140" s="488"/>
      <c r="BC140" s="488"/>
      <c r="BD140" s="488"/>
    </row>
    <row r="141" spans="3:56">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488"/>
      <c r="AL141" s="488"/>
      <c r="AM141" s="488"/>
      <c r="AN141" s="488"/>
      <c r="AO141" s="488"/>
      <c r="AP141" s="488"/>
      <c r="AQ141" s="488"/>
      <c r="AR141" s="488"/>
      <c r="AS141" s="488"/>
      <c r="AT141" s="488"/>
      <c r="AU141" s="488"/>
      <c r="AV141" s="488"/>
      <c r="AW141" s="488"/>
      <c r="AX141" s="488"/>
      <c r="AY141" s="488"/>
      <c r="AZ141" s="488"/>
      <c r="BA141" s="488"/>
      <c r="BB141" s="488"/>
      <c r="BC141" s="488"/>
      <c r="BD141" s="488"/>
    </row>
    <row r="142" spans="3:56">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c r="Z142" s="488"/>
      <c r="AA142" s="488"/>
      <c r="AB142" s="488"/>
      <c r="AC142" s="488"/>
      <c r="AD142" s="488"/>
      <c r="AE142" s="488"/>
      <c r="AF142" s="488"/>
      <c r="AG142" s="488"/>
      <c r="AH142" s="488"/>
      <c r="AI142" s="488"/>
      <c r="AJ142" s="488"/>
      <c r="AK142" s="488"/>
      <c r="AL142" s="488"/>
      <c r="AM142" s="488"/>
      <c r="AN142" s="488"/>
      <c r="AO142" s="488"/>
      <c r="AP142" s="488"/>
      <c r="AQ142" s="488"/>
      <c r="AR142" s="488"/>
      <c r="AS142" s="488"/>
      <c r="AT142" s="488"/>
      <c r="AU142" s="488"/>
      <c r="AV142" s="488"/>
      <c r="AW142" s="488"/>
      <c r="AX142" s="488"/>
      <c r="AY142" s="488"/>
      <c r="AZ142" s="488"/>
      <c r="BA142" s="488"/>
      <c r="BB142" s="488"/>
      <c r="BC142" s="488"/>
      <c r="BD142" s="488"/>
    </row>
    <row r="143" spans="3:56">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c r="Z143" s="488"/>
      <c r="AA143" s="488"/>
      <c r="AB143" s="488"/>
      <c r="AC143" s="488"/>
      <c r="AD143" s="488"/>
      <c r="AE143" s="488"/>
      <c r="AF143" s="488"/>
      <c r="AG143" s="488"/>
      <c r="AH143" s="488"/>
      <c r="AI143" s="488"/>
      <c r="AJ143" s="488"/>
      <c r="AK143" s="488"/>
      <c r="AL143" s="488"/>
      <c r="AM143" s="488"/>
      <c r="AN143" s="488"/>
      <c r="AO143" s="488"/>
      <c r="AP143" s="488"/>
      <c r="AQ143" s="488"/>
      <c r="AR143" s="488"/>
      <c r="AS143" s="488"/>
      <c r="AT143" s="488"/>
      <c r="AU143" s="488"/>
      <c r="AV143" s="488"/>
      <c r="AW143" s="488"/>
      <c r="AX143" s="488"/>
      <c r="AY143" s="488"/>
      <c r="AZ143" s="488"/>
      <c r="BA143" s="488"/>
      <c r="BB143" s="488"/>
      <c r="BC143" s="488"/>
      <c r="BD143" s="488"/>
    </row>
    <row r="144" spans="3:56">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c r="Z144" s="488"/>
      <c r="AA144" s="488"/>
      <c r="AB144" s="488"/>
      <c r="AC144" s="488"/>
      <c r="AD144" s="488"/>
      <c r="AE144" s="488"/>
      <c r="AF144" s="488"/>
      <c r="AG144" s="488"/>
      <c r="AH144" s="488"/>
      <c r="AI144" s="488"/>
      <c r="AJ144" s="488"/>
      <c r="AK144" s="488"/>
      <c r="AL144" s="488"/>
      <c r="AM144" s="488"/>
      <c r="AN144" s="488"/>
      <c r="AO144" s="488"/>
      <c r="AP144" s="488"/>
      <c r="AQ144" s="488"/>
      <c r="AR144" s="488"/>
      <c r="AS144" s="488"/>
      <c r="AT144" s="488"/>
      <c r="AU144" s="488"/>
      <c r="AV144" s="488"/>
      <c r="AW144" s="488"/>
      <c r="AX144" s="488"/>
      <c r="AY144" s="488"/>
      <c r="AZ144" s="488"/>
      <c r="BA144" s="488"/>
      <c r="BB144" s="488"/>
      <c r="BC144" s="488"/>
      <c r="BD144" s="488"/>
    </row>
    <row r="145" spans="3:56">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c r="AA145" s="488"/>
      <c r="AB145" s="488"/>
      <c r="AC145" s="488"/>
      <c r="AD145" s="488"/>
      <c r="AE145" s="488"/>
      <c r="AF145" s="488"/>
      <c r="AG145" s="488"/>
      <c r="AH145" s="488"/>
      <c r="AI145" s="488"/>
      <c r="AJ145" s="488"/>
      <c r="AK145" s="488"/>
      <c r="AL145" s="488"/>
      <c r="AM145" s="488"/>
      <c r="AN145" s="488"/>
      <c r="AO145" s="488"/>
      <c r="AP145" s="488"/>
      <c r="AQ145" s="488"/>
      <c r="AR145" s="488"/>
      <c r="AS145" s="488"/>
      <c r="AT145" s="488"/>
      <c r="AU145" s="488"/>
      <c r="AV145" s="488"/>
      <c r="AW145" s="488"/>
      <c r="AX145" s="488"/>
      <c r="AY145" s="488"/>
      <c r="AZ145" s="488"/>
      <c r="BA145" s="488"/>
      <c r="BB145" s="488"/>
      <c r="BC145" s="488"/>
      <c r="BD145" s="488"/>
    </row>
    <row r="146" spans="3:56">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488"/>
      <c r="AE146" s="488"/>
      <c r="AF146" s="488"/>
      <c r="AG146" s="488"/>
      <c r="AH146" s="488"/>
      <c r="AI146" s="488"/>
      <c r="AJ146" s="488"/>
      <c r="AK146" s="488"/>
      <c r="AL146" s="488"/>
      <c r="AM146" s="488"/>
      <c r="AN146" s="488"/>
      <c r="AO146" s="488"/>
      <c r="AP146" s="488"/>
      <c r="AQ146" s="488"/>
      <c r="AR146" s="488"/>
      <c r="AS146" s="488"/>
      <c r="AT146" s="488"/>
      <c r="AU146" s="488"/>
      <c r="AV146" s="488"/>
      <c r="AW146" s="488"/>
      <c r="AX146" s="488"/>
      <c r="AY146" s="488"/>
      <c r="AZ146" s="488"/>
      <c r="BA146" s="488"/>
      <c r="BB146" s="488"/>
      <c r="BC146" s="488"/>
      <c r="BD146" s="488"/>
    </row>
    <row r="147" spans="3:56">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c r="AA147" s="488"/>
      <c r="AB147" s="488"/>
      <c r="AC147" s="488"/>
      <c r="AD147" s="488"/>
      <c r="AE147" s="488"/>
      <c r="AF147" s="488"/>
      <c r="AG147" s="488"/>
      <c r="AH147" s="488"/>
      <c r="AI147" s="488"/>
      <c r="AJ147" s="488"/>
      <c r="AK147" s="488"/>
      <c r="AL147" s="488"/>
      <c r="AM147" s="488"/>
      <c r="AN147" s="488"/>
      <c r="AO147" s="488"/>
      <c r="AP147" s="488"/>
      <c r="AQ147" s="488"/>
      <c r="AR147" s="488"/>
      <c r="AS147" s="488"/>
      <c r="AT147" s="488"/>
      <c r="AU147" s="488"/>
      <c r="AV147" s="488"/>
      <c r="AW147" s="488"/>
      <c r="AX147" s="488"/>
      <c r="AY147" s="488"/>
      <c r="AZ147" s="488"/>
      <c r="BA147" s="488"/>
      <c r="BB147" s="488"/>
      <c r="BC147" s="488"/>
      <c r="BD147" s="488"/>
    </row>
    <row r="148" spans="3:56">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c r="Z148" s="488"/>
      <c r="AA148" s="488"/>
      <c r="AB148" s="488"/>
      <c r="AC148" s="488"/>
      <c r="AD148" s="488"/>
      <c r="AE148" s="488"/>
      <c r="AF148" s="488"/>
      <c r="AG148" s="488"/>
      <c r="AH148" s="488"/>
      <c r="AI148" s="488"/>
      <c r="AJ148" s="488"/>
      <c r="AK148" s="488"/>
      <c r="AL148" s="488"/>
      <c r="AM148" s="488"/>
      <c r="AN148" s="488"/>
      <c r="AO148" s="488"/>
      <c r="AP148" s="488"/>
      <c r="AQ148" s="488"/>
      <c r="AR148" s="488"/>
      <c r="AS148" s="488"/>
      <c r="AT148" s="488"/>
      <c r="AU148" s="488"/>
      <c r="AV148" s="488"/>
      <c r="AW148" s="488"/>
      <c r="AX148" s="488"/>
      <c r="AY148" s="488"/>
      <c r="AZ148" s="488"/>
      <c r="BA148" s="488"/>
      <c r="BB148" s="488"/>
      <c r="BC148" s="488"/>
      <c r="BD148" s="488"/>
    </row>
    <row r="149" spans="3:56">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c r="Z149" s="488"/>
      <c r="AA149" s="488"/>
      <c r="AB149" s="488"/>
      <c r="AC149" s="488"/>
      <c r="AD149" s="488"/>
      <c r="AE149" s="488"/>
      <c r="AF149" s="488"/>
      <c r="AG149" s="488"/>
      <c r="AH149" s="488"/>
      <c r="AI149" s="488"/>
      <c r="AJ149" s="488"/>
      <c r="AK149" s="488"/>
      <c r="AL149" s="488"/>
      <c r="AM149" s="488"/>
      <c r="AN149" s="488"/>
      <c r="AO149" s="488"/>
      <c r="AP149" s="488"/>
      <c r="AQ149" s="488"/>
      <c r="AR149" s="488"/>
      <c r="AS149" s="488"/>
      <c r="AT149" s="488"/>
      <c r="AU149" s="488"/>
      <c r="AV149" s="488"/>
      <c r="AW149" s="488"/>
      <c r="AX149" s="488"/>
      <c r="AY149" s="488"/>
      <c r="AZ149" s="488"/>
      <c r="BA149" s="488"/>
      <c r="BB149" s="488"/>
      <c r="BC149" s="488"/>
      <c r="BD149" s="488"/>
    </row>
    <row r="150" spans="3:56">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c r="AA150" s="488"/>
      <c r="AB150" s="488"/>
      <c r="AC150" s="488"/>
      <c r="AD150" s="488"/>
      <c r="AE150" s="488"/>
      <c r="AF150" s="488"/>
      <c r="AG150" s="488"/>
      <c r="AH150" s="488"/>
      <c r="AI150" s="488"/>
      <c r="AJ150" s="488"/>
      <c r="AK150" s="488"/>
      <c r="AL150" s="488"/>
      <c r="AM150" s="488"/>
      <c r="AN150" s="488"/>
      <c r="AO150" s="488"/>
      <c r="AP150" s="488"/>
      <c r="AQ150" s="488"/>
      <c r="AR150" s="488"/>
      <c r="AS150" s="488"/>
      <c r="AT150" s="488"/>
      <c r="AU150" s="488"/>
      <c r="AV150" s="488"/>
      <c r="AW150" s="488"/>
      <c r="AX150" s="488"/>
      <c r="AY150" s="488"/>
      <c r="AZ150" s="488"/>
      <c r="BA150" s="488"/>
      <c r="BB150" s="488"/>
      <c r="BC150" s="488"/>
      <c r="BD150" s="488"/>
    </row>
    <row r="151" spans="3:56">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c r="Z151" s="488"/>
      <c r="AA151" s="488"/>
      <c r="AB151" s="488"/>
      <c r="AC151" s="488"/>
      <c r="AD151" s="488"/>
      <c r="AE151" s="488"/>
      <c r="AF151" s="488"/>
      <c r="AG151" s="488"/>
      <c r="AH151" s="488"/>
      <c r="AI151" s="488"/>
      <c r="AJ151" s="488"/>
      <c r="AK151" s="488"/>
      <c r="AL151" s="488"/>
      <c r="AM151" s="488"/>
      <c r="AN151" s="488"/>
      <c r="AO151" s="488"/>
      <c r="AP151" s="488"/>
      <c r="AQ151" s="488"/>
      <c r="AR151" s="488"/>
      <c r="AS151" s="488"/>
      <c r="AT151" s="488"/>
      <c r="AU151" s="488"/>
      <c r="AV151" s="488"/>
      <c r="AW151" s="488"/>
      <c r="AX151" s="488"/>
      <c r="AY151" s="488"/>
      <c r="AZ151" s="488"/>
      <c r="BA151" s="488"/>
      <c r="BB151" s="488"/>
      <c r="BC151" s="488"/>
      <c r="BD151" s="488"/>
    </row>
    <row r="152" spans="3:56">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c r="AA152" s="488"/>
      <c r="AB152" s="488"/>
      <c r="AC152" s="488"/>
      <c r="AD152" s="488"/>
      <c r="AE152" s="488"/>
      <c r="AF152" s="488"/>
      <c r="AG152" s="488"/>
      <c r="AH152" s="488"/>
      <c r="AI152" s="488"/>
      <c r="AJ152" s="488"/>
      <c r="AK152" s="488"/>
      <c r="AL152" s="488"/>
      <c r="AM152" s="488"/>
      <c r="AN152" s="488"/>
      <c r="AO152" s="488"/>
      <c r="AP152" s="488"/>
      <c r="AQ152" s="488"/>
      <c r="AR152" s="488"/>
      <c r="AS152" s="488"/>
      <c r="AT152" s="488"/>
      <c r="AU152" s="488"/>
      <c r="AV152" s="488"/>
      <c r="AW152" s="488"/>
      <c r="AX152" s="488"/>
      <c r="AY152" s="488"/>
      <c r="AZ152" s="488"/>
      <c r="BA152" s="488"/>
      <c r="BB152" s="488"/>
      <c r="BC152" s="488"/>
      <c r="BD152" s="488"/>
    </row>
    <row r="153" spans="3:56">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c r="Z153" s="488"/>
      <c r="AA153" s="488"/>
      <c r="AB153" s="488"/>
      <c r="AC153" s="488"/>
      <c r="AD153" s="488"/>
      <c r="AE153" s="488"/>
      <c r="AF153" s="488"/>
      <c r="AG153" s="488"/>
      <c r="AH153" s="488"/>
      <c r="AI153" s="488"/>
      <c r="AJ153" s="488"/>
      <c r="AK153" s="488"/>
      <c r="AL153" s="488"/>
      <c r="AM153" s="488"/>
      <c r="AN153" s="488"/>
      <c r="AO153" s="488"/>
      <c r="AP153" s="488"/>
      <c r="AQ153" s="488"/>
      <c r="AR153" s="488"/>
      <c r="AS153" s="488"/>
      <c r="AT153" s="488"/>
      <c r="AU153" s="488"/>
      <c r="AV153" s="488"/>
      <c r="AW153" s="488"/>
      <c r="AX153" s="488"/>
      <c r="AY153" s="488"/>
      <c r="AZ153" s="488"/>
      <c r="BA153" s="488"/>
      <c r="BB153" s="488"/>
      <c r="BC153" s="488"/>
      <c r="BD153" s="488"/>
    </row>
    <row r="154" spans="3:56">
      <c r="C154" s="488"/>
      <c r="D154" s="488"/>
      <c r="E154" s="488"/>
      <c r="F154" s="488"/>
      <c r="G154" s="488"/>
      <c r="H154" s="488"/>
      <c r="I154" s="488"/>
      <c r="J154" s="488"/>
      <c r="K154" s="488"/>
      <c r="L154" s="488"/>
      <c r="M154" s="488"/>
      <c r="N154" s="488"/>
      <c r="O154" s="488"/>
      <c r="P154" s="488"/>
      <c r="Q154" s="488"/>
      <c r="R154" s="488"/>
      <c r="S154" s="488"/>
      <c r="T154" s="488"/>
      <c r="U154" s="488"/>
      <c r="V154" s="488"/>
      <c r="W154" s="488"/>
      <c r="X154" s="488"/>
      <c r="Y154" s="488"/>
      <c r="Z154" s="488"/>
      <c r="AA154" s="488"/>
      <c r="AB154" s="488"/>
      <c r="AC154" s="488"/>
      <c r="AD154" s="488"/>
      <c r="AE154" s="488"/>
      <c r="AF154" s="488"/>
      <c r="AG154" s="488"/>
      <c r="AH154" s="488"/>
      <c r="AI154" s="488"/>
      <c r="AJ154" s="488"/>
      <c r="AK154" s="488"/>
      <c r="AL154" s="488"/>
      <c r="AM154" s="488"/>
      <c r="AN154" s="488"/>
      <c r="AO154" s="488"/>
      <c r="AP154" s="488"/>
      <c r="AQ154" s="488"/>
      <c r="AR154" s="488"/>
      <c r="AS154" s="488"/>
      <c r="AT154" s="488"/>
      <c r="AU154" s="488"/>
      <c r="AV154" s="488"/>
      <c r="AW154" s="488"/>
      <c r="AX154" s="488"/>
      <c r="AY154" s="488"/>
      <c r="AZ154" s="488"/>
      <c r="BA154" s="488"/>
      <c r="BB154" s="488"/>
      <c r="BC154" s="488"/>
      <c r="BD154" s="488"/>
    </row>
    <row r="155" spans="3:56">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88"/>
      <c r="Z155" s="488"/>
      <c r="AA155" s="488"/>
      <c r="AB155" s="488"/>
      <c r="AC155" s="488"/>
      <c r="AD155" s="488"/>
      <c r="AE155" s="488"/>
      <c r="AF155" s="488"/>
      <c r="AG155" s="488"/>
      <c r="AH155" s="488"/>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row>
    <row r="156" spans="3:56">
      <c r="C156" s="488"/>
      <c r="D156" s="488"/>
      <c r="E156" s="488"/>
      <c r="F156" s="488"/>
      <c r="G156" s="488"/>
      <c r="H156" s="488"/>
      <c r="I156" s="488"/>
      <c r="J156" s="488"/>
      <c r="K156" s="488"/>
      <c r="L156" s="488"/>
      <c r="M156" s="488"/>
      <c r="N156" s="488"/>
      <c r="O156" s="488"/>
      <c r="P156" s="488"/>
      <c r="Q156" s="488"/>
      <c r="R156" s="488"/>
      <c r="S156" s="488"/>
      <c r="T156" s="488"/>
      <c r="U156" s="488"/>
      <c r="V156" s="488"/>
      <c r="W156" s="488"/>
      <c r="X156" s="488"/>
      <c r="Y156" s="488"/>
      <c r="Z156" s="488"/>
      <c r="AA156" s="488"/>
      <c r="AB156" s="488"/>
      <c r="AC156" s="488"/>
      <c r="AD156" s="488"/>
      <c r="AE156" s="488"/>
      <c r="AF156" s="488"/>
      <c r="AG156" s="488"/>
      <c r="AH156" s="488"/>
      <c r="AI156" s="488"/>
      <c r="AJ156" s="488"/>
      <c r="AK156" s="488"/>
      <c r="AL156" s="488"/>
      <c r="AM156" s="488"/>
      <c r="AN156" s="488"/>
      <c r="AO156" s="488"/>
      <c r="AP156" s="488"/>
      <c r="AQ156" s="488"/>
      <c r="AR156" s="488"/>
      <c r="AS156" s="488"/>
      <c r="AT156" s="488"/>
      <c r="AU156" s="488"/>
      <c r="AV156" s="488"/>
      <c r="AW156" s="488"/>
      <c r="AX156" s="488"/>
      <c r="AY156" s="488"/>
      <c r="AZ156" s="488"/>
      <c r="BA156" s="488"/>
      <c r="BB156" s="488"/>
      <c r="BC156" s="488"/>
      <c r="BD156" s="488"/>
    </row>
    <row r="157" spans="3:56">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c r="AA157" s="488"/>
      <c r="AB157" s="488"/>
      <c r="AC157" s="488"/>
      <c r="AD157" s="488"/>
      <c r="AE157" s="488"/>
      <c r="AF157" s="488"/>
      <c r="AG157" s="488"/>
      <c r="AH157" s="488"/>
      <c r="AI157" s="488"/>
      <c r="AJ157" s="488"/>
      <c r="AK157" s="488"/>
      <c r="AL157" s="488"/>
      <c r="AM157" s="488"/>
      <c r="AN157" s="488"/>
      <c r="AO157" s="488"/>
      <c r="AP157" s="488"/>
      <c r="AQ157" s="488"/>
      <c r="AR157" s="488"/>
      <c r="AS157" s="488"/>
      <c r="AT157" s="488"/>
      <c r="AU157" s="488"/>
      <c r="AV157" s="488"/>
      <c r="AW157" s="488"/>
      <c r="AX157" s="488"/>
      <c r="AY157" s="488"/>
      <c r="AZ157" s="488"/>
      <c r="BA157" s="488"/>
      <c r="BB157" s="488"/>
      <c r="BC157" s="488"/>
      <c r="BD157" s="488"/>
    </row>
    <row r="158" spans="3:56">
      <c r="C158" s="488"/>
      <c r="D158" s="488"/>
      <c r="E158" s="488"/>
      <c r="F158" s="488"/>
      <c r="G158" s="488"/>
      <c r="H158" s="488"/>
      <c r="I158" s="488"/>
      <c r="J158" s="488"/>
      <c r="K158" s="488"/>
      <c r="L158" s="488"/>
      <c r="M158" s="488"/>
      <c r="N158" s="488"/>
      <c r="O158" s="488"/>
      <c r="P158" s="488"/>
      <c r="Q158" s="488"/>
      <c r="R158" s="488"/>
      <c r="S158" s="488"/>
      <c r="T158" s="488"/>
      <c r="U158" s="488"/>
      <c r="V158" s="488"/>
      <c r="W158" s="488"/>
      <c r="X158" s="488"/>
      <c r="Y158" s="488"/>
      <c r="Z158" s="488"/>
      <c r="AA158" s="488"/>
      <c r="AB158" s="488"/>
      <c r="AC158" s="488"/>
      <c r="AD158" s="488"/>
      <c r="AE158" s="488"/>
      <c r="AF158" s="488"/>
      <c r="AG158" s="488"/>
      <c r="AH158" s="488"/>
      <c r="AI158" s="488"/>
      <c r="AJ158" s="488"/>
      <c r="AK158" s="488"/>
      <c r="AL158" s="488"/>
      <c r="AM158" s="488"/>
      <c r="AN158" s="488"/>
      <c r="AO158" s="488"/>
      <c r="AP158" s="488"/>
      <c r="AQ158" s="488"/>
      <c r="AR158" s="488"/>
      <c r="AS158" s="488"/>
      <c r="AT158" s="488"/>
      <c r="AU158" s="488"/>
      <c r="AV158" s="488"/>
      <c r="AW158" s="488"/>
      <c r="AX158" s="488"/>
      <c r="AY158" s="488"/>
      <c r="AZ158" s="488"/>
      <c r="BA158" s="488"/>
      <c r="BB158" s="488"/>
      <c r="BC158" s="488"/>
      <c r="BD158" s="488"/>
    </row>
    <row r="159" spans="3:56">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c r="AA159" s="488"/>
      <c r="AB159" s="488"/>
      <c r="AC159" s="488"/>
      <c r="AD159" s="488"/>
      <c r="AE159" s="488"/>
      <c r="AF159" s="488"/>
      <c r="AG159" s="488"/>
      <c r="AH159" s="488"/>
      <c r="AI159" s="488"/>
      <c r="AJ159" s="488"/>
      <c r="AK159" s="488"/>
      <c r="AL159" s="488"/>
      <c r="AM159" s="488"/>
      <c r="AN159" s="488"/>
      <c r="AO159" s="488"/>
      <c r="AP159" s="488"/>
      <c r="AQ159" s="488"/>
      <c r="AR159" s="488"/>
      <c r="AS159" s="488"/>
      <c r="AT159" s="488"/>
      <c r="AU159" s="488"/>
      <c r="AV159" s="488"/>
      <c r="AW159" s="488"/>
      <c r="AX159" s="488"/>
      <c r="AY159" s="488"/>
      <c r="AZ159" s="488"/>
      <c r="BA159" s="488"/>
      <c r="BB159" s="488"/>
      <c r="BC159" s="488"/>
      <c r="BD159" s="488"/>
    </row>
    <row r="160" spans="3:56">
      <c r="C160" s="488"/>
      <c r="D160" s="488"/>
      <c r="E160" s="488"/>
      <c r="F160" s="488"/>
      <c r="G160" s="488"/>
      <c r="H160" s="488"/>
      <c r="I160" s="488"/>
      <c r="J160" s="488"/>
      <c r="K160" s="488"/>
      <c r="L160" s="488"/>
      <c r="M160" s="488"/>
      <c r="N160" s="488"/>
      <c r="O160" s="488"/>
      <c r="P160" s="488"/>
      <c r="Q160" s="488"/>
      <c r="R160" s="488"/>
      <c r="S160" s="488"/>
      <c r="T160" s="488"/>
      <c r="U160" s="488"/>
      <c r="V160" s="488"/>
      <c r="W160" s="488"/>
      <c r="X160" s="488"/>
      <c r="Y160" s="488"/>
      <c r="Z160" s="488"/>
      <c r="AA160" s="488"/>
      <c r="AB160" s="488"/>
      <c r="AC160" s="488"/>
      <c r="AD160" s="488"/>
      <c r="AE160" s="488"/>
      <c r="AF160" s="488"/>
      <c r="AG160" s="488"/>
      <c r="AH160" s="488"/>
      <c r="AI160" s="488"/>
      <c r="AJ160" s="488"/>
      <c r="AK160" s="488"/>
      <c r="AL160" s="488"/>
      <c r="AM160" s="488"/>
      <c r="AN160" s="488"/>
      <c r="AO160" s="488"/>
      <c r="AP160" s="488"/>
      <c r="AQ160" s="488"/>
      <c r="AR160" s="488"/>
      <c r="AS160" s="488"/>
      <c r="AT160" s="488"/>
      <c r="AU160" s="488"/>
      <c r="AV160" s="488"/>
      <c r="AW160" s="488"/>
      <c r="AX160" s="488"/>
      <c r="AY160" s="488"/>
      <c r="AZ160" s="488"/>
      <c r="BA160" s="488"/>
      <c r="BB160" s="488"/>
      <c r="BC160" s="488"/>
      <c r="BD160" s="488"/>
    </row>
    <row r="161" spans="3:56">
      <c r="C161" s="488"/>
      <c r="D161" s="488"/>
      <c r="E161" s="488"/>
      <c r="F161" s="488"/>
      <c r="G161" s="488"/>
      <c r="H161" s="488"/>
      <c r="I161" s="488"/>
      <c r="J161" s="488"/>
      <c r="K161" s="488"/>
      <c r="L161" s="488"/>
      <c r="M161" s="488"/>
      <c r="N161" s="488"/>
      <c r="O161" s="488"/>
      <c r="P161" s="488"/>
      <c r="Q161" s="488"/>
      <c r="R161" s="488"/>
      <c r="S161" s="488"/>
      <c r="T161" s="488"/>
      <c r="U161" s="488"/>
      <c r="V161" s="488"/>
      <c r="W161" s="488"/>
      <c r="X161" s="488"/>
      <c r="Y161" s="488"/>
      <c r="Z161" s="488"/>
      <c r="AA161" s="488"/>
      <c r="AB161" s="488"/>
      <c r="AC161" s="488"/>
      <c r="AD161" s="488"/>
      <c r="AE161" s="488"/>
      <c r="AF161" s="488"/>
      <c r="AG161" s="488"/>
      <c r="AH161" s="488"/>
      <c r="AI161" s="488"/>
      <c r="AJ161" s="488"/>
      <c r="AK161" s="488"/>
      <c r="AL161" s="488"/>
      <c r="AM161" s="488"/>
      <c r="AN161" s="488"/>
      <c r="AO161" s="488"/>
      <c r="AP161" s="488"/>
      <c r="AQ161" s="488"/>
      <c r="AR161" s="488"/>
      <c r="AS161" s="488"/>
      <c r="AT161" s="488"/>
      <c r="AU161" s="488"/>
      <c r="AV161" s="488"/>
      <c r="AW161" s="488"/>
      <c r="AX161" s="488"/>
      <c r="AY161" s="488"/>
      <c r="AZ161" s="488"/>
      <c r="BA161" s="488"/>
      <c r="BB161" s="488"/>
      <c r="BC161" s="488"/>
      <c r="BD161" s="488"/>
    </row>
    <row r="162" spans="3:56">
      <c r="C162" s="488"/>
      <c r="D162" s="488"/>
      <c r="E162" s="488"/>
      <c r="F162" s="488"/>
      <c r="G162" s="488"/>
      <c r="H162" s="488"/>
      <c r="I162" s="488"/>
      <c r="J162" s="488"/>
      <c r="K162" s="488"/>
      <c r="L162" s="488"/>
      <c r="M162" s="488"/>
      <c r="N162" s="488"/>
      <c r="O162" s="488"/>
      <c r="P162" s="488"/>
      <c r="Q162" s="488"/>
      <c r="R162" s="488"/>
      <c r="S162" s="488"/>
      <c r="T162" s="488"/>
      <c r="U162" s="488"/>
      <c r="V162" s="488"/>
      <c r="W162" s="488"/>
      <c r="X162" s="488"/>
      <c r="Y162" s="488"/>
      <c r="Z162" s="488"/>
      <c r="AA162" s="488"/>
      <c r="AB162" s="488"/>
      <c r="AC162" s="488"/>
      <c r="AD162" s="488"/>
      <c r="AE162" s="488"/>
      <c r="AF162" s="488"/>
      <c r="AG162" s="488"/>
      <c r="AH162" s="488"/>
      <c r="AI162" s="488"/>
      <c r="AJ162" s="488"/>
      <c r="AK162" s="488"/>
      <c r="AL162" s="488"/>
      <c r="AM162" s="488"/>
      <c r="AN162" s="488"/>
      <c r="AO162" s="488"/>
      <c r="AP162" s="488"/>
      <c r="AQ162" s="488"/>
      <c r="AR162" s="488"/>
      <c r="AS162" s="488"/>
      <c r="AT162" s="488"/>
      <c r="AU162" s="488"/>
      <c r="AV162" s="488"/>
      <c r="AW162" s="488"/>
      <c r="AX162" s="488"/>
      <c r="AY162" s="488"/>
      <c r="AZ162" s="488"/>
      <c r="BA162" s="488"/>
      <c r="BB162" s="488"/>
      <c r="BC162" s="488"/>
      <c r="BD162" s="488"/>
    </row>
    <row r="163" spans="3:56">
      <c r="C163" s="488"/>
      <c r="D163" s="488"/>
      <c r="E163" s="488"/>
      <c r="F163" s="488"/>
      <c r="G163" s="488"/>
      <c r="H163" s="488"/>
      <c r="I163" s="488"/>
      <c r="J163" s="488"/>
      <c r="K163" s="488"/>
      <c r="L163" s="488"/>
      <c r="M163" s="488"/>
      <c r="N163" s="488"/>
      <c r="O163" s="488"/>
      <c r="P163" s="488"/>
      <c r="Q163" s="488"/>
      <c r="R163" s="488"/>
      <c r="S163" s="488"/>
      <c r="T163" s="488"/>
      <c r="U163" s="488"/>
      <c r="V163" s="488"/>
      <c r="W163" s="488"/>
      <c r="X163" s="488"/>
      <c r="Y163" s="488"/>
      <c r="Z163" s="488"/>
      <c r="AA163" s="488"/>
      <c r="AB163" s="488"/>
      <c r="AC163" s="488"/>
      <c r="AD163" s="488"/>
      <c r="AE163" s="488"/>
      <c r="AF163" s="488"/>
      <c r="AG163" s="488"/>
      <c r="AH163" s="488"/>
      <c r="AI163" s="488"/>
      <c r="AJ163" s="488"/>
      <c r="AK163" s="488"/>
      <c r="AL163" s="488"/>
      <c r="AM163" s="488"/>
      <c r="AN163" s="488"/>
      <c r="AO163" s="488"/>
      <c r="AP163" s="488"/>
      <c r="AQ163" s="488"/>
      <c r="AR163" s="488"/>
      <c r="AS163" s="488"/>
      <c r="AT163" s="488"/>
      <c r="AU163" s="488"/>
      <c r="AV163" s="488"/>
      <c r="AW163" s="488"/>
      <c r="AX163" s="488"/>
      <c r="AY163" s="488"/>
      <c r="AZ163" s="488"/>
      <c r="BA163" s="488"/>
      <c r="BB163" s="488"/>
      <c r="BC163" s="488"/>
      <c r="BD163" s="488"/>
    </row>
    <row r="164" spans="3:56">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c r="AA164" s="488"/>
      <c r="AB164" s="488"/>
      <c r="AC164" s="488"/>
      <c r="AD164" s="488"/>
      <c r="AE164" s="488"/>
      <c r="AF164" s="488"/>
      <c r="AG164" s="488"/>
      <c r="AH164" s="488"/>
      <c r="AI164" s="488"/>
      <c r="AJ164" s="488"/>
      <c r="AK164" s="488"/>
      <c r="AL164" s="488"/>
      <c r="AM164" s="488"/>
      <c r="AN164" s="488"/>
      <c r="AO164" s="488"/>
      <c r="AP164" s="488"/>
      <c r="AQ164" s="488"/>
      <c r="AR164" s="488"/>
      <c r="AS164" s="488"/>
      <c r="AT164" s="488"/>
      <c r="AU164" s="488"/>
      <c r="AV164" s="488"/>
      <c r="AW164" s="488"/>
      <c r="AX164" s="488"/>
      <c r="AY164" s="488"/>
      <c r="AZ164" s="488"/>
      <c r="BA164" s="488"/>
      <c r="BB164" s="488"/>
      <c r="BC164" s="488"/>
      <c r="BD164" s="488"/>
    </row>
    <row r="165" spans="3:56">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c r="AA165" s="488"/>
      <c r="AB165" s="488"/>
      <c r="AC165" s="488"/>
      <c r="AD165" s="488"/>
      <c r="AE165" s="488"/>
      <c r="AF165" s="488"/>
      <c r="AG165" s="488"/>
      <c r="AH165" s="488"/>
      <c r="AI165" s="488"/>
      <c r="AJ165" s="488"/>
      <c r="AK165" s="488"/>
      <c r="AL165" s="488"/>
      <c r="AM165" s="488"/>
      <c r="AN165" s="488"/>
      <c r="AO165" s="488"/>
      <c r="AP165" s="488"/>
      <c r="AQ165" s="488"/>
      <c r="AR165" s="488"/>
      <c r="AS165" s="488"/>
      <c r="AT165" s="488"/>
      <c r="AU165" s="488"/>
      <c r="AV165" s="488"/>
      <c r="AW165" s="488"/>
      <c r="AX165" s="488"/>
      <c r="AY165" s="488"/>
      <c r="AZ165" s="488"/>
      <c r="BA165" s="488"/>
      <c r="BB165" s="488"/>
      <c r="BC165" s="488"/>
      <c r="BD165" s="488"/>
    </row>
    <row r="166" spans="3:56">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c r="AA166" s="488"/>
      <c r="AB166" s="488"/>
      <c r="AC166" s="488"/>
      <c r="AD166" s="488"/>
      <c r="AE166" s="488"/>
      <c r="AF166" s="488"/>
      <c r="AG166" s="488"/>
      <c r="AH166" s="488"/>
      <c r="AI166" s="488"/>
      <c r="AJ166" s="488"/>
      <c r="AK166" s="488"/>
      <c r="AL166" s="488"/>
      <c r="AM166" s="488"/>
      <c r="AN166" s="488"/>
      <c r="AO166" s="488"/>
      <c r="AP166" s="488"/>
      <c r="AQ166" s="488"/>
      <c r="AR166" s="488"/>
      <c r="AS166" s="488"/>
      <c r="AT166" s="488"/>
      <c r="AU166" s="488"/>
      <c r="AV166" s="488"/>
      <c r="AW166" s="488"/>
      <c r="AX166" s="488"/>
      <c r="AY166" s="488"/>
      <c r="AZ166" s="488"/>
      <c r="BA166" s="488"/>
      <c r="BB166" s="488"/>
      <c r="BC166" s="488"/>
      <c r="BD166" s="488"/>
    </row>
    <row r="167" spans="3:56">
      <c r="C167" s="488"/>
      <c r="D167" s="488"/>
      <c r="E167" s="488"/>
      <c r="F167" s="488"/>
      <c r="G167" s="488"/>
      <c r="H167" s="488"/>
      <c r="I167" s="488"/>
      <c r="J167" s="488"/>
      <c r="K167" s="488"/>
      <c r="L167" s="488"/>
      <c r="M167" s="488"/>
      <c r="N167" s="488"/>
      <c r="O167" s="488"/>
      <c r="P167" s="488"/>
      <c r="Q167" s="488"/>
      <c r="R167" s="488"/>
      <c r="S167" s="488"/>
      <c r="T167" s="488"/>
      <c r="U167" s="488"/>
      <c r="V167" s="488"/>
      <c r="W167" s="488"/>
      <c r="X167" s="488"/>
      <c r="Y167" s="488"/>
      <c r="Z167" s="488"/>
      <c r="AA167" s="488"/>
      <c r="AB167" s="488"/>
      <c r="AC167" s="488"/>
      <c r="AD167" s="488"/>
      <c r="AE167" s="488"/>
      <c r="AF167" s="488"/>
      <c r="AG167" s="488"/>
      <c r="AH167" s="488"/>
      <c r="AI167" s="488"/>
      <c r="AJ167" s="488"/>
      <c r="AK167" s="488"/>
      <c r="AL167" s="488"/>
      <c r="AM167" s="488"/>
      <c r="AN167" s="488"/>
      <c r="AO167" s="488"/>
      <c r="AP167" s="488"/>
      <c r="AQ167" s="488"/>
      <c r="AR167" s="488"/>
      <c r="AS167" s="488"/>
      <c r="AT167" s="488"/>
      <c r="AU167" s="488"/>
      <c r="AV167" s="488"/>
      <c r="AW167" s="488"/>
      <c r="AX167" s="488"/>
      <c r="AY167" s="488"/>
      <c r="AZ167" s="488"/>
      <c r="BA167" s="488"/>
      <c r="BB167" s="488"/>
      <c r="BC167" s="488"/>
      <c r="BD167" s="488"/>
    </row>
    <row r="168" spans="3:56">
      <c r="C168" s="488"/>
      <c r="D168" s="488"/>
      <c r="E168" s="488"/>
      <c r="F168" s="488"/>
      <c r="G168" s="488"/>
      <c r="H168" s="488"/>
      <c r="I168" s="488"/>
      <c r="J168" s="488"/>
      <c r="K168" s="488"/>
      <c r="L168" s="488"/>
      <c r="M168" s="488"/>
      <c r="N168" s="488"/>
      <c r="O168" s="488"/>
      <c r="P168" s="488"/>
      <c r="Q168" s="488"/>
      <c r="R168" s="488"/>
      <c r="S168" s="488"/>
      <c r="T168" s="488"/>
      <c r="U168" s="488"/>
      <c r="V168" s="488"/>
      <c r="W168" s="488"/>
      <c r="X168" s="488"/>
      <c r="Y168" s="488"/>
      <c r="Z168" s="488"/>
      <c r="AA168" s="488"/>
      <c r="AB168" s="488"/>
      <c r="AC168" s="488"/>
      <c r="AD168" s="488"/>
      <c r="AE168" s="488"/>
      <c r="AF168" s="488"/>
      <c r="AG168" s="488"/>
      <c r="AH168" s="488"/>
      <c r="AI168" s="488"/>
      <c r="AJ168" s="488"/>
      <c r="AK168" s="488"/>
      <c r="AL168" s="488"/>
      <c r="AM168" s="488"/>
      <c r="AN168" s="488"/>
      <c r="AO168" s="488"/>
      <c r="AP168" s="488"/>
      <c r="AQ168" s="488"/>
      <c r="AR168" s="488"/>
      <c r="AS168" s="488"/>
      <c r="AT168" s="488"/>
      <c r="AU168" s="488"/>
      <c r="AV168" s="488"/>
      <c r="AW168" s="488"/>
      <c r="AX168" s="488"/>
      <c r="AY168" s="488"/>
      <c r="AZ168" s="488"/>
      <c r="BA168" s="488"/>
      <c r="BB168" s="488"/>
      <c r="BC168" s="488"/>
      <c r="BD168" s="488"/>
    </row>
    <row r="169" spans="3:56">
      <c r="C169" s="488"/>
      <c r="D169" s="488"/>
      <c r="E169" s="488"/>
      <c r="F169" s="488"/>
      <c r="G169" s="488"/>
      <c r="H169" s="488"/>
      <c r="I169" s="488"/>
      <c r="J169" s="488"/>
      <c r="K169" s="488"/>
      <c r="L169" s="488"/>
      <c r="M169" s="488"/>
      <c r="N169" s="488"/>
      <c r="O169" s="488"/>
      <c r="P169" s="488"/>
      <c r="Q169" s="488"/>
      <c r="R169" s="488"/>
      <c r="S169" s="488"/>
      <c r="T169" s="488"/>
      <c r="U169" s="488"/>
      <c r="V169" s="488"/>
      <c r="W169" s="488"/>
      <c r="X169" s="488"/>
      <c r="Y169" s="488"/>
      <c r="Z169" s="488"/>
      <c r="AA169" s="488"/>
      <c r="AB169" s="488"/>
      <c r="AC169" s="488"/>
      <c r="AD169" s="488"/>
      <c r="AE169" s="488"/>
      <c r="AF169" s="488"/>
      <c r="AG169" s="488"/>
      <c r="AH169" s="488"/>
      <c r="AI169" s="488"/>
      <c r="AJ169" s="488"/>
      <c r="AK169" s="488"/>
      <c r="AL169" s="488"/>
      <c r="AM169" s="488"/>
      <c r="AN169" s="488"/>
      <c r="AO169" s="488"/>
      <c r="AP169" s="488"/>
      <c r="AQ169" s="488"/>
      <c r="AR169" s="488"/>
      <c r="AS169" s="488"/>
      <c r="AT169" s="488"/>
      <c r="AU169" s="488"/>
      <c r="AV169" s="488"/>
      <c r="AW169" s="488"/>
      <c r="AX169" s="488"/>
      <c r="AY169" s="488"/>
      <c r="AZ169" s="488"/>
      <c r="BA169" s="488"/>
      <c r="BB169" s="488"/>
      <c r="BC169" s="488"/>
      <c r="BD169" s="488"/>
    </row>
    <row r="170" spans="3:56">
      <c r="C170" s="488"/>
      <c r="D170" s="488"/>
      <c r="E170" s="488"/>
      <c r="F170" s="488"/>
      <c r="G170" s="488"/>
      <c r="H170" s="488"/>
      <c r="I170" s="488"/>
      <c r="J170" s="488"/>
      <c r="K170" s="488"/>
      <c r="L170" s="488"/>
      <c r="M170" s="488"/>
      <c r="N170" s="488"/>
      <c r="O170" s="488"/>
      <c r="P170" s="488"/>
      <c r="Q170" s="488"/>
      <c r="R170" s="488"/>
      <c r="S170" s="488"/>
      <c r="T170" s="488"/>
      <c r="U170" s="488"/>
      <c r="V170" s="488"/>
      <c r="W170" s="488"/>
      <c r="X170" s="488"/>
      <c r="Y170" s="488"/>
      <c r="Z170" s="488"/>
      <c r="AA170" s="488"/>
      <c r="AB170" s="488"/>
      <c r="AC170" s="488"/>
      <c r="AD170" s="488"/>
      <c r="AE170" s="488"/>
      <c r="AF170" s="488"/>
      <c r="AG170" s="488"/>
      <c r="AH170" s="488"/>
      <c r="AI170" s="488"/>
      <c r="AJ170" s="488"/>
      <c r="AK170" s="488"/>
      <c r="AL170" s="488"/>
      <c r="AM170" s="488"/>
      <c r="AN170" s="488"/>
      <c r="AO170" s="488"/>
      <c r="AP170" s="488"/>
      <c r="AQ170" s="488"/>
      <c r="AR170" s="488"/>
      <c r="AS170" s="488"/>
      <c r="AT170" s="488"/>
      <c r="AU170" s="488"/>
      <c r="AV170" s="488"/>
      <c r="AW170" s="488"/>
      <c r="AX170" s="488"/>
      <c r="AY170" s="488"/>
      <c r="AZ170" s="488"/>
      <c r="BA170" s="488"/>
      <c r="BB170" s="488"/>
      <c r="BC170" s="488"/>
      <c r="BD170" s="488"/>
    </row>
    <row r="171" spans="3:56">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8"/>
      <c r="AD171" s="488"/>
      <c r="AE171" s="488"/>
      <c r="AF171" s="488"/>
      <c r="AG171" s="488"/>
      <c r="AH171" s="488"/>
      <c r="AI171" s="488"/>
      <c r="AJ171" s="488"/>
      <c r="AK171" s="488"/>
      <c r="AL171" s="488"/>
      <c r="AM171" s="488"/>
      <c r="AN171" s="488"/>
      <c r="AO171" s="488"/>
      <c r="AP171" s="488"/>
      <c r="AQ171" s="488"/>
      <c r="AR171" s="488"/>
      <c r="AS171" s="488"/>
      <c r="AT171" s="488"/>
      <c r="AU171" s="488"/>
      <c r="AV171" s="488"/>
      <c r="AW171" s="488"/>
      <c r="AX171" s="488"/>
      <c r="AY171" s="488"/>
      <c r="AZ171" s="488"/>
      <c r="BA171" s="488"/>
      <c r="BB171" s="488"/>
      <c r="BC171" s="488"/>
      <c r="BD171" s="488"/>
    </row>
    <row r="172" spans="3:56">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8"/>
      <c r="AD172" s="488"/>
      <c r="AE172" s="488"/>
      <c r="AF172" s="488"/>
      <c r="AG172" s="488"/>
      <c r="AH172" s="488"/>
      <c r="AI172" s="488"/>
      <c r="AJ172" s="488"/>
      <c r="AK172" s="488"/>
      <c r="AL172" s="488"/>
      <c r="AM172" s="488"/>
      <c r="AN172" s="488"/>
      <c r="AO172" s="488"/>
      <c r="AP172" s="488"/>
      <c r="AQ172" s="488"/>
      <c r="AR172" s="488"/>
      <c r="AS172" s="488"/>
      <c r="AT172" s="488"/>
      <c r="AU172" s="488"/>
      <c r="AV172" s="488"/>
      <c r="AW172" s="488"/>
      <c r="AX172" s="488"/>
      <c r="AY172" s="488"/>
      <c r="AZ172" s="488"/>
      <c r="BA172" s="488"/>
      <c r="BB172" s="488"/>
      <c r="BC172" s="488"/>
      <c r="BD172" s="488"/>
    </row>
    <row r="173" spans="3:56">
      <c r="C173" s="488"/>
      <c r="D173" s="488"/>
      <c r="E173" s="488"/>
      <c r="F173" s="488"/>
      <c r="G173" s="488"/>
      <c r="H173" s="488"/>
      <c r="I173" s="488"/>
      <c r="J173" s="488"/>
      <c r="K173" s="488"/>
      <c r="L173" s="488"/>
      <c r="M173" s="488"/>
      <c r="N173" s="488"/>
      <c r="O173" s="488"/>
      <c r="P173" s="488"/>
      <c r="Q173" s="488"/>
      <c r="R173" s="488"/>
      <c r="S173" s="488"/>
      <c r="T173" s="488"/>
      <c r="U173" s="488"/>
      <c r="V173" s="488"/>
      <c r="W173" s="488"/>
      <c r="X173" s="488"/>
      <c r="Y173" s="488"/>
      <c r="Z173" s="488"/>
      <c r="AA173" s="488"/>
      <c r="AB173" s="488"/>
      <c r="AC173" s="488"/>
      <c r="AD173" s="488"/>
      <c r="AE173" s="488"/>
      <c r="AF173" s="488"/>
      <c r="AG173" s="488"/>
      <c r="AH173" s="488"/>
      <c r="AI173" s="488"/>
      <c r="AJ173" s="488"/>
      <c r="AK173" s="488"/>
      <c r="AL173" s="488"/>
      <c r="AM173" s="488"/>
      <c r="AN173" s="488"/>
      <c r="AO173" s="488"/>
      <c r="AP173" s="488"/>
      <c r="AQ173" s="488"/>
      <c r="AR173" s="488"/>
      <c r="AS173" s="488"/>
      <c r="AT173" s="488"/>
      <c r="AU173" s="488"/>
      <c r="AV173" s="488"/>
      <c r="AW173" s="488"/>
      <c r="AX173" s="488"/>
      <c r="AY173" s="488"/>
      <c r="AZ173" s="488"/>
      <c r="BA173" s="488"/>
      <c r="BB173" s="488"/>
      <c r="BC173" s="488"/>
      <c r="BD173" s="488"/>
    </row>
    <row r="174" spans="3:56">
      <c r="C174" s="488"/>
      <c r="D174" s="488"/>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c r="AA174" s="488"/>
      <c r="AB174" s="488"/>
      <c r="AC174" s="488"/>
      <c r="AD174" s="488"/>
      <c r="AE174" s="488"/>
      <c r="AF174" s="488"/>
      <c r="AG174" s="488"/>
      <c r="AH174" s="488"/>
      <c r="AI174" s="488"/>
      <c r="AJ174" s="488"/>
      <c r="AK174" s="488"/>
      <c r="AL174" s="488"/>
      <c r="AM174" s="488"/>
      <c r="AN174" s="488"/>
      <c r="AO174" s="488"/>
      <c r="AP174" s="488"/>
      <c r="AQ174" s="488"/>
      <c r="AR174" s="488"/>
      <c r="AS174" s="488"/>
      <c r="AT174" s="488"/>
      <c r="AU174" s="488"/>
      <c r="AV174" s="488"/>
      <c r="AW174" s="488"/>
      <c r="AX174" s="488"/>
      <c r="AY174" s="488"/>
      <c r="AZ174" s="488"/>
      <c r="BA174" s="488"/>
      <c r="BB174" s="488"/>
      <c r="BC174" s="488"/>
      <c r="BD174" s="488"/>
    </row>
    <row r="175" spans="3:56">
      <c r="C175" s="488"/>
      <c r="D175" s="488"/>
      <c r="E175" s="488"/>
      <c r="F175" s="488"/>
      <c r="G175" s="488"/>
      <c r="H175" s="488"/>
      <c r="I175" s="488"/>
      <c r="J175" s="488"/>
      <c r="K175" s="488"/>
      <c r="L175" s="488"/>
      <c r="M175" s="488"/>
      <c r="N175" s="488"/>
      <c r="O175" s="488"/>
      <c r="P175" s="488"/>
      <c r="Q175" s="488"/>
      <c r="R175" s="488"/>
      <c r="S175" s="488"/>
      <c r="T175" s="488"/>
      <c r="U175" s="488"/>
      <c r="V175" s="488"/>
      <c r="W175" s="488"/>
      <c r="X175" s="488"/>
      <c r="Y175" s="488"/>
      <c r="Z175" s="488"/>
      <c r="AA175" s="488"/>
      <c r="AB175" s="488"/>
      <c r="AC175" s="488"/>
      <c r="AD175" s="488"/>
      <c r="AE175" s="488"/>
      <c r="AF175" s="488"/>
      <c r="AG175" s="488"/>
      <c r="AH175" s="488"/>
      <c r="AI175" s="488"/>
      <c r="AJ175" s="488"/>
      <c r="AK175" s="488"/>
      <c r="AL175" s="488"/>
      <c r="AM175" s="488"/>
      <c r="AN175" s="488"/>
      <c r="AO175" s="488"/>
      <c r="AP175" s="488"/>
      <c r="AQ175" s="488"/>
      <c r="AR175" s="488"/>
      <c r="AS175" s="488"/>
      <c r="AT175" s="488"/>
      <c r="AU175" s="488"/>
      <c r="AV175" s="488"/>
      <c r="AW175" s="488"/>
      <c r="AX175" s="488"/>
      <c r="AY175" s="488"/>
      <c r="AZ175" s="488"/>
      <c r="BA175" s="488"/>
      <c r="BB175" s="488"/>
      <c r="BC175" s="488"/>
      <c r="BD175" s="488"/>
    </row>
    <row r="176" spans="3:56">
      <c r="C176" s="488"/>
      <c r="D176" s="488"/>
      <c r="E176" s="488"/>
      <c r="F176" s="488"/>
      <c r="G176" s="488"/>
      <c r="H176" s="488"/>
      <c r="I176" s="488"/>
      <c r="J176" s="488"/>
      <c r="K176" s="488"/>
      <c r="L176" s="488"/>
      <c r="M176" s="488"/>
      <c r="N176" s="488"/>
      <c r="O176" s="488"/>
      <c r="P176" s="488"/>
      <c r="Q176" s="488"/>
      <c r="R176" s="488"/>
      <c r="S176" s="488"/>
      <c r="T176" s="488"/>
      <c r="U176" s="488"/>
      <c r="V176" s="488"/>
      <c r="W176" s="488"/>
      <c r="X176" s="488"/>
      <c r="Y176" s="488"/>
      <c r="Z176" s="488"/>
      <c r="AA176" s="488"/>
      <c r="AB176" s="488"/>
      <c r="AC176" s="488"/>
      <c r="AD176" s="488"/>
      <c r="AE176" s="488"/>
      <c r="AF176" s="488"/>
      <c r="AG176" s="488"/>
      <c r="AH176" s="488"/>
      <c r="AI176" s="488"/>
      <c r="AJ176" s="488"/>
      <c r="AK176" s="488"/>
      <c r="AL176" s="488"/>
      <c r="AM176" s="488"/>
      <c r="AN176" s="488"/>
      <c r="AO176" s="488"/>
      <c r="AP176" s="488"/>
      <c r="AQ176" s="488"/>
      <c r="AR176" s="488"/>
      <c r="AS176" s="488"/>
      <c r="AT176" s="488"/>
      <c r="AU176" s="488"/>
      <c r="AV176" s="488"/>
      <c r="AW176" s="488"/>
      <c r="AX176" s="488"/>
      <c r="AY176" s="488"/>
      <c r="AZ176" s="488"/>
      <c r="BA176" s="488"/>
      <c r="BB176" s="488"/>
      <c r="BC176" s="488"/>
      <c r="BD176" s="488"/>
    </row>
    <row r="177" spans="3:56">
      <c r="C177" s="488"/>
      <c r="D177" s="488"/>
      <c r="E177" s="488"/>
      <c r="F177" s="488"/>
      <c r="G177" s="488"/>
      <c r="H177" s="488"/>
      <c r="I177" s="488"/>
      <c r="J177" s="488"/>
      <c r="K177" s="488"/>
      <c r="L177" s="488"/>
      <c r="M177" s="488"/>
      <c r="N177" s="488"/>
      <c r="O177" s="488"/>
      <c r="P177" s="488"/>
      <c r="Q177" s="488"/>
      <c r="R177" s="488"/>
      <c r="S177" s="488"/>
      <c r="T177" s="488"/>
      <c r="U177" s="488"/>
      <c r="V177" s="488"/>
      <c r="W177" s="488"/>
      <c r="X177" s="488"/>
      <c r="Y177" s="488"/>
      <c r="Z177" s="488"/>
      <c r="AA177" s="488"/>
      <c r="AB177" s="488"/>
      <c r="AC177" s="488"/>
      <c r="AD177" s="488"/>
      <c r="AE177" s="488"/>
      <c r="AF177" s="488"/>
      <c r="AG177" s="488"/>
      <c r="AH177" s="488"/>
      <c r="AI177" s="488"/>
      <c r="AJ177" s="488"/>
      <c r="AK177" s="488"/>
      <c r="AL177" s="488"/>
      <c r="AM177" s="488"/>
      <c r="AN177" s="488"/>
      <c r="AO177" s="488"/>
      <c r="AP177" s="488"/>
      <c r="AQ177" s="488"/>
      <c r="AR177" s="488"/>
      <c r="AS177" s="488"/>
      <c r="AT177" s="488"/>
      <c r="AU177" s="488"/>
      <c r="AV177" s="488"/>
      <c r="AW177" s="488"/>
      <c r="AX177" s="488"/>
      <c r="AY177" s="488"/>
      <c r="AZ177" s="488"/>
      <c r="BA177" s="488"/>
      <c r="BB177" s="488"/>
      <c r="BC177" s="488"/>
      <c r="BD177" s="488"/>
    </row>
    <row r="178" spans="3:56">
      <c r="C178" s="488"/>
      <c r="D178" s="488"/>
      <c r="E178" s="488"/>
      <c r="F178" s="488"/>
      <c r="G178" s="488"/>
      <c r="H178" s="488"/>
      <c r="I178" s="488"/>
      <c r="J178" s="488"/>
      <c r="K178" s="488"/>
      <c r="L178" s="488"/>
      <c r="M178" s="488"/>
      <c r="N178" s="488"/>
      <c r="O178" s="488"/>
      <c r="P178" s="488"/>
      <c r="Q178" s="488"/>
      <c r="R178" s="488"/>
      <c r="S178" s="488"/>
      <c r="T178" s="488"/>
      <c r="U178" s="488"/>
      <c r="V178" s="488"/>
      <c r="W178" s="488"/>
      <c r="X178" s="488"/>
      <c r="Y178" s="488"/>
      <c r="Z178" s="488"/>
      <c r="AA178" s="488"/>
      <c r="AB178" s="488"/>
      <c r="AC178" s="488"/>
      <c r="AD178" s="488"/>
      <c r="AE178" s="488"/>
      <c r="AF178" s="488"/>
      <c r="AG178" s="488"/>
      <c r="AH178" s="488"/>
      <c r="AI178" s="488"/>
      <c r="AJ178" s="488"/>
      <c r="AK178" s="488"/>
      <c r="AL178" s="488"/>
      <c r="AM178" s="488"/>
      <c r="AN178" s="488"/>
      <c r="AO178" s="488"/>
      <c r="AP178" s="488"/>
      <c r="AQ178" s="488"/>
      <c r="AR178" s="488"/>
      <c r="AS178" s="488"/>
      <c r="AT178" s="488"/>
      <c r="AU178" s="488"/>
      <c r="AV178" s="488"/>
      <c r="AW178" s="488"/>
      <c r="AX178" s="488"/>
      <c r="AY178" s="488"/>
      <c r="AZ178" s="488"/>
      <c r="BA178" s="488"/>
      <c r="BB178" s="488"/>
      <c r="BC178" s="488"/>
      <c r="BD178" s="488"/>
    </row>
    <row r="179" spans="3:56">
      <c r="C179" s="488"/>
      <c r="D179" s="488"/>
      <c r="E179" s="488"/>
      <c r="F179" s="488"/>
      <c r="G179" s="488"/>
      <c r="H179" s="488"/>
      <c r="I179" s="488"/>
      <c r="J179" s="488"/>
      <c r="K179" s="488"/>
      <c r="L179" s="488"/>
      <c r="M179" s="488"/>
      <c r="N179" s="488"/>
      <c r="O179" s="488"/>
      <c r="P179" s="488"/>
      <c r="Q179" s="488"/>
      <c r="R179" s="488"/>
      <c r="S179" s="488"/>
      <c r="T179" s="488"/>
      <c r="U179" s="488"/>
      <c r="V179" s="488"/>
      <c r="W179" s="488"/>
      <c r="X179" s="488"/>
      <c r="Y179" s="488"/>
      <c r="Z179" s="488"/>
      <c r="AA179" s="488"/>
      <c r="AB179" s="488"/>
      <c r="AC179" s="488"/>
      <c r="AD179" s="488"/>
      <c r="AE179" s="488"/>
      <c r="AF179" s="488"/>
      <c r="AG179" s="488"/>
      <c r="AH179" s="488"/>
      <c r="AI179" s="488"/>
      <c r="AJ179" s="488"/>
      <c r="AK179" s="488"/>
      <c r="AL179" s="488"/>
      <c r="AM179" s="488"/>
      <c r="AN179" s="488"/>
      <c r="AO179" s="488"/>
      <c r="AP179" s="488"/>
      <c r="AQ179" s="488"/>
      <c r="AR179" s="488"/>
      <c r="AS179" s="488"/>
      <c r="AT179" s="488"/>
      <c r="AU179" s="488"/>
      <c r="AV179" s="488"/>
      <c r="AW179" s="488"/>
      <c r="AX179" s="488"/>
      <c r="AY179" s="488"/>
      <c r="AZ179" s="488"/>
      <c r="BA179" s="488"/>
      <c r="BB179" s="488"/>
      <c r="BC179" s="488"/>
      <c r="BD179" s="488"/>
    </row>
    <row r="180" spans="3:56">
      <c r="C180" s="488"/>
      <c r="D180" s="488"/>
      <c r="E180" s="488"/>
      <c r="F180" s="488"/>
      <c r="G180" s="488"/>
      <c r="H180" s="488"/>
      <c r="I180" s="488"/>
      <c r="J180" s="488"/>
      <c r="K180" s="488"/>
      <c r="L180" s="488"/>
      <c r="M180" s="488"/>
      <c r="N180" s="488"/>
      <c r="O180" s="488"/>
      <c r="P180" s="488"/>
      <c r="Q180" s="488"/>
      <c r="R180" s="488"/>
      <c r="S180" s="488"/>
      <c r="T180" s="488"/>
      <c r="U180" s="488"/>
      <c r="V180" s="488"/>
      <c r="W180" s="488"/>
      <c r="X180" s="488"/>
      <c r="Y180" s="488"/>
      <c r="Z180" s="488"/>
      <c r="AA180" s="488"/>
      <c r="AB180" s="488"/>
      <c r="AC180" s="488"/>
      <c r="AD180" s="488"/>
      <c r="AE180" s="488"/>
      <c r="AF180" s="488"/>
      <c r="AG180" s="488"/>
      <c r="AH180" s="488"/>
      <c r="AI180" s="488"/>
      <c r="AJ180" s="488"/>
      <c r="AK180" s="488"/>
      <c r="AL180" s="488"/>
      <c r="AM180" s="488"/>
      <c r="AN180" s="488"/>
      <c r="AO180" s="488"/>
      <c r="AP180" s="488"/>
      <c r="AQ180" s="488"/>
      <c r="AR180" s="488"/>
      <c r="AS180" s="488"/>
      <c r="AT180" s="488"/>
      <c r="AU180" s="488"/>
      <c r="AV180" s="488"/>
      <c r="AW180" s="488"/>
      <c r="AX180" s="488"/>
      <c r="AY180" s="488"/>
      <c r="AZ180" s="488"/>
      <c r="BA180" s="488"/>
      <c r="BB180" s="488"/>
      <c r="BC180" s="488"/>
      <c r="BD180" s="488"/>
    </row>
    <row r="181" spans="3:56">
      <c r="C181" s="488"/>
      <c r="D181" s="488"/>
      <c r="E181" s="488"/>
      <c r="F181" s="488"/>
      <c r="G181" s="488"/>
      <c r="H181" s="488"/>
      <c r="I181" s="488"/>
      <c r="J181" s="488"/>
      <c r="K181" s="488"/>
      <c r="L181" s="488"/>
      <c r="M181" s="488"/>
      <c r="N181" s="488"/>
      <c r="O181" s="488"/>
      <c r="P181" s="488"/>
      <c r="Q181" s="488"/>
      <c r="R181" s="488"/>
      <c r="S181" s="488"/>
      <c r="T181" s="488"/>
      <c r="U181" s="488"/>
      <c r="V181" s="488"/>
      <c r="W181" s="488"/>
      <c r="X181" s="488"/>
      <c r="Y181" s="488"/>
      <c r="Z181" s="488"/>
      <c r="AA181" s="488"/>
      <c r="AB181" s="488"/>
      <c r="AC181" s="488"/>
      <c r="AD181" s="488"/>
      <c r="AE181" s="488"/>
      <c r="AF181" s="488"/>
      <c r="AG181" s="488"/>
      <c r="AH181" s="488"/>
      <c r="AI181" s="488"/>
      <c r="AJ181" s="488"/>
      <c r="AK181" s="488"/>
      <c r="AL181" s="488"/>
      <c r="AM181" s="488"/>
      <c r="AN181" s="488"/>
      <c r="AO181" s="488"/>
      <c r="AP181" s="488"/>
      <c r="AQ181" s="488"/>
      <c r="AR181" s="488"/>
      <c r="AS181" s="488"/>
      <c r="AT181" s="488"/>
      <c r="AU181" s="488"/>
      <c r="AV181" s="488"/>
      <c r="AW181" s="488"/>
      <c r="AX181" s="488"/>
      <c r="AY181" s="488"/>
      <c r="AZ181" s="488"/>
      <c r="BA181" s="488"/>
      <c r="BB181" s="488"/>
      <c r="BC181" s="488"/>
      <c r="BD181" s="488"/>
    </row>
    <row r="182" spans="3:56">
      <c r="C182" s="488"/>
      <c r="D182" s="488"/>
      <c r="E182" s="488"/>
      <c r="F182" s="488"/>
      <c r="G182" s="488"/>
      <c r="H182" s="488"/>
      <c r="I182" s="488"/>
      <c r="J182" s="488"/>
      <c r="K182" s="488"/>
      <c r="L182" s="488"/>
      <c r="M182" s="488"/>
      <c r="N182" s="488"/>
      <c r="O182" s="488"/>
      <c r="P182" s="488"/>
      <c r="Q182" s="488"/>
      <c r="R182" s="488"/>
      <c r="S182" s="488"/>
      <c r="T182" s="488"/>
      <c r="U182" s="488"/>
      <c r="V182" s="488"/>
      <c r="W182" s="488"/>
      <c r="X182" s="488"/>
      <c r="Y182" s="488"/>
      <c r="Z182" s="488"/>
      <c r="AA182" s="488"/>
      <c r="AB182" s="488"/>
      <c r="AC182" s="488"/>
      <c r="AD182" s="488"/>
      <c r="AE182" s="488"/>
      <c r="AF182" s="488"/>
      <c r="AG182" s="488"/>
      <c r="AH182" s="488"/>
      <c r="AI182" s="488"/>
      <c r="AJ182" s="488"/>
      <c r="AK182" s="488"/>
      <c r="AL182" s="488"/>
      <c r="AM182" s="488"/>
      <c r="AN182" s="488"/>
      <c r="AO182" s="488"/>
      <c r="AP182" s="488"/>
      <c r="AQ182" s="488"/>
      <c r="AR182" s="488"/>
      <c r="AS182" s="488"/>
      <c r="AT182" s="488"/>
      <c r="AU182" s="488"/>
      <c r="AV182" s="488"/>
      <c r="AW182" s="488"/>
      <c r="AX182" s="488"/>
      <c r="AY182" s="488"/>
      <c r="AZ182" s="488"/>
      <c r="BA182" s="488"/>
      <c r="BB182" s="488"/>
      <c r="BC182" s="488"/>
      <c r="BD182" s="488"/>
    </row>
    <row r="183" spans="3:56">
      <c r="C183" s="488"/>
      <c r="D183" s="488"/>
      <c r="E183" s="488"/>
      <c r="F183" s="488"/>
      <c r="G183" s="488"/>
      <c r="H183" s="488"/>
      <c r="I183" s="488"/>
      <c r="J183" s="488"/>
      <c r="K183" s="488"/>
      <c r="L183" s="488"/>
      <c r="M183" s="488"/>
      <c r="N183" s="488"/>
      <c r="O183" s="488"/>
      <c r="P183" s="488"/>
      <c r="Q183" s="488"/>
      <c r="R183" s="488"/>
      <c r="S183" s="488"/>
      <c r="T183" s="488"/>
      <c r="U183" s="488"/>
      <c r="V183" s="488"/>
      <c r="W183" s="488"/>
      <c r="X183" s="488"/>
      <c r="Y183" s="488"/>
      <c r="Z183" s="488"/>
      <c r="AA183" s="488"/>
      <c r="AB183" s="488"/>
      <c r="AC183" s="488"/>
      <c r="AD183" s="488"/>
      <c r="AE183" s="488"/>
      <c r="AF183" s="488"/>
      <c r="AG183" s="488"/>
      <c r="AH183" s="488"/>
      <c r="AI183" s="488"/>
      <c r="AJ183" s="488"/>
      <c r="AK183" s="488"/>
      <c r="AL183" s="488"/>
      <c r="AM183" s="488"/>
      <c r="AN183" s="488"/>
      <c r="AO183" s="488"/>
      <c r="AP183" s="488"/>
      <c r="AQ183" s="488"/>
      <c r="AR183" s="488"/>
      <c r="AS183" s="488"/>
      <c r="AT183" s="488"/>
      <c r="AU183" s="488"/>
      <c r="AV183" s="488"/>
      <c r="AW183" s="488"/>
      <c r="AX183" s="488"/>
      <c r="AY183" s="488"/>
      <c r="AZ183" s="488"/>
      <c r="BA183" s="488"/>
      <c r="BB183" s="488"/>
      <c r="BC183" s="488"/>
      <c r="BD183" s="488"/>
    </row>
    <row r="184" spans="3:56">
      <c r="C184" s="488"/>
      <c r="D184" s="488"/>
      <c r="E184" s="488"/>
      <c r="F184" s="488"/>
      <c r="G184" s="488"/>
      <c r="H184" s="488"/>
      <c r="I184" s="488"/>
      <c r="J184" s="488"/>
      <c r="K184" s="488"/>
      <c r="L184" s="488"/>
      <c r="M184" s="488"/>
      <c r="N184" s="488"/>
      <c r="O184" s="488"/>
      <c r="P184" s="488"/>
      <c r="Q184" s="488"/>
      <c r="R184" s="488"/>
      <c r="S184" s="488"/>
      <c r="T184" s="488"/>
      <c r="U184" s="488"/>
      <c r="V184" s="488"/>
      <c r="W184" s="488"/>
      <c r="X184" s="488"/>
      <c r="Y184" s="488"/>
      <c r="Z184" s="488"/>
      <c r="AA184" s="488"/>
      <c r="AB184" s="488"/>
      <c r="AC184" s="488"/>
      <c r="AD184" s="488"/>
      <c r="AE184" s="488"/>
      <c r="AF184" s="488"/>
      <c r="AG184" s="488"/>
      <c r="AH184" s="488"/>
      <c r="AI184" s="488"/>
      <c r="AJ184" s="488"/>
      <c r="AK184" s="488"/>
      <c r="AL184" s="488"/>
      <c r="AM184" s="488"/>
      <c r="AN184" s="488"/>
      <c r="AO184" s="488"/>
      <c r="AP184" s="488"/>
      <c r="AQ184" s="488"/>
      <c r="AR184" s="488"/>
      <c r="AS184" s="488"/>
      <c r="AT184" s="488"/>
      <c r="AU184" s="488"/>
      <c r="AV184" s="488"/>
      <c r="AW184" s="488"/>
      <c r="AX184" s="488"/>
      <c r="AY184" s="488"/>
      <c r="AZ184" s="488"/>
      <c r="BA184" s="488"/>
      <c r="BB184" s="488"/>
      <c r="BC184" s="488"/>
      <c r="BD184" s="488"/>
    </row>
    <row r="185" spans="3:56">
      <c r="C185" s="488"/>
      <c r="D185" s="488"/>
      <c r="E185" s="488"/>
      <c r="F185" s="488"/>
      <c r="G185" s="488"/>
      <c r="H185" s="488"/>
      <c r="I185" s="488"/>
      <c r="J185" s="488"/>
      <c r="K185" s="488"/>
      <c r="L185" s="488"/>
      <c r="M185" s="488"/>
      <c r="N185" s="488"/>
      <c r="O185" s="488"/>
      <c r="P185" s="488"/>
      <c r="Q185" s="488"/>
      <c r="R185" s="488"/>
      <c r="S185" s="488"/>
      <c r="T185" s="488"/>
      <c r="U185" s="488"/>
      <c r="V185" s="488"/>
      <c r="W185" s="488"/>
      <c r="X185" s="488"/>
      <c r="Y185" s="488"/>
      <c r="Z185" s="488"/>
      <c r="AA185" s="488"/>
      <c r="AB185" s="488"/>
      <c r="AC185" s="488"/>
      <c r="AD185" s="488"/>
      <c r="AE185" s="488"/>
      <c r="AF185" s="488"/>
      <c r="AG185" s="488"/>
      <c r="AH185" s="488"/>
      <c r="AI185" s="488"/>
      <c r="AJ185" s="488"/>
      <c r="AK185" s="488"/>
      <c r="AL185" s="488"/>
      <c r="AM185" s="488"/>
      <c r="AN185" s="488"/>
      <c r="AO185" s="488"/>
      <c r="AP185" s="488"/>
      <c r="AQ185" s="488"/>
      <c r="AR185" s="488"/>
      <c r="AS185" s="488"/>
      <c r="AT185" s="488"/>
      <c r="AU185" s="488"/>
      <c r="AV185" s="488"/>
      <c r="AW185" s="488"/>
      <c r="AX185" s="488"/>
      <c r="AY185" s="488"/>
      <c r="AZ185" s="488"/>
      <c r="BA185" s="488"/>
      <c r="BB185" s="488"/>
      <c r="BC185" s="488"/>
      <c r="BD185" s="488"/>
    </row>
    <row r="186" spans="3:56">
      <c r="C186" s="488"/>
      <c r="D186" s="488"/>
      <c r="E186" s="488"/>
      <c r="F186" s="488"/>
      <c r="G186" s="488"/>
      <c r="H186" s="488"/>
      <c r="I186" s="488"/>
      <c r="J186" s="488"/>
      <c r="K186" s="488"/>
      <c r="L186" s="488"/>
      <c r="M186" s="488"/>
      <c r="N186" s="488"/>
      <c r="O186" s="488"/>
      <c r="P186" s="488"/>
      <c r="Q186" s="488"/>
      <c r="R186" s="488"/>
      <c r="S186" s="488"/>
      <c r="T186" s="488"/>
      <c r="U186" s="488"/>
      <c r="V186" s="488"/>
      <c r="W186" s="488"/>
      <c r="X186" s="488"/>
      <c r="Y186" s="488"/>
      <c r="Z186" s="488"/>
      <c r="AA186" s="488"/>
      <c r="AB186" s="488"/>
      <c r="AC186" s="488"/>
      <c r="AD186" s="488"/>
      <c r="AE186" s="488"/>
      <c r="AF186" s="488"/>
      <c r="AG186" s="488"/>
      <c r="AH186" s="488"/>
      <c r="AI186" s="488"/>
      <c r="AJ186" s="488"/>
      <c r="AK186" s="488"/>
      <c r="AL186" s="488"/>
      <c r="AM186" s="488"/>
      <c r="AN186" s="488"/>
      <c r="AO186" s="488"/>
      <c r="AP186" s="488"/>
      <c r="AQ186" s="488"/>
      <c r="AR186" s="488"/>
      <c r="AS186" s="488"/>
      <c r="AT186" s="488"/>
      <c r="AU186" s="488"/>
      <c r="AV186" s="488"/>
      <c r="AW186" s="488"/>
      <c r="AX186" s="488"/>
      <c r="AY186" s="488"/>
      <c r="AZ186" s="488"/>
      <c r="BA186" s="488"/>
      <c r="BB186" s="488"/>
      <c r="BC186" s="488"/>
      <c r="BD186" s="488"/>
    </row>
    <row r="187" spans="3:56">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8"/>
      <c r="Z187" s="488"/>
      <c r="AA187" s="488"/>
      <c r="AB187" s="488"/>
      <c r="AC187" s="488"/>
      <c r="AD187" s="488"/>
      <c r="AE187" s="488"/>
      <c r="AF187" s="488"/>
      <c r="AG187" s="488"/>
      <c r="AH187" s="488"/>
      <c r="AI187" s="488"/>
      <c r="AJ187" s="488"/>
      <c r="AK187" s="488"/>
      <c r="AL187" s="488"/>
      <c r="AM187" s="488"/>
      <c r="AN187" s="488"/>
      <c r="AO187" s="488"/>
      <c r="AP187" s="488"/>
      <c r="AQ187" s="488"/>
      <c r="AR187" s="488"/>
      <c r="AS187" s="488"/>
      <c r="AT187" s="488"/>
      <c r="AU187" s="488"/>
      <c r="AV187" s="488"/>
      <c r="AW187" s="488"/>
      <c r="AX187" s="488"/>
      <c r="AY187" s="488"/>
      <c r="AZ187" s="488"/>
      <c r="BA187" s="488"/>
      <c r="BB187" s="488"/>
      <c r="BC187" s="488"/>
      <c r="BD187" s="488"/>
    </row>
    <row r="188" spans="3:56">
      <c r="C188" s="488"/>
      <c r="D188" s="488"/>
      <c r="E188" s="488"/>
      <c r="F188" s="488"/>
      <c r="G188" s="488"/>
      <c r="H188" s="488"/>
      <c r="I188" s="488"/>
      <c r="J188" s="488"/>
      <c r="K188" s="488"/>
      <c r="L188" s="488"/>
      <c r="M188" s="488"/>
      <c r="N188" s="488"/>
      <c r="O188" s="488"/>
      <c r="P188" s="488"/>
      <c r="Q188" s="488"/>
      <c r="R188" s="488"/>
      <c r="S188" s="488"/>
      <c r="T188" s="488"/>
      <c r="U188" s="488"/>
      <c r="V188" s="488"/>
      <c r="W188" s="488"/>
      <c r="X188" s="488"/>
      <c r="Y188" s="488"/>
      <c r="Z188" s="488"/>
      <c r="AA188" s="488"/>
      <c r="AB188" s="488"/>
      <c r="AC188" s="488"/>
      <c r="AD188" s="488"/>
      <c r="AE188" s="488"/>
      <c r="AF188" s="488"/>
      <c r="AG188" s="488"/>
      <c r="AH188" s="488"/>
      <c r="AI188" s="488"/>
      <c r="AJ188" s="488"/>
      <c r="AK188" s="488"/>
      <c r="AL188" s="488"/>
      <c r="AM188" s="488"/>
      <c r="AN188" s="488"/>
      <c r="AO188" s="488"/>
      <c r="AP188" s="488"/>
      <c r="AQ188" s="488"/>
      <c r="AR188" s="488"/>
      <c r="AS188" s="488"/>
      <c r="AT188" s="488"/>
      <c r="AU188" s="488"/>
      <c r="AV188" s="488"/>
      <c r="AW188" s="488"/>
      <c r="AX188" s="488"/>
      <c r="AY188" s="488"/>
      <c r="AZ188" s="488"/>
      <c r="BA188" s="488"/>
      <c r="BB188" s="488"/>
      <c r="BC188" s="488"/>
      <c r="BD188" s="488"/>
    </row>
    <row r="189" spans="3:56">
      <c r="C189" s="488"/>
      <c r="D189" s="488"/>
      <c r="E189" s="488"/>
      <c r="F189" s="488"/>
      <c r="G189" s="488"/>
      <c r="H189" s="488"/>
      <c r="I189" s="488"/>
      <c r="J189" s="488"/>
      <c r="K189" s="488"/>
      <c r="L189" s="488"/>
      <c r="M189" s="488"/>
      <c r="N189" s="488"/>
      <c r="O189" s="488"/>
      <c r="P189" s="488"/>
      <c r="Q189" s="488"/>
      <c r="R189" s="488"/>
      <c r="S189" s="488"/>
      <c r="T189" s="488"/>
      <c r="U189" s="488"/>
      <c r="V189" s="488"/>
      <c r="W189" s="488"/>
      <c r="X189" s="488"/>
      <c r="Y189" s="488"/>
      <c r="Z189" s="488"/>
      <c r="AA189" s="488"/>
      <c r="AB189" s="488"/>
      <c r="AC189" s="488"/>
      <c r="AD189" s="488"/>
      <c r="AE189" s="488"/>
      <c r="AF189" s="488"/>
      <c r="AG189" s="488"/>
      <c r="AH189" s="488"/>
      <c r="AI189" s="488"/>
      <c r="AJ189" s="488"/>
      <c r="AK189" s="488"/>
      <c r="AL189" s="488"/>
      <c r="AM189" s="488"/>
      <c r="AN189" s="488"/>
      <c r="AO189" s="488"/>
      <c r="AP189" s="488"/>
      <c r="AQ189" s="488"/>
      <c r="AR189" s="488"/>
      <c r="AS189" s="488"/>
      <c r="AT189" s="488"/>
      <c r="AU189" s="488"/>
      <c r="AV189" s="488"/>
      <c r="AW189" s="488"/>
      <c r="AX189" s="488"/>
      <c r="AY189" s="488"/>
      <c r="AZ189" s="488"/>
      <c r="BA189" s="488"/>
      <c r="BB189" s="488"/>
      <c r="BC189" s="488"/>
      <c r="BD189" s="488"/>
    </row>
    <row r="190" spans="3:56">
      <c r="C190" s="488"/>
      <c r="D190" s="488"/>
      <c r="E190" s="488"/>
      <c r="F190" s="488"/>
      <c r="G190" s="488"/>
      <c r="H190" s="488"/>
      <c r="I190" s="488"/>
      <c r="J190" s="488"/>
      <c r="K190" s="488"/>
      <c r="L190" s="488"/>
      <c r="M190" s="488"/>
      <c r="N190" s="488"/>
      <c r="O190" s="488"/>
      <c r="P190" s="488"/>
      <c r="Q190" s="488"/>
      <c r="R190" s="488"/>
      <c r="S190" s="488"/>
      <c r="T190" s="488"/>
      <c r="U190" s="488"/>
      <c r="V190" s="488"/>
      <c r="W190" s="488"/>
      <c r="X190" s="488"/>
      <c r="Y190" s="488"/>
      <c r="Z190" s="488"/>
      <c r="AA190" s="488"/>
      <c r="AB190" s="488"/>
      <c r="AC190" s="488"/>
      <c r="AD190" s="488"/>
      <c r="AE190" s="488"/>
      <c r="AF190" s="488"/>
      <c r="AG190" s="488"/>
      <c r="AH190" s="488"/>
      <c r="AI190" s="488"/>
      <c r="AJ190" s="488"/>
      <c r="AK190" s="488"/>
      <c r="AL190" s="488"/>
      <c r="AM190" s="488"/>
      <c r="AN190" s="488"/>
      <c r="AO190" s="488"/>
      <c r="AP190" s="488"/>
      <c r="AQ190" s="488"/>
      <c r="AR190" s="488"/>
      <c r="AS190" s="488"/>
      <c r="AT190" s="488"/>
      <c r="AU190" s="488"/>
      <c r="AV190" s="488"/>
      <c r="AW190" s="488"/>
      <c r="AX190" s="488"/>
      <c r="AY190" s="488"/>
      <c r="AZ190" s="488"/>
      <c r="BA190" s="488"/>
      <c r="BB190" s="488"/>
      <c r="BC190" s="488"/>
      <c r="BD190" s="488"/>
    </row>
    <row r="191" spans="3:56">
      <c r="C191" s="488"/>
      <c r="D191" s="488"/>
      <c r="E191" s="488"/>
      <c r="F191" s="488"/>
      <c r="G191" s="488"/>
      <c r="H191" s="488"/>
      <c r="I191" s="488"/>
      <c r="J191" s="488"/>
      <c r="K191" s="488"/>
      <c r="L191" s="488"/>
      <c r="M191" s="488"/>
      <c r="N191" s="488"/>
      <c r="O191" s="488"/>
      <c r="P191" s="488"/>
      <c r="Q191" s="488"/>
      <c r="R191" s="488"/>
      <c r="S191" s="488"/>
      <c r="T191" s="488"/>
      <c r="U191" s="488"/>
      <c r="V191" s="488"/>
      <c r="W191" s="488"/>
      <c r="X191" s="488"/>
      <c r="Y191" s="488"/>
      <c r="Z191" s="488"/>
      <c r="AA191" s="488"/>
      <c r="AB191" s="488"/>
      <c r="AC191" s="488"/>
      <c r="AD191" s="488"/>
      <c r="AE191" s="488"/>
      <c r="AF191" s="488"/>
      <c r="AG191" s="488"/>
      <c r="AH191" s="488"/>
      <c r="AI191" s="488"/>
      <c r="AJ191" s="488"/>
      <c r="AK191" s="488"/>
      <c r="AL191" s="488"/>
      <c r="AM191" s="488"/>
      <c r="AN191" s="488"/>
      <c r="AO191" s="488"/>
      <c r="AP191" s="488"/>
      <c r="AQ191" s="488"/>
      <c r="AR191" s="488"/>
      <c r="AS191" s="488"/>
      <c r="AT191" s="488"/>
      <c r="AU191" s="488"/>
      <c r="AV191" s="488"/>
      <c r="AW191" s="488"/>
      <c r="AX191" s="488"/>
      <c r="AY191" s="488"/>
      <c r="AZ191" s="488"/>
      <c r="BA191" s="488"/>
      <c r="BB191" s="488"/>
      <c r="BC191" s="488"/>
      <c r="BD191" s="488"/>
    </row>
    <row r="192" spans="3:56">
      <c r="C192" s="488"/>
      <c r="D192" s="488"/>
      <c r="E192" s="488"/>
      <c r="F192" s="488"/>
      <c r="G192" s="488"/>
      <c r="H192" s="488"/>
      <c r="I192" s="488"/>
      <c r="J192" s="488"/>
      <c r="K192" s="488"/>
      <c r="L192" s="488"/>
      <c r="M192" s="488"/>
      <c r="N192" s="488"/>
      <c r="O192" s="488"/>
      <c r="P192" s="488"/>
      <c r="Q192" s="488"/>
      <c r="R192" s="488"/>
      <c r="S192" s="488"/>
      <c r="T192" s="488"/>
      <c r="U192" s="488"/>
      <c r="V192" s="488"/>
      <c r="W192" s="488"/>
      <c r="X192" s="488"/>
      <c r="Y192" s="488"/>
      <c r="Z192" s="488"/>
      <c r="AA192" s="488"/>
      <c r="AB192" s="488"/>
      <c r="AC192" s="488"/>
      <c r="AD192" s="488"/>
      <c r="AE192" s="488"/>
      <c r="AF192" s="488"/>
      <c r="AG192" s="488"/>
      <c r="AH192" s="488"/>
      <c r="AI192" s="488"/>
      <c r="AJ192" s="488"/>
      <c r="AK192" s="488"/>
      <c r="AL192" s="488"/>
      <c r="AM192" s="488"/>
      <c r="AN192" s="488"/>
      <c r="AO192" s="488"/>
      <c r="AP192" s="488"/>
      <c r="AQ192" s="488"/>
      <c r="AR192" s="488"/>
      <c r="AS192" s="488"/>
      <c r="AT192" s="488"/>
      <c r="AU192" s="488"/>
      <c r="AV192" s="488"/>
      <c r="AW192" s="488"/>
      <c r="AX192" s="488"/>
      <c r="AY192" s="488"/>
      <c r="AZ192" s="488"/>
      <c r="BA192" s="488"/>
      <c r="BB192" s="488"/>
      <c r="BC192" s="488"/>
      <c r="BD192" s="488"/>
    </row>
    <row r="193" spans="3:56">
      <c r="C193" s="488"/>
      <c r="D193" s="488"/>
      <c r="E193" s="488"/>
      <c r="F193" s="488"/>
      <c r="G193" s="488"/>
      <c r="H193" s="488"/>
      <c r="I193" s="488"/>
      <c r="J193" s="488"/>
      <c r="K193" s="488"/>
      <c r="L193" s="488"/>
      <c r="M193" s="488"/>
      <c r="N193" s="488"/>
      <c r="O193" s="488"/>
      <c r="P193" s="488"/>
      <c r="Q193" s="488"/>
      <c r="R193" s="488"/>
      <c r="S193" s="488"/>
      <c r="T193" s="488"/>
      <c r="U193" s="488"/>
      <c r="V193" s="488"/>
      <c r="W193" s="488"/>
      <c r="X193" s="488"/>
      <c r="Y193" s="488"/>
      <c r="Z193" s="488"/>
      <c r="AA193" s="488"/>
      <c r="AB193" s="488"/>
      <c r="AC193" s="488"/>
      <c r="AD193" s="488"/>
      <c r="AE193" s="488"/>
      <c r="AF193" s="488"/>
      <c r="AG193" s="488"/>
      <c r="AH193" s="488"/>
      <c r="AI193" s="488"/>
      <c r="AJ193" s="488"/>
      <c r="AK193" s="488"/>
      <c r="AL193" s="488"/>
      <c r="AM193" s="488"/>
      <c r="AN193" s="488"/>
      <c r="AO193" s="488"/>
      <c r="AP193" s="488"/>
      <c r="AQ193" s="488"/>
      <c r="AR193" s="488"/>
      <c r="AS193" s="488"/>
      <c r="AT193" s="488"/>
      <c r="AU193" s="488"/>
      <c r="AV193" s="488"/>
      <c r="AW193" s="488"/>
      <c r="AX193" s="488"/>
      <c r="AY193" s="488"/>
      <c r="AZ193" s="488"/>
      <c r="BA193" s="488"/>
      <c r="BB193" s="488"/>
      <c r="BC193" s="488"/>
      <c r="BD193" s="488"/>
    </row>
    <row r="194" spans="3:56">
      <c r="C194" s="488"/>
      <c r="D194" s="488"/>
      <c r="E194" s="488"/>
      <c r="F194" s="488"/>
      <c r="G194" s="488"/>
      <c r="H194" s="488"/>
      <c r="I194" s="488"/>
      <c r="J194" s="488"/>
      <c r="K194" s="488"/>
      <c r="L194" s="488"/>
      <c r="M194" s="488"/>
      <c r="N194" s="488"/>
      <c r="O194" s="488"/>
      <c r="P194" s="488"/>
      <c r="Q194" s="488"/>
      <c r="R194" s="488"/>
      <c r="S194" s="488"/>
      <c r="T194" s="488"/>
      <c r="U194" s="488"/>
      <c r="V194" s="488"/>
      <c r="W194" s="488"/>
      <c r="X194" s="488"/>
      <c r="Y194" s="488"/>
      <c r="Z194" s="488"/>
      <c r="AA194" s="488"/>
      <c r="AB194" s="488"/>
      <c r="AC194" s="488"/>
      <c r="AD194" s="488"/>
      <c r="AE194" s="488"/>
      <c r="AF194" s="488"/>
      <c r="AG194" s="488"/>
      <c r="AH194" s="488"/>
      <c r="AI194" s="488"/>
      <c r="AJ194" s="488"/>
      <c r="AK194" s="488"/>
      <c r="AL194" s="488"/>
      <c r="AM194" s="488"/>
      <c r="AN194" s="488"/>
      <c r="AO194" s="488"/>
      <c r="AP194" s="488"/>
      <c r="AQ194" s="488"/>
      <c r="AR194" s="488"/>
      <c r="AS194" s="488"/>
      <c r="AT194" s="488"/>
      <c r="AU194" s="488"/>
      <c r="AV194" s="488"/>
      <c r="AW194" s="488"/>
      <c r="AX194" s="488"/>
      <c r="AY194" s="488"/>
      <c r="AZ194" s="488"/>
      <c r="BA194" s="488"/>
      <c r="BB194" s="488"/>
      <c r="BC194" s="488"/>
      <c r="BD194" s="488"/>
    </row>
    <row r="195" spans="3:56">
      <c r="C195" s="488"/>
      <c r="D195" s="488"/>
      <c r="E195" s="488"/>
      <c r="F195" s="488"/>
      <c r="G195" s="488"/>
      <c r="H195" s="488"/>
      <c r="I195" s="488"/>
      <c r="J195" s="488"/>
      <c r="K195" s="488"/>
      <c r="L195" s="488"/>
      <c r="M195" s="488"/>
      <c r="N195" s="488"/>
      <c r="O195" s="488"/>
      <c r="P195" s="488"/>
      <c r="Q195" s="488"/>
      <c r="R195" s="488"/>
      <c r="S195" s="488"/>
      <c r="T195" s="488"/>
      <c r="U195" s="488"/>
      <c r="V195" s="488"/>
      <c r="W195" s="488"/>
      <c r="X195" s="488"/>
      <c r="Y195" s="488"/>
      <c r="Z195" s="488"/>
      <c r="AA195" s="488"/>
      <c r="AB195" s="488"/>
      <c r="AC195" s="488"/>
      <c r="AD195" s="488"/>
      <c r="AE195" s="488"/>
      <c r="AF195" s="488"/>
      <c r="AG195" s="488"/>
      <c r="AH195" s="488"/>
      <c r="AI195" s="488"/>
      <c r="AJ195" s="488"/>
      <c r="AK195" s="488"/>
      <c r="AL195" s="488"/>
      <c r="AM195" s="488"/>
      <c r="AN195" s="488"/>
      <c r="AO195" s="488"/>
      <c r="AP195" s="488"/>
      <c r="AQ195" s="488"/>
      <c r="AR195" s="488"/>
      <c r="AS195" s="488"/>
      <c r="AT195" s="488"/>
      <c r="AU195" s="488"/>
      <c r="AV195" s="488"/>
      <c r="AW195" s="488"/>
      <c r="AX195" s="488"/>
      <c r="AY195" s="488"/>
      <c r="AZ195" s="488"/>
      <c r="BA195" s="488"/>
      <c r="BB195" s="488"/>
      <c r="BC195" s="488"/>
      <c r="BD195" s="488"/>
    </row>
    <row r="196" spans="3:56">
      <c r="C196" s="488"/>
      <c r="D196" s="488"/>
      <c r="E196" s="488"/>
      <c r="F196" s="488"/>
      <c r="G196" s="488"/>
      <c r="H196" s="488"/>
      <c r="I196" s="488"/>
      <c r="J196" s="488"/>
      <c r="K196" s="488"/>
      <c r="L196" s="488"/>
      <c r="M196" s="488"/>
      <c r="N196" s="488"/>
      <c r="O196" s="488"/>
      <c r="P196" s="488"/>
      <c r="Q196" s="488"/>
      <c r="R196" s="488"/>
      <c r="S196" s="488"/>
      <c r="T196" s="488"/>
      <c r="U196" s="488"/>
      <c r="V196" s="488"/>
      <c r="W196" s="488"/>
      <c r="X196" s="488"/>
      <c r="Y196" s="488"/>
      <c r="Z196" s="488"/>
      <c r="AA196" s="488"/>
      <c r="AB196" s="488"/>
      <c r="AC196" s="488"/>
      <c r="AD196" s="488"/>
      <c r="AE196" s="488"/>
      <c r="AF196" s="488"/>
      <c r="AG196" s="488"/>
      <c r="AH196" s="488"/>
      <c r="AI196" s="488"/>
      <c r="AJ196" s="488"/>
      <c r="AK196" s="488"/>
      <c r="AL196" s="488"/>
      <c r="AM196" s="488"/>
      <c r="AN196" s="488"/>
      <c r="AO196" s="488"/>
      <c r="AP196" s="488"/>
      <c r="AQ196" s="488"/>
      <c r="AR196" s="488"/>
      <c r="AS196" s="488"/>
      <c r="AT196" s="488"/>
      <c r="AU196" s="488"/>
      <c r="AV196" s="488"/>
      <c r="AW196" s="488"/>
      <c r="AX196" s="488"/>
      <c r="AY196" s="488"/>
      <c r="AZ196" s="488"/>
      <c r="BA196" s="488"/>
      <c r="BB196" s="488"/>
      <c r="BC196" s="488"/>
      <c r="BD196" s="488"/>
    </row>
    <row r="197" spans="3:56">
      <c r="C197" s="488"/>
      <c r="D197" s="488"/>
      <c r="E197" s="488"/>
      <c r="F197" s="488"/>
      <c r="G197" s="488"/>
      <c r="H197" s="488"/>
      <c r="I197" s="488"/>
      <c r="J197" s="488"/>
      <c r="K197" s="488"/>
      <c r="L197" s="488"/>
      <c r="M197" s="488"/>
      <c r="N197" s="488"/>
      <c r="O197" s="488"/>
      <c r="P197" s="488"/>
      <c r="Q197" s="488"/>
      <c r="R197" s="488"/>
      <c r="S197" s="488"/>
      <c r="T197" s="488"/>
      <c r="U197" s="488"/>
      <c r="V197" s="488"/>
      <c r="W197" s="488"/>
      <c r="X197" s="488"/>
      <c r="Y197" s="488"/>
      <c r="Z197" s="488"/>
      <c r="AA197" s="488"/>
      <c r="AB197" s="488"/>
      <c r="AC197" s="488"/>
      <c r="AD197" s="488"/>
      <c r="AE197" s="488"/>
      <c r="AF197" s="488"/>
      <c r="AG197" s="488"/>
      <c r="AH197" s="488"/>
      <c r="AI197" s="488"/>
      <c r="AJ197" s="488"/>
      <c r="AK197" s="488"/>
      <c r="AL197" s="488"/>
      <c r="AM197" s="488"/>
      <c r="AN197" s="488"/>
      <c r="AO197" s="488"/>
      <c r="AP197" s="488"/>
      <c r="AQ197" s="488"/>
      <c r="AR197" s="488"/>
      <c r="AS197" s="488"/>
      <c r="AT197" s="488"/>
      <c r="AU197" s="488"/>
      <c r="AV197" s="488"/>
      <c r="AW197" s="488"/>
      <c r="AX197" s="488"/>
      <c r="AY197" s="488"/>
      <c r="AZ197" s="488"/>
      <c r="BA197" s="488"/>
      <c r="BB197" s="488"/>
      <c r="BC197" s="488"/>
      <c r="BD197" s="488"/>
    </row>
    <row r="198" spans="3:56">
      <c r="C198" s="488"/>
      <c r="D198" s="488"/>
      <c r="E198" s="488"/>
      <c r="F198" s="488"/>
      <c r="G198" s="488"/>
      <c r="H198" s="488"/>
      <c r="I198" s="488"/>
      <c r="J198" s="488"/>
      <c r="K198" s="488"/>
      <c r="L198" s="488"/>
      <c r="M198" s="488"/>
      <c r="N198" s="488"/>
      <c r="O198" s="488"/>
      <c r="P198" s="488"/>
      <c r="Q198" s="488"/>
      <c r="R198" s="488"/>
      <c r="S198" s="488"/>
      <c r="T198" s="488"/>
      <c r="U198" s="488"/>
      <c r="V198" s="488"/>
      <c r="W198" s="488"/>
      <c r="X198" s="488"/>
      <c r="Y198" s="488"/>
      <c r="Z198" s="488"/>
      <c r="AA198" s="488"/>
      <c r="AB198" s="488"/>
      <c r="AC198" s="488"/>
      <c r="AD198" s="488"/>
      <c r="AE198" s="488"/>
      <c r="AF198" s="488"/>
      <c r="AG198" s="488"/>
      <c r="AH198" s="488"/>
      <c r="AI198" s="488"/>
      <c r="AJ198" s="488"/>
      <c r="AK198" s="488"/>
      <c r="AL198" s="488"/>
      <c r="AM198" s="488"/>
      <c r="AN198" s="488"/>
      <c r="AO198" s="488"/>
      <c r="AP198" s="488"/>
      <c r="AQ198" s="488"/>
      <c r="AR198" s="488"/>
      <c r="AS198" s="488"/>
      <c r="AT198" s="488"/>
      <c r="AU198" s="488"/>
      <c r="AV198" s="488"/>
      <c r="AW198" s="488"/>
      <c r="AX198" s="488"/>
      <c r="AY198" s="488"/>
      <c r="AZ198" s="488"/>
      <c r="BA198" s="488"/>
      <c r="BB198" s="488"/>
      <c r="BC198" s="488"/>
      <c r="BD198" s="488"/>
    </row>
    <row r="199" spans="3:56">
      <c r="C199" s="488"/>
      <c r="D199" s="488"/>
      <c r="E199" s="488"/>
      <c r="F199" s="488"/>
      <c r="G199" s="488"/>
      <c r="H199" s="488"/>
      <c r="I199" s="488"/>
      <c r="J199" s="488"/>
      <c r="K199" s="488"/>
      <c r="L199" s="488"/>
      <c r="M199" s="488"/>
      <c r="N199" s="488"/>
      <c r="O199" s="488"/>
      <c r="P199" s="488"/>
      <c r="Q199" s="488"/>
      <c r="R199" s="488"/>
      <c r="S199" s="488"/>
      <c r="T199" s="488"/>
      <c r="U199" s="488"/>
      <c r="V199" s="488"/>
      <c r="W199" s="488"/>
      <c r="X199" s="488"/>
      <c r="Y199" s="488"/>
      <c r="Z199" s="488"/>
      <c r="AA199" s="488"/>
      <c r="AB199" s="488"/>
      <c r="AC199" s="488"/>
      <c r="AD199" s="488"/>
      <c r="AE199" s="488"/>
      <c r="AF199" s="488"/>
      <c r="AG199" s="488"/>
      <c r="AH199" s="488"/>
      <c r="AI199" s="488"/>
      <c r="AJ199" s="488"/>
      <c r="AK199" s="488"/>
      <c r="AL199" s="488"/>
      <c r="AM199" s="488"/>
      <c r="AN199" s="488"/>
      <c r="AO199" s="488"/>
      <c r="AP199" s="488"/>
      <c r="AQ199" s="488"/>
      <c r="AR199" s="488"/>
      <c r="AS199" s="488"/>
      <c r="AT199" s="488"/>
      <c r="AU199" s="488"/>
      <c r="AV199" s="488"/>
      <c r="AW199" s="488"/>
      <c r="AX199" s="488"/>
      <c r="AY199" s="488"/>
      <c r="AZ199" s="488"/>
      <c r="BA199" s="488"/>
      <c r="BB199" s="488"/>
      <c r="BC199" s="488"/>
      <c r="BD199" s="488"/>
    </row>
    <row r="200" spans="3:56">
      <c r="C200" s="488"/>
      <c r="D200" s="488"/>
      <c r="E200" s="488"/>
      <c r="F200" s="488"/>
      <c r="G200" s="488"/>
      <c r="H200" s="488"/>
      <c r="I200" s="488"/>
      <c r="J200" s="488"/>
      <c r="K200" s="488"/>
      <c r="L200" s="488"/>
      <c r="M200" s="488"/>
      <c r="N200" s="488"/>
      <c r="O200" s="488"/>
      <c r="P200" s="488"/>
      <c r="Q200" s="488"/>
      <c r="R200" s="488"/>
      <c r="S200" s="488"/>
      <c r="T200" s="488"/>
      <c r="U200" s="488"/>
      <c r="V200" s="488"/>
      <c r="W200" s="488"/>
      <c r="X200" s="488"/>
      <c r="Y200" s="488"/>
      <c r="Z200" s="488"/>
      <c r="AA200" s="488"/>
      <c r="AB200" s="488"/>
      <c r="AC200" s="488"/>
      <c r="AD200" s="488"/>
      <c r="AE200" s="488"/>
      <c r="AF200" s="488"/>
      <c r="AG200" s="488"/>
      <c r="AH200" s="488"/>
      <c r="AI200" s="488"/>
      <c r="AJ200" s="488"/>
      <c r="AK200" s="488"/>
      <c r="AL200" s="488"/>
      <c r="AM200" s="488"/>
      <c r="AN200" s="488"/>
      <c r="AO200" s="488"/>
      <c r="AP200" s="488"/>
      <c r="AQ200" s="488"/>
      <c r="AR200" s="488"/>
      <c r="AS200" s="488"/>
      <c r="AT200" s="488"/>
      <c r="AU200" s="488"/>
      <c r="AV200" s="488"/>
      <c r="AW200" s="488"/>
      <c r="AX200" s="488"/>
      <c r="AY200" s="488"/>
      <c r="AZ200" s="488"/>
      <c r="BA200" s="488"/>
      <c r="BB200" s="488"/>
      <c r="BC200" s="488"/>
      <c r="BD200" s="488"/>
    </row>
    <row r="201" spans="3:56">
      <c r="C201" s="488"/>
      <c r="D201" s="488"/>
      <c r="E201" s="488"/>
      <c r="F201" s="488"/>
      <c r="G201" s="488"/>
      <c r="H201" s="488"/>
      <c r="I201" s="488"/>
      <c r="J201" s="488"/>
      <c r="K201" s="488"/>
      <c r="L201" s="488"/>
      <c r="M201" s="488"/>
      <c r="N201" s="488"/>
      <c r="O201" s="488"/>
      <c r="P201" s="488"/>
      <c r="Q201" s="488"/>
      <c r="R201" s="488"/>
      <c r="S201" s="488"/>
      <c r="T201" s="488"/>
      <c r="U201" s="488"/>
      <c r="V201" s="488"/>
      <c r="W201" s="488"/>
      <c r="X201" s="488"/>
      <c r="Y201" s="488"/>
      <c r="Z201" s="488"/>
      <c r="AA201" s="488"/>
      <c r="AB201" s="488"/>
      <c r="AC201" s="488"/>
      <c r="AD201" s="488"/>
      <c r="AE201" s="488"/>
      <c r="AF201" s="488"/>
      <c r="AG201" s="488"/>
      <c r="AH201" s="488"/>
      <c r="AI201" s="488"/>
      <c r="AJ201" s="488"/>
      <c r="AK201" s="488"/>
      <c r="AL201" s="488"/>
      <c r="AM201" s="488"/>
      <c r="AN201" s="488"/>
      <c r="AO201" s="488"/>
      <c r="AP201" s="488"/>
      <c r="AQ201" s="488"/>
      <c r="AR201" s="488"/>
      <c r="AS201" s="488"/>
      <c r="AT201" s="488"/>
      <c r="AU201" s="488"/>
      <c r="AV201" s="488"/>
      <c r="AW201" s="488"/>
      <c r="AX201" s="488"/>
      <c r="AY201" s="488"/>
      <c r="AZ201" s="488"/>
      <c r="BA201" s="488"/>
      <c r="BB201" s="488"/>
      <c r="BC201" s="488"/>
      <c r="BD201" s="488"/>
    </row>
    <row r="202" spans="3:56">
      <c r="C202" s="488"/>
      <c r="D202" s="488"/>
      <c r="E202" s="488"/>
      <c r="F202" s="488"/>
      <c r="G202" s="488"/>
      <c r="H202" s="488"/>
      <c r="I202" s="488"/>
      <c r="J202" s="488"/>
      <c r="K202" s="488"/>
      <c r="L202" s="488"/>
      <c r="M202" s="488"/>
      <c r="N202" s="488"/>
      <c r="O202" s="488"/>
      <c r="P202" s="488"/>
      <c r="Q202" s="488"/>
      <c r="R202" s="488"/>
      <c r="S202" s="488"/>
      <c r="T202" s="488"/>
      <c r="U202" s="488"/>
      <c r="V202" s="488"/>
      <c r="W202" s="488"/>
      <c r="X202" s="488"/>
      <c r="Y202" s="488"/>
      <c r="Z202" s="488"/>
      <c r="AA202" s="488"/>
      <c r="AB202" s="488"/>
      <c r="AC202" s="488"/>
      <c r="AD202" s="488"/>
      <c r="AE202" s="488"/>
      <c r="AF202" s="488"/>
      <c r="AG202" s="488"/>
      <c r="AH202" s="488"/>
      <c r="AI202" s="488"/>
      <c r="AJ202" s="488"/>
      <c r="AK202" s="488"/>
      <c r="AL202" s="488"/>
      <c r="AM202" s="488"/>
      <c r="AN202" s="488"/>
      <c r="AO202" s="488"/>
      <c r="AP202" s="488"/>
      <c r="AQ202" s="488"/>
      <c r="AR202" s="488"/>
      <c r="AS202" s="488"/>
      <c r="AT202" s="488"/>
      <c r="AU202" s="488"/>
      <c r="AV202" s="488"/>
      <c r="AW202" s="488"/>
      <c r="AX202" s="488"/>
      <c r="AY202" s="488"/>
      <c r="AZ202" s="488"/>
      <c r="BA202" s="488"/>
      <c r="BB202" s="488"/>
      <c r="BC202" s="488"/>
      <c r="BD202" s="488"/>
    </row>
    <row r="203" spans="3:56">
      <c r="C203" s="488"/>
      <c r="D203" s="488"/>
      <c r="E203" s="488"/>
      <c r="F203" s="488"/>
      <c r="G203" s="488"/>
      <c r="H203" s="488"/>
      <c r="I203" s="488"/>
      <c r="J203" s="488"/>
      <c r="K203" s="488"/>
      <c r="L203" s="488"/>
      <c r="M203" s="488"/>
      <c r="N203" s="488"/>
      <c r="O203" s="488"/>
      <c r="P203" s="488"/>
      <c r="Q203" s="488"/>
      <c r="R203" s="488"/>
      <c r="S203" s="488"/>
      <c r="T203" s="488"/>
      <c r="U203" s="488"/>
      <c r="V203" s="488"/>
      <c r="W203" s="488"/>
      <c r="X203" s="488"/>
      <c r="Y203" s="488"/>
      <c r="Z203" s="488"/>
      <c r="AA203" s="488"/>
      <c r="AB203" s="488"/>
      <c r="AC203" s="488"/>
      <c r="AD203" s="488"/>
      <c r="AE203" s="488"/>
      <c r="AF203" s="488"/>
      <c r="AG203" s="488"/>
      <c r="AH203" s="488"/>
      <c r="AI203" s="488"/>
      <c r="AJ203" s="488"/>
      <c r="AK203" s="488"/>
      <c r="AL203" s="488"/>
      <c r="AM203" s="488"/>
      <c r="AN203" s="488"/>
      <c r="AO203" s="488"/>
      <c r="AP203" s="488"/>
      <c r="AQ203" s="488"/>
      <c r="AR203" s="488"/>
      <c r="AS203" s="488"/>
      <c r="AT203" s="488"/>
      <c r="AU203" s="488"/>
      <c r="AV203" s="488"/>
      <c r="AW203" s="488"/>
      <c r="AX203" s="488"/>
      <c r="AY203" s="488"/>
      <c r="AZ203" s="488"/>
      <c r="BA203" s="488"/>
      <c r="BB203" s="488"/>
      <c r="BC203" s="488"/>
      <c r="BD203" s="488"/>
    </row>
    <row r="204" spans="3:56">
      <c r="C204" s="488"/>
      <c r="D204" s="488"/>
      <c r="E204" s="488"/>
      <c r="F204" s="488"/>
      <c r="G204" s="488"/>
      <c r="H204" s="488"/>
      <c r="I204" s="488"/>
      <c r="J204" s="488"/>
      <c r="K204" s="488"/>
      <c r="L204" s="488"/>
      <c r="M204" s="488"/>
      <c r="N204" s="488"/>
      <c r="O204" s="488"/>
      <c r="P204" s="488"/>
      <c r="Q204" s="488"/>
      <c r="R204" s="488"/>
      <c r="S204" s="488"/>
      <c r="T204" s="488"/>
      <c r="U204" s="488"/>
      <c r="V204" s="488"/>
      <c r="W204" s="488"/>
      <c r="X204" s="488"/>
      <c r="Y204" s="488"/>
      <c r="Z204" s="488"/>
      <c r="AA204" s="488"/>
      <c r="AB204" s="488"/>
      <c r="AC204" s="488"/>
      <c r="AD204" s="488"/>
      <c r="AE204" s="488"/>
      <c r="AF204" s="488"/>
      <c r="AG204" s="488"/>
      <c r="AH204" s="488"/>
      <c r="AI204" s="488"/>
      <c r="AJ204" s="488"/>
      <c r="AK204" s="488"/>
      <c r="AL204" s="488"/>
      <c r="AM204" s="488"/>
      <c r="AN204" s="488"/>
      <c r="AO204" s="488"/>
      <c r="AP204" s="488"/>
      <c r="AQ204" s="488"/>
      <c r="AR204" s="488"/>
      <c r="AS204" s="488"/>
      <c r="AT204" s="488"/>
      <c r="AU204" s="488"/>
      <c r="AV204" s="488"/>
      <c r="AW204" s="488"/>
      <c r="AX204" s="488"/>
      <c r="AY204" s="488"/>
      <c r="AZ204" s="488"/>
      <c r="BA204" s="488"/>
      <c r="BB204" s="488"/>
      <c r="BC204" s="488"/>
      <c r="BD204" s="488"/>
    </row>
    <row r="205" spans="3:56">
      <c r="C205" s="488"/>
      <c r="D205" s="488"/>
      <c r="E205" s="488"/>
      <c r="F205" s="488"/>
      <c r="G205" s="488"/>
      <c r="H205" s="488"/>
      <c r="I205" s="488"/>
      <c r="J205" s="488"/>
      <c r="K205" s="488"/>
      <c r="L205" s="488"/>
      <c r="M205" s="488"/>
      <c r="N205" s="488"/>
      <c r="O205" s="488"/>
      <c r="P205" s="488"/>
      <c r="Q205" s="488"/>
      <c r="R205" s="488"/>
      <c r="S205" s="488"/>
      <c r="T205" s="488"/>
      <c r="U205" s="488"/>
      <c r="V205" s="488"/>
      <c r="W205" s="488"/>
      <c r="X205" s="488"/>
      <c r="Y205" s="488"/>
      <c r="Z205" s="488"/>
      <c r="AA205" s="488"/>
      <c r="AB205" s="488"/>
      <c r="AC205" s="488"/>
      <c r="AD205" s="488"/>
      <c r="AE205" s="488"/>
      <c r="AF205" s="488"/>
      <c r="AG205" s="488"/>
      <c r="AH205" s="488"/>
      <c r="AI205" s="488"/>
      <c r="AJ205" s="488"/>
      <c r="AK205" s="488"/>
      <c r="AL205" s="488"/>
      <c r="AM205" s="488"/>
      <c r="AN205" s="488"/>
      <c r="AO205" s="488"/>
      <c r="AP205" s="488"/>
      <c r="AQ205" s="488"/>
      <c r="AR205" s="488"/>
      <c r="AS205" s="488"/>
      <c r="AT205" s="488"/>
      <c r="AU205" s="488"/>
      <c r="AV205" s="488"/>
      <c r="AW205" s="488"/>
      <c r="AX205" s="488"/>
      <c r="AY205" s="488"/>
      <c r="AZ205" s="488"/>
      <c r="BA205" s="488"/>
      <c r="BB205" s="488"/>
      <c r="BC205" s="488"/>
      <c r="BD205" s="488"/>
    </row>
    <row r="206" spans="3:56">
      <c r="C206" s="488"/>
      <c r="D206" s="488"/>
      <c r="E206" s="488"/>
      <c r="F206" s="488"/>
      <c r="G206" s="488"/>
      <c r="H206" s="488"/>
      <c r="I206" s="488"/>
      <c r="J206" s="488"/>
      <c r="K206" s="488"/>
      <c r="L206" s="488"/>
      <c r="M206" s="488"/>
      <c r="N206" s="488"/>
      <c r="O206" s="488"/>
      <c r="P206" s="488"/>
      <c r="Q206" s="488"/>
      <c r="R206" s="488"/>
      <c r="S206" s="488"/>
      <c r="T206" s="488"/>
      <c r="U206" s="488"/>
      <c r="V206" s="488"/>
      <c r="W206" s="488"/>
      <c r="X206" s="488"/>
      <c r="Y206" s="488"/>
      <c r="Z206" s="488"/>
      <c r="AA206" s="488"/>
      <c r="AB206" s="488"/>
      <c r="AC206" s="488"/>
      <c r="AD206" s="488"/>
      <c r="AE206" s="488"/>
      <c r="AF206" s="488"/>
      <c r="AG206" s="488"/>
      <c r="AH206" s="488"/>
      <c r="AI206" s="488"/>
      <c r="AJ206" s="488"/>
      <c r="AK206" s="488"/>
      <c r="AL206" s="488"/>
      <c r="AM206" s="488"/>
      <c r="AN206" s="488"/>
      <c r="AO206" s="488"/>
      <c r="AP206" s="488"/>
      <c r="AQ206" s="488"/>
      <c r="AR206" s="488"/>
      <c r="AS206" s="488"/>
      <c r="AT206" s="488"/>
      <c r="AU206" s="488"/>
      <c r="AV206" s="488"/>
      <c r="AW206" s="488"/>
      <c r="AX206" s="488"/>
      <c r="AY206" s="488"/>
      <c r="AZ206" s="488"/>
      <c r="BA206" s="488"/>
      <c r="BB206" s="488"/>
      <c r="BC206" s="488"/>
      <c r="BD206" s="488"/>
    </row>
    <row r="207" spans="3:56">
      <c r="C207" s="488"/>
      <c r="D207" s="488"/>
      <c r="E207" s="488"/>
      <c r="F207" s="488"/>
      <c r="G207" s="488"/>
      <c r="H207" s="488"/>
      <c r="I207" s="488"/>
      <c r="J207" s="488"/>
      <c r="K207" s="488"/>
      <c r="L207" s="488"/>
      <c r="M207" s="488"/>
      <c r="N207" s="488"/>
      <c r="O207" s="488"/>
      <c r="P207" s="488"/>
      <c r="Q207" s="488"/>
      <c r="R207" s="488"/>
      <c r="S207" s="488"/>
      <c r="T207" s="488"/>
      <c r="U207" s="488"/>
      <c r="V207" s="488"/>
      <c r="W207" s="488"/>
      <c r="X207" s="488"/>
      <c r="Y207" s="488"/>
      <c r="Z207" s="488"/>
      <c r="AA207" s="488"/>
      <c r="AB207" s="488"/>
      <c r="AC207" s="488"/>
      <c r="AD207" s="488"/>
      <c r="AE207" s="488"/>
      <c r="AF207" s="488"/>
      <c r="AG207" s="488"/>
      <c r="AH207" s="488"/>
      <c r="AI207" s="488"/>
      <c r="AJ207" s="488"/>
      <c r="AK207" s="488"/>
      <c r="AL207" s="488"/>
      <c r="AM207" s="488"/>
      <c r="AN207" s="488"/>
      <c r="AO207" s="488"/>
      <c r="AP207" s="488"/>
      <c r="AQ207" s="488"/>
      <c r="AR207" s="488"/>
      <c r="AS207" s="488"/>
      <c r="AT207" s="488"/>
      <c r="AU207" s="488"/>
      <c r="AV207" s="488"/>
      <c r="AW207" s="488"/>
      <c r="AX207" s="488"/>
      <c r="AY207" s="488"/>
      <c r="AZ207" s="488"/>
      <c r="BA207" s="488"/>
      <c r="BB207" s="488"/>
      <c r="BC207" s="488"/>
      <c r="BD207" s="488"/>
    </row>
    <row r="208" spans="3:56">
      <c r="C208" s="488"/>
      <c r="D208" s="488"/>
      <c r="E208" s="488"/>
      <c r="F208" s="488"/>
      <c r="G208" s="488"/>
      <c r="H208" s="488"/>
      <c r="I208" s="488"/>
      <c r="J208" s="488"/>
      <c r="K208" s="488"/>
      <c r="L208" s="488"/>
      <c r="M208" s="488"/>
      <c r="N208" s="488"/>
      <c r="O208" s="488"/>
      <c r="P208" s="488"/>
      <c r="Q208" s="488"/>
      <c r="R208" s="488"/>
      <c r="S208" s="488"/>
      <c r="T208" s="488"/>
      <c r="U208" s="488"/>
      <c r="V208" s="488"/>
      <c r="W208" s="488"/>
      <c r="X208" s="488"/>
      <c r="Y208" s="488"/>
      <c r="Z208" s="488"/>
      <c r="AA208" s="488"/>
      <c r="AB208" s="488"/>
      <c r="AC208" s="488"/>
      <c r="AD208" s="488"/>
      <c r="AE208" s="488"/>
      <c r="AF208" s="488"/>
      <c r="AG208" s="488"/>
      <c r="AH208" s="488"/>
      <c r="AI208" s="488"/>
      <c r="AJ208" s="488"/>
      <c r="AK208" s="488"/>
      <c r="AL208" s="488"/>
      <c r="AM208" s="488"/>
      <c r="AN208" s="488"/>
      <c r="AO208" s="488"/>
      <c r="AP208" s="488"/>
      <c r="AQ208" s="488"/>
      <c r="AR208" s="488"/>
      <c r="AS208" s="488"/>
      <c r="AT208" s="488"/>
      <c r="AU208" s="488"/>
      <c r="AV208" s="488"/>
      <c r="AW208" s="488"/>
      <c r="AX208" s="488"/>
      <c r="AY208" s="488"/>
      <c r="AZ208" s="488"/>
      <c r="BA208" s="488"/>
      <c r="BB208" s="488"/>
      <c r="BC208" s="488"/>
      <c r="BD208" s="488"/>
    </row>
    <row r="209" spans="3:56">
      <c r="C209" s="488"/>
      <c r="D209" s="488"/>
      <c r="E209" s="488"/>
      <c r="F209" s="488"/>
      <c r="G209" s="488"/>
      <c r="H209" s="488"/>
      <c r="I209" s="488"/>
      <c r="J209" s="488"/>
      <c r="K209" s="488"/>
      <c r="L209" s="488"/>
      <c r="M209" s="488"/>
      <c r="N209" s="488"/>
      <c r="O209" s="488"/>
      <c r="P209" s="488"/>
      <c r="Q209" s="488"/>
      <c r="R209" s="488"/>
      <c r="S209" s="488"/>
      <c r="T209" s="488"/>
      <c r="U209" s="488"/>
      <c r="V209" s="488"/>
      <c r="W209" s="488"/>
      <c r="X209" s="488"/>
      <c r="Y209" s="488"/>
      <c r="Z209" s="488"/>
      <c r="AA209" s="488"/>
      <c r="AB209" s="488"/>
      <c r="AC209" s="488"/>
      <c r="AD209" s="488"/>
      <c r="AE209" s="488"/>
      <c r="AF209" s="488"/>
      <c r="AG209" s="488"/>
      <c r="AH209" s="488"/>
      <c r="AI209" s="488"/>
      <c r="AJ209" s="488"/>
      <c r="AK209" s="488"/>
      <c r="AL209" s="488"/>
      <c r="AM209" s="488"/>
      <c r="AN209" s="488"/>
      <c r="AO209" s="488"/>
      <c r="AP209" s="488"/>
      <c r="AQ209" s="488"/>
      <c r="AR209" s="488"/>
      <c r="AS209" s="488"/>
      <c r="AT209" s="488"/>
      <c r="AU209" s="488"/>
      <c r="AV209" s="488"/>
      <c r="AW209" s="488"/>
      <c r="AX209" s="488"/>
      <c r="AY209" s="488"/>
      <c r="AZ209" s="488"/>
      <c r="BA209" s="488"/>
      <c r="BB209" s="488"/>
      <c r="BC209" s="488"/>
      <c r="BD209" s="488"/>
    </row>
    <row r="210" spans="3:56">
      <c r="C210" s="488"/>
      <c r="D210" s="488"/>
      <c r="E210" s="488"/>
      <c r="F210" s="488"/>
      <c r="G210" s="488"/>
      <c r="H210" s="488"/>
      <c r="I210" s="488"/>
      <c r="J210" s="488"/>
      <c r="K210" s="488"/>
      <c r="L210" s="488"/>
      <c r="M210" s="488"/>
      <c r="N210" s="488"/>
      <c r="O210" s="488"/>
      <c r="P210" s="488"/>
      <c r="Q210" s="488"/>
      <c r="R210" s="488"/>
      <c r="S210" s="488"/>
      <c r="T210" s="488"/>
      <c r="U210" s="488"/>
      <c r="V210" s="488"/>
      <c r="W210" s="488"/>
      <c r="X210" s="488"/>
      <c r="Y210" s="488"/>
      <c r="Z210" s="488"/>
      <c r="AA210" s="488"/>
      <c r="AB210" s="488"/>
      <c r="AC210" s="488"/>
      <c r="AD210" s="488"/>
      <c r="AE210" s="488"/>
      <c r="AF210" s="488"/>
      <c r="AG210" s="488"/>
      <c r="AH210" s="488"/>
      <c r="AI210" s="488"/>
      <c r="AJ210" s="488"/>
      <c r="AK210" s="488"/>
      <c r="AL210" s="488"/>
      <c r="AM210" s="488"/>
      <c r="AN210" s="488"/>
      <c r="AO210" s="488"/>
      <c r="AP210" s="488"/>
      <c r="AQ210" s="488"/>
      <c r="AR210" s="488"/>
      <c r="AS210" s="488"/>
      <c r="AT210" s="488"/>
      <c r="AU210" s="488"/>
      <c r="AV210" s="488"/>
      <c r="AW210" s="488"/>
      <c r="AX210" s="488"/>
      <c r="AY210" s="488"/>
      <c r="AZ210" s="488"/>
      <c r="BA210" s="488"/>
      <c r="BB210" s="488"/>
      <c r="BC210" s="488"/>
      <c r="BD210" s="488"/>
    </row>
    <row r="211" spans="3:56">
      <c r="C211" s="488"/>
      <c r="D211" s="488"/>
      <c r="E211" s="488"/>
      <c r="F211" s="488"/>
      <c r="G211" s="488"/>
      <c r="H211" s="488"/>
      <c r="I211" s="488"/>
      <c r="J211" s="488"/>
      <c r="K211" s="488"/>
      <c r="L211" s="488"/>
      <c r="M211" s="488"/>
      <c r="N211" s="488"/>
      <c r="O211" s="488"/>
      <c r="P211" s="488"/>
      <c r="Q211" s="488"/>
      <c r="R211" s="488"/>
      <c r="S211" s="488"/>
      <c r="T211" s="488"/>
      <c r="U211" s="488"/>
      <c r="V211" s="488"/>
      <c r="W211" s="488"/>
      <c r="X211" s="488"/>
      <c r="Y211" s="488"/>
      <c r="Z211" s="488"/>
      <c r="AA211" s="488"/>
      <c r="AB211" s="488"/>
      <c r="AC211" s="488"/>
      <c r="AD211" s="488"/>
      <c r="AE211" s="488"/>
      <c r="AF211" s="488"/>
      <c r="AG211" s="488"/>
      <c r="AH211" s="488"/>
      <c r="AI211" s="488"/>
      <c r="AJ211" s="488"/>
      <c r="AK211" s="488"/>
      <c r="AL211" s="488"/>
      <c r="AM211" s="488"/>
      <c r="AN211" s="488"/>
      <c r="AO211" s="488"/>
      <c r="AP211" s="488"/>
      <c r="AQ211" s="488"/>
      <c r="AR211" s="488"/>
      <c r="AS211" s="488"/>
      <c r="AT211" s="488"/>
      <c r="AU211" s="488"/>
      <c r="AV211" s="488"/>
      <c r="AW211" s="488"/>
      <c r="AX211" s="488"/>
      <c r="AY211" s="488"/>
      <c r="AZ211" s="488"/>
      <c r="BA211" s="488"/>
      <c r="BB211" s="488"/>
      <c r="BC211" s="488"/>
      <c r="BD211" s="488"/>
    </row>
    <row r="212" spans="3:56">
      <c r="C212" s="488"/>
      <c r="D212" s="488"/>
      <c r="E212" s="488"/>
      <c r="F212" s="488"/>
      <c r="G212" s="488"/>
      <c r="H212" s="488"/>
      <c r="I212" s="488"/>
      <c r="J212" s="488"/>
      <c r="K212" s="488"/>
      <c r="L212" s="488"/>
      <c r="M212" s="488"/>
      <c r="N212" s="488"/>
      <c r="O212" s="488"/>
      <c r="P212" s="488"/>
      <c r="Q212" s="488"/>
      <c r="R212" s="488"/>
      <c r="S212" s="488"/>
      <c r="T212" s="488"/>
      <c r="U212" s="488"/>
      <c r="V212" s="488"/>
      <c r="W212" s="488"/>
      <c r="X212" s="488"/>
      <c r="Y212" s="488"/>
      <c r="Z212" s="488"/>
      <c r="AA212" s="488"/>
      <c r="AB212" s="488"/>
      <c r="AC212" s="488"/>
      <c r="AD212" s="488"/>
      <c r="AE212" s="488"/>
      <c r="AF212" s="488"/>
      <c r="AG212" s="488"/>
      <c r="AH212" s="488"/>
      <c r="AI212" s="488"/>
      <c r="AJ212" s="488"/>
      <c r="AK212" s="488"/>
      <c r="AL212" s="488"/>
      <c r="AM212" s="488"/>
      <c r="AN212" s="488"/>
      <c r="AO212" s="488"/>
      <c r="AP212" s="488"/>
      <c r="AQ212" s="488"/>
      <c r="AR212" s="488"/>
      <c r="AS212" s="488"/>
      <c r="AT212" s="488"/>
      <c r="AU212" s="488"/>
      <c r="AV212" s="488"/>
      <c r="AW212" s="488"/>
      <c r="AX212" s="488"/>
      <c r="AY212" s="488"/>
      <c r="AZ212" s="488"/>
      <c r="BA212" s="488"/>
      <c r="BB212" s="488"/>
      <c r="BC212" s="488"/>
      <c r="BD212" s="488"/>
    </row>
    <row r="213" spans="3:56">
      <c r="C213" s="488"/>
      <c r="D213" s="488"/>
      <c r="E213" s="488"/>
      <c r="F213" s="488"/>
      <c r="G213" s="488"/>
      <c r="H213" s="488"/>
      <c r="I213" s="488"/>
      <c r="J213" s="488"/>
      <c r="K213" s="488"/>
      <c r="L213" s="488"/>
      <c r="M213" s="488"/>
      <c r="N213" s="488"/>
      <c r="O213" s="488"/>
      <c r="P213" s="488"/>
      <c r="Q213" s="488"/>
      <c r="R213" s="488"/>
      <c r="S213" s="488"/>
      <c r="T213" s="488"/>
      <c r="U213" s="488"/>
      <c r="V213" s="488"/>
      <c r="W213" s="488"/>
      <c r="X213" s="488"/>
      <c r="Y213" s="488"/>
      <c r="Z213" s="488"/>
      <c r="AA213" s="488"/>
      <c r="AB213" s="488"/>
      <c r="AC213" s="488"/>
      <c r="AD213" s="488"/>
      <c r="AE213" s="488"/>
      <c r="AF213" s="488"/>
      <c r="AG213" s="488"/>
      <c r="AH213" s="488"/>
      <c r="AI213" s="488"/>
      <c r="AJ213" s="488"/>
      <c r="AK213" s="488"/>
      <c r="AL213" s="488"/>
      <c r="AM213" s="488"/>
      <c r="AN213" s="488"/>
      <c r="AO213" s="488"/>
      <c r="AP213" s="488"/>
      <c r="AQ213" s="488"/>
      <c r="AR213" s="488"/>
      <c r="AS213" s="488"/>
      <c r="AT213" s="488"/>
      <c r="AU213" s="488"/>
      <c r="AV213" s="488"/>
      <c r="AW213" s="488"/>
      <c r="AX213" s="488"/>
      <c r="AY213" s="488"/>
      <c r="AZ213" s="488"/>
      <c r="BA213" s="488"/>
      <c r="BB213" s="488"/>
      <c r="BC213" s="488"/>
      <c r="BD213" s="488"/>
    </row>
    <row r="214" spans="3:56">
      <c r="C214" s="488"/>
      <c r="D214" s="488"/>
      <c r="E214" s="488"/>
      <c r="F214" s="488"/>
      <c r="G214" s="488"/>
      <c r="H214" s="488"/>
      <c r="I214" s="488"/>
      <c r="J214" s="488"/>
      <c r="K214" s="488"/>
      <c r="L214" s="488"/>
      <c r="M214" s="488"/>
      <c r="N214" s="488"/>
      <c r="O214" s="488"/>
      <c r="P214" s="488"/>
      <c r="Q214" s="488"/>
      <c r="R214" s="488"/>
      <c r="S214" s="488"/>
      <c r="T214" s="488"/>
      <c r="U214" s="488"/>
      <c r="V214" s="488"/>
      <c r="W214" s="488"/>
      <c r="X214" s="488"/>
      <c r="Y214" s="488"/>
      <c r="Z214" s="488"/>
      <c r="AA214" s="488"/>
      <c r="AB214" s="488"/>
      <c r="AC214" s="488"/>
      <c r="AD214" s="488"/>
      <c r="AE214" s="488"/>
      <c r="AF214" s="488"/>
      <c r="AG214" s="488"/>
      <c r="AH214" s="488"/>
      <c r="AI214" s="488"/>
      <c r="AJ214" s="488"/>
      <c r="AK214" s="488"/>
      <c r="AL214" s="488"/>
      <c r="AM214" s="488"/>
      <c r="AN214" s="488"/>
      <c r="AO214" s="488"/>
      <c r="AP214" s="488"/>
      <c r="AQ214" s="488"/>
      <c r="AR214" s="488"/>
      <c r="AS214" s="488"/>
      <c r="AT214" s="488"/>
      <c r="AU214" s="488"/>
      <c r="AV214" s="488"/>
      <c r="AW214" s="488"/>
      <c r="AX214" s="488"/>
      <c r="AY214" s="488"/>
      <c r="AZ214" s="488"/>
      <c r="BA214" s="488"/>
      <c r="BB214" s="488"/>
      <c r="BC214" s="488"/>
      <c r="BD214" s="488"/>
    </row>
    <row r="215" spans="3:56">
      <c r="C215" s="488"/>
      <c r="D215" s="488"/>
      <c r="E215" s="488"/>
      <c r="F215" s="488"/>
      <c r="G215" s="488"/>
      <c r="H215" s="488"/>
      <c r="I215" s="488"/>
      <c r="J215" s="488"/>
      <c r="K215" s="488"/>
      <c r="L215" s="488"/>
      <c r="M215" s="488"/>
      <c r="N215" s="488"/>
      <c r="O215" s="488"/>
      <c r="P215" s="488"/>
      <c r="Q215" s="488"/>
      <c r="R215" s="488"/>
      <c r="S215" s="488"/>
      <c r="T215" s="488"/>
      <c r="U215" s="488"/>
      <c r="V215" s="488"/>
      <c r="W215" s="488"/>
      <c r="X215" s="488"/>
      <c r="Y215" s="488"/>
      <c r="Z215" s="488"/>
      <c r="AA215" s="488"/>
      <c r="AB215" s="488"/>
      <c r="AC215" s="488"/>
      <c r="AD215" s="488"/>
      <c r="AE215" s="488"/>
      <c r="AF215" s="488"/>
      <c r="AG215" s="488"/>
      <c r="AH215" s="488"/>
      <c r="AI215" s="488"/>
      <c r="AJ215" s="488"/>
      <c r="AK215" s="488"/>
      <c r="AL215" s="488"/>
      <c r="AM215" s="488"/>
      <c r="AN215" s="488"/>
      <c r="AO215" s="488"/>
      <c r="AP215" s="488"/>
      <c r="AQ215" s="488"/>
      <c r="AR215" s="488"/>
      <c r="AS215" s="488"/>
      <c r="AT215" s="488"/>
      <c r="AU215" s="488"/>
      <c r="AV215" s="488"/>
      <c r="AW215" s="488"/>
      <c r="AX215" s="488"/>
      <c r="AY215" s="488"/>
      <c r="AZ215" s="488"/>
      <c r="BA215" s="488"/>
      <c r="BB215" s="488"/>
      <c r="BC215" s="488"/>
      <c r="BD215" s="488"/>
    </row>
    <row r="216" spans="3:56">
      <c r="C216" s="488"/>
      <c r="D216" s="488"/>
      <c r="E216" s="488"/>
      <c r="F216" s="488"/>
      <c r="G216" s="488"/>
      <c r="H216" s="488"/>
      <c r="I216" s="488"/>
      <c r="J216" s="488"/>
      <c r="K216" s="488"/>
      <c r="L216" s="488"/>
      <c r="M216" s="488"/>
      <c r="N216" s="488"/>
      <c r="O216" s="488"/>
      <c r="P216" s="488"/>
      <c r="Q216" s="488"/>
      <c r="R216" s="488"/>
      <c r="S216" s="488"/>
      <c r="T216" s="488"/>
      <c r="U216" s="488"/>
      <c r="V216" s="488"/>
      <c r="W216" s="488"/>
      <c r="X216" s="488"/>
      <c r="Y216" s="488"/>
      <c r="Z216" s="488"/>
      <c r="AA216" s="488"/>
      <c r="AB216" s="488"/>
      <c r="AC216" s="488"/>
      <c r="AD216" s="488"/>
      <c r="AE216" s="488"/>
      <c r="AF216" s="488"/>
      <c r="AG216" s="488"/>
      <c r="AH216" s="488"/>
      <c r="AI216" s="488"/>
      <c r="AJ216" s="488"/>
      <c r="AK216" s="488"/>
      <c r="AL216" s="488"/>
      <c r="AM216" s="488"/>
      <c r="AN216" s="488"/>
      <c r="AO216" s="488"/>
      <c r="AP216" s="488"/>
      <c r="AQ216" s="488"/>
      <c r="AR216" s="488"/>
      <c r="AS216" s="488"/>
      <c r="AT216" s="488"/>
      <c r="AU216" s="488"/>
      <c r="AV216" s="488"/>
      <c r="AW216" s="488"/>
      <c r="AX216" s="488"/>
      <c r="AY216" s="488"/>
      <c r="AZ216" s="488"/>
      <c r="BA216" s="488"/>
      <c r="BB216" s="488"/>
      <c r="BC216" s="488"/>
      <c r="BD216" s="488"/>
    </row>
    <row r="217" spans="3:56">
      <c r="C217" s="488"/>
      <c r="D217" s="488"/>
      <c r="E217" s="488"/>
      <c r="F217" s="488"/>
      <c r="G217" s="488"/>
      <c r="H217" s="488"/>
      <c r="I217" s="488"/>
      <c r="J217" s="488"/>
      <c r="K217" s="488"/>
      <c r="L217" s="488"/>
      <c r="M217" s="488"/>
      <c r="N217" s="488"/>
      <c r="O217" s="488"/>
      <c r="P217" s="488"/>
      <c r="Q217" s="488"/>
      <c r="R217" s="488"/>
      <c r="S217" s="488"/>
      <c r="T217" s="488"/>
      <c r="U217" s="488"/>
      <c r="V217" s="488"/>
      <c r="W217" s="488"/>
      <c r="X217" s="488"/>
      <c r="Y217" s="488"/>
      <c r="Z217" s="488"/>
      <c r="AA217" s="488"/>
      <c r="AB217" s="488"/>
      <c r="AC217" s="488"/>
      <c r="AD217" s="488"/>
      <c r="AE217" s="488"/>
      <c r="AF217" s="488"/>
      <c r="AG217" s="488"/>
      <c r="AH217" s="488"/>
      <c r="AI217" s="488"/>
      <c r="AJ217" s="488"/>
      <c r="AK217" s="488"/>
      <c r="AL217" s="488"/>
      <c r="AM217" s="488"/>
      <c r="AN217" s="488"/>
      <c r="AO217" s="488"/>
      <c r="AP217" s="488"/>
      <c r="AQ217" s="488"/>
      <c r="AR217" s="488"/>
      <c r="AS217" s="488"/>
      <c r="AT217" s="488"/>
      <c r="AU217" s="488"/>
      <c r="AV217" s="488"/>
      <c r="AW217" s="488"/>
      <c r="AX217" s="488"/>
      <c r="AY217" s="488"/>
      <c r="AZ217" s="488"/>
      <c r="BA217" s="488"/>
      <c r="BB217" s="488"/>
      <c r="BC217" s="488"/>
      <c r="BD217" s="488"/>
    </row>
    <row r="218" spans="3:56">
      <c r="C218" s="488"/>
      <c r="D218" s="488"/>
      <c r="E218" s="488"/>
      <c r="F218" s="488"/>
      <c r="G218" s="488"/>
      <c r="H218" s="488"/>
      <c r="I218" s="488"/>
      <c r="J218" s="488"/>
      <c r="K218" s="488"/>
      <c r="L218" s="488"/>
      <c r="M218" s="488"/>
      <c r="N218" s="488"/>
      <c r="O218" s="488"/>
      <c r="P218" s="488"/>
      <c r="Q218" s="488"/>
      <c r="R218" s="488"/>
      <c r="S218" s="488"/>
      <c r="T218" s="488"/>
      <c r="U218" s="488"/>
      <c r="V218" s="488"/>
      <c r="W218" s="488"/>
      <c r="X218" s="488"/>
      <c r="Y218" s="488"/>
      <c r="Z218" s="488"/>
      <c r="AA218" s="488"/>
      <c r="AB218" s="488"/>
      <c r="AC218" s="488"/>
      <c r="AD218" s="488"/>
      <c r="AE218" s="488"/>
      <c r="AF218" s="488"/>
      <c r="AG218" s="488"/>
      <c r="AH218" s="488"/>
      <c r="AI218" s="488"/>
      <c r="AJ218" s="488"/>
      <c r="AK218" s="488"/>
      <c r="AL218" s="488"/>
      <c r="AM218" s="488"/>
      <c r="AN218" s="488"/>
      <c r="AO218" s="488"/>
      <c r="AP218" s="488"/>
      <c r="AQ218" s="488"/>
      <c r="AR218" s="488"/>
      <c r="AS218" s="488"/>
      <c r="AT218" s="488"/>
      <c r="AU218" s="488"/>
      <c r="AV218" s="488"/>
      <c r="AW218" s="488"/>
      <c r="AX218" s="488"/>
      <c r="AY218" s="488"/>
      <c r="AZ218" s="488"/>
      <c r="BA218" s="488"/>
      <c r="BB218" s="488"/>
      <c r="BC218" s="488"/>
      <c r="BD218" s="488"/>
    </row>
    <row r="219" spans="3:56">
      <c r="C219" s="488"/>
      <c r="D219" s="488"/>
      <c r="E219" s="488"/>
      <c r="F219" s="488"/>
      <c r="G219" s="488"/>
      <c r="H219" s="488"/>
      <c r="I219" s="488"/>
      <c r="J219" s="488"/>
      <c r="K219" s="488"/>
      <c r="L219" s="488"/>
      <c r="M219" s="488"/>
      <c r="N219" s="488"/>
      <c r="O219" s="488"/>
      <c r="P219" s="488"/>
      <c r="Q219" s="488"/>
      <c r="R219" s="488"/>
      <c r="S219" s="488"/>
      <c r="T219" s="488"/>
      <c r="U219" s="488"/>
      <c r="V219" s="488"/>
      <c r="W219" s="488"/>
      <c r="X219" s="488"/>
      <c r="Y219" s="488"/>
      <c r="Z219" s="488"/>
      <c r="AA219" s="488"/>
      <c r="AB219" s="488"/>
      <c r="AC219" s="488"/>
      <c r="AD219" s="488"/>
      <c r="AE219" s="488"/>
      <c r="AF219" s="488"/>
      <c r="AG219" s="488"/>
      <c r="AH219" s="488"/>
      <c r="AI219" s="488"/>
      <c r="AJ219" s="488"/>
      <c r="AK219" s="488"/>
      <c r="AL219" s="488"/>
      <c r="AM219" s="488"/>
      <c r="AN219" s="488"/>
      <c r="AO219" s="488"/>
      <c r="AP219" s="488"/>
      <c r="AQ219" s="488"/>
      <c r="AR219" s="488"/>
      <c r="AS219" s="488"/>
      <c r="AT219" s="488"/>
      <c r="AU219" s="488"/>
      <c r="AV219" s="488"/>
      <c r="AW219" s="488"/>
      <c r="AX219" s="488"/>
      <c r="AY219" s="488"/>
      <c r="AZ219" s="488"/>
      <c r="BA219" s="488"/>
      <c r="BB219" s="488"/>
      <c r="BC219" s="488"/>
      <c r="BD219" s="488"/>
    </row>
    <row r="220" spans="3:56">
      <c r="C220" s="488"/>
      <c r="D220" s="488"/>
      <c r="E220" s="488"/>
      <c r="F220" s="488"/>
      <c r="G220" s="488"/>
      <c r="H220" s="488"/>
      <c r="I220" s="488"/>
      <c r="J220" s="488"/>
      <c r="K220" s="488"/>
      <c r="L220" s="488"/>
      <c r="M220" s="488"/>
      <c r="N220" s="488"/>
      <c r="O220" s="488"/>
      <c r="P220" s="488"/>
      <c r="Q220" s="488"/>
      <c r="R220" s="488"/>
      <c r="S220" s="488"/>
      <c r="T220" s="488"/>
      <c r="U220" s="488"/>
      <c r="V220" s="488"/>
      <c r="W220" s="488"/>
      <c r="X220" s="488"/>
      <c r="Y220" s="488"/>
      <c r="Z220" s="488"/>
      <c r="AA220" s="488"/>
      <c r="AB220" s="488"/>
      <c r="AC220" s="488"/>
      <c r="AD220" s="488"/>
      <c r="AE220" s="488"/>
      <c r="AF220" s="488"/>
      <c r="AG220" s="488"/>
      <c r="AH220" s="488"/>
      <c r="AI220" s="488"/>
      <c r="AJ220" s="488"/>
      <c r="AK220" s="488"/>
      <c r="AL220" s="488"/>
      <c r="AM220" s="488"/>
      <c r="AN220" s="488"/>
      <c r="AO220" s="488"/>
      <c r="AP220" s="488"/>
      <c r="AQ220" s="488"/>
      <c r="AR220" s="488"/>
      <c r="AS220" s="488"/>
      <c r="AT220" s="488"/>
      <c r="AU220" s="488"/>
      <c r="AV220" s="488"/>
      <c r="AW220" s="488"/>
      <c r="AX220" s="488"/>
      <c r="AY220" s="488"/>
      <c r="AZ220" s="488"/>
      <c r="BA220" s="488"/>
      <c r="BB220" s="488"/>
      <c r="BC220" s="488"/>
      <c r="BD220" s="488"/>
    </row>
    <row r="221" spans="3:56">
      <c r="C221" s="488"/>
      <c r="D221" s="488"/>
      <c r="E221" s="488"/>
      <c r="F221" s="488"/>
      <c r="G221" s="488"/>
      <c r="H221" s="488"/>
      <c r="I221" s="488"/>
      <c r="J221" s="488"/>
      <c r="K221" s="488"/>
      <c r="L221" s="488"/>
      <c r="M221" s="488"/>
      <c r="N221" s="488"/>
      <c r="O221" s="488"/>
      <c r="P221" s="488"/>
      <c r="Q221" s="488"/>
      <c r="R221" s="488"/>
      <c r="S221" s="488"/>
      <c r="T221" s="488"/>
      <c r="U221" s="488"/>
      <c r="V221" s="488"/>
      <c r="W221" s="488"/>
      <c r="X221" s="488"/>
      <c r="Y221" s="488"/>
      <c r="Z221" s="488"/>
      <c r="AA221" s="488"/>
      <c r="AB221" s="488"/>
      <c r="AC221" s="488"/>
      <c r="AD221" s="488"/>
      <c r="AE221" s="488"/>
      <c r="AF221" s="488"/>
      <c r="AG221" s="488"/>
      <c r="AH221" s="488"/>
      <c r="AI221" s="488"/>
      <c r="AJ221" s="488"/>
      <c r="AK221" s="488"/>
      <c r="AL221" s="488"/>
      <c r="AM221" s="488"/>
      <c r="AN221" s="488"/>
      <c r="AO221" s="488"/>
      <c r="AP221" s="488"/>
      <c r="AQ221" s="488"/>
      <c r="AR221" s="488"/>
      <c r="AS221" s="488"/>
      <c r="AT221" s="488"/>
      <c r="AU221" s="488"/>
      <c r="AV221" s="488"/>
      <c r="AW221" s="488"/>
      <c r="AX221" s="488"/>
      <c r="AY221" s="488"/>
      <c r="AZ221" s="488"/>
      <c r="BA221" s="488"/>
      <c r="BB221" s="488"/>
      <c r="BC221" s="488"/>
      <c r="BD221" s="488"/>
    </row>
    <row r="222" spans="3:56">
      <c r="C222" s="488"/>
      <c r="D222" s="488"/>
      <c r="E222" s="488"/>
      <c r="F222" s="488"/>
      <c r="G222" s="488"/>
      <c r="H222" s="488"/>
      <c r="I222" s="488"/>
      <c r="J222" s="488"/>
      <c r="K222" s="488"/>
      <c r="L222" s="488"/>
      <c r="M222" s="488"/>
      <c r="N222" s="488"/>
      <c r="O222" s="488"/>
      <c r="P222" s="488"/>
      <c r="Q222" s="488"/>
      <c r="R222" s="488"/>
      <c r="S222" s="488"/>
      <c r="T222" s="488"/>
      <c r="U222" s="488"/>
      <c r="V222" s="488"/>
      <c r="W222" s="488"/>
      <c r="X222" s="488"/>
      <c r="Y222" s="488"/>
      <c r="Z222" s="488"/>
      <c r="AA222" s="488"/>
      <c r="AB222" s="488"/>
      <c r="AC222" s="488"/>
      <c r="AD222" s="488"/>
      <c r="AE222" s="488"/>
      <c r="AF222" s="488"/>
      <c r="AG222" s="488"/>
      <c r="AH222" s="488"/>
      <c r="AI222" s="488"/>
      <c r="AJ222" s="488"/>
      <c r="AK222" s="488"/>
      <c r="AL222" s="488"/>
      <c r="AM222" s="488"/>
      <c r="AN222" s="488"/>
      <c r="AO222" s="488"/>
      <c r="AP222" s="488"/>
      <c r="AQ222" s="488"/>
      <c r="AR222" s="488"/>
      <c r="AS222" s="488"/>
      <c r="AT222" s="488"/>
      <c r="AU222" s="488"/>
      <c r="AV222" s="488"/>
      <c r="AW222" s="488"/>
      <c r="AX222" s="488"/>
      <c r="AY222" s="488"/>
      <c r="AZ222" s="488"/>
      <c r="BA222" s="488"/>
      <c r="BB222" s="488"/>
      <c r="BC222" s="488"/>
      <c r="BD222" s="488"/>
    </row>
    <row r="223" spans="3:56">
      <c r="C223" s="488"/>
      <c r="D223" s="488"/>
      <c r="E223" s="488"/>
      <c r="F223" s="488"/>
      <c r="G223" s="488"/>
      <c r="H223" s="488"/>
      <c r="I223" s="488"/>
      <c r="J223" s="488"/>
      <c r="K223" s="488"/>
      <c r="L223" s="488"/>
      <c r="M223" s="488"/>
      <c r="N223" s="488"/>
      <c r="O223" s="488"/>
      <c r="P223" s="488"/>
      <c r="Q223" s="488"/>
      <c r="R223" s="488"/>
      <c r="S223" s="488"/>
      <c r="T223" s="488"/>
      <c r="U223" s="488"/>
      <c r="V223" s="488"/>
      <c r="W223" s="488"/>
      <c r="X223" s="488"/>
      <c r="Y223" s="488"/>
      <c r="Z223" s="488"/>
      <c r="AA223" s="488"/>
      <c r="AB223" s="488"/>
      <c r="AC223" s="488"/>
      <c r="AD223" s="488"/>
      <c r="AE223" s="488"/>
      <c r="AF223" s="488"/>
      <c r="AG223" s="488"/>
      <c r="AH223" s="488"/>
      <c r="AI223" s="488"/>
      <c r="AJ223" s="488"/>
      <c r="AK223" s="488"/>
      <c r="AL223" s="488"/>
      <c r="AM223" s="488"/>
      <c r="AN223" s="488"/>
      <c r="AO223" s="488"/>
      <c r="AP223" s="488"/>
      <c r="AQ223" s="488"/>
      <c r="AR223" s="488"/>
      <c r="AS223" s="488"/>
      <c r="AT223" s="488"/>
      <c r="AU223" s="488"/>
      <c r="AV223" s="488"/>
      <c r="AW223" s="488"/>
      <c r="AX223" s="488"/>
      <c r="AY223" s="488"/>
      <c r="AZ223" s="488"/>
      <c r="BA223" s="488"/>
      <c r="BB223" s="488"/>
      <c r="BC223" s="488"/>
      <c r="BD223" s="488"/>
    </row>
    <row r="224" spans="3:56">
      <c r="C224" s="488"/>
      <c r="D224" s="488"/>
      <c r="E224" s="488"/>
      <c r="F224" s="488"/>
      <c r="G224" s="488"/>
      <c r="H224" s="488"/>
      <c r="I224" s="488"/>
      <c r="J224" s="488"/>
      <c r="K224" s="488"/>
      <c r="L224" s="488"/>
      <c r="M224" s="488"/>
      <c r="N224" s="488"/>
      <c r="O224" s="488"/>
      <c r="P224" s="488"/>
      <c r="Q224" s="488"/>
      <c r="R224" s="488"/>
      <c r="S224" s="488"/>
      <c r="T224" s="488"/>
      <c r="U224" s="488"/>
      <c r="V224" s="488"/>
      <c r="W224" s="488"/>
      <c r="X224" s="488"/>
      <c r="Y224" s="488"/>
      <c r="Z224" s="488"/>
      <c r="AA224" s="488"/>
      <c r="AB224" s="488"/>
      <c r="AC224" s="488"/>
      <c r="AD224" s="488"/>
      <c r="AE224" s="488"/>
      <c r="AF224" s="488"/>
      <c r="AG224" s="488"/>
      <c r="AH224" s="488"/>
      <c r="AI224" s="488"/>
      <c r="AJ224" s="488"/>
      <c r="AK224" s="488"/>
      <c r="AL224" s="488"/>
      <c r="AM224" s="488"/>
      <c r="AN224" s="488"/>
      <c r="AO224" s="488"/>
      <c r="AP224" s="488"/>
      <c r="AQ224" s="488"/>
      <c r="AR224" s="488"/>
      <c r="AS224" s="488"/>
      <c r="AT224" s="488"/>
      <c r="AU224" s="488"/>
      <c r="AV224" s="488"/>
      <c r="AW224" s="488"/>
      <c r="AX224" s="488"/>
      <c r="AY224" s="488"/>
      <c r="AZ224" s="488"/>
      <c r="BA224" s="488"/>
      <c r="BB224" s="488"/>
      <c r="BC224" s="488"/>
      <c r="BD224" s="488"/>
    </row>
    <row r="225" spans="3:56">
      <c r="C225" s="488"/>
      <c r="D225" s="488"/>
      <c r="E225" s="488"/>
      <c r="F225" s="488"/>
      <c r="G225" s="488"/>
      <c r="H225" s="488"/>
      <c r="I225" s="488"/>
      <c r="J225" s="488"/>
      <c r="K225" s="488"/>
      <c r="L225" s="488"/>
      <c r="M225" s="488"/>
      <c r="N225" s="488"/>
      <c r="O225" s="488"/>
      <c r="P225" s="488"/>
      <c r="Q225" s="488"/>
      <c r="R225" s="488"/>
      <c r="S225" s="488"/>
      <c r="T225" s="488"/>
      <c r="U225" s="488"/>
      <c r="V225" s="488"/>
      <c r="W225" s="488"/>
      <c r="X225" s="488"/>
      <c r="Y225" s="488"/>
      <c r="Z225" s="488"/>
      <c r="AA225" s="488"/>
      <c r="AB225" s="488"/>
      <c r="AC225" s="488"/>
      <c r="AD225" s="488"/>
      <c r="AE225" s="488"/>
      <c r="AF225" s="488"/>
      <c r="AG225" s="488"/>
      <c r="AH225" s="488"/>
      <c r="AI225" s="488"/>
      <c r="AJ225" s="488"/>
      <c r="AK225" s="488"/>
      <c r="AL225" s="488"/>
      <c r="AM225" s="488"/>
      <c r="AN225" s="488"/>
      <c r="AO225" s="488"/>
      <c r="AP225" s="488"/>
      <c r="AQ225" s="488"/>
      <c r="AR225" s="488"/>
      <c r="AS225" s="488"/>
      <c r="AT225" s="488"/>
      <c r="AU225" s="488"/>
      <c r="AV225" s="488"/>
      <c r="AW225" s="488"/>
      <c r="AX225" s="488"/>
      <c r="AY225" s="488"/>
      <c r="AZ225" s="488"/>
      <c r="BA225" s="488"/>
      <c r="BB225" s="488"/>
      <c r="BC225" s="488"/>
      <c r="BD225" s="488"/>
    </row>
    <row r="226" spans="3:56">
      <c r="C226" s="488"/>
      <c r="D226" s="488"/>
      <c r="E226" s="488"/>
      <c r="F226" s="488"/>
      <c r="G226" s="488"/>
      <c r="H226" s="488"/>
      <c r="I226" s="488"/>
      <c r="J226" s="488"/>
      <c r="K226" s="488"/>
      <c r="L226" s="488"/>
      <c r="M226" s="488"/>
      <c r="N226" s="488"/>
      <c r="O226" s="488"/>
      <c r="P226" s="488"/>
      <c r="Q226" s="488"/>
      <c r="R226" s="488"/>
      <c r="S226" s="488"/>
      <c r="T226" s="488"/>
      <c r="U226" s="488"/>
      <c r="V226" s="488"/>
      <c r="W226" s="488"/>
      <c r="X226" s="488"/>
      <c r="Y226" s="488"/>
      <c r="Z226" s="488"/>
      <c r="AA226" s="488"/>
      <c r="AB226" s="488"/>
      <c r="AC226" s="488"/>
      <c r="AD226" s="488"/>
      <c r="AE226" s="488"/>
      <c r="AF226" s="488"/>
      <c r="AG226" s="488"/>
      <c r="AH226" s="488"/>
      <c r="AI226" s="488"/>
      <c r="AJ226" s="488"/>
      <c r="AK226" s="488"/>
      <c r="AL226" s="488"/>
      <c r="AM226" s="488"/>
      <c r="AN226" s="488"/>
      <c r="AO226" s="488"/>
      <c r="AP226" s="488"/>
      <c r="AQ226" s="488"/>
      <c r="AR226" s="488"/>
      <c r="AS226" s="488"/>
      <c r="AT226" s="488"/>
      <c r="AU226" s="488"/>
      <c r="AV226" s="488"/>
      <c r="AW226" s="488"/>
      <c r="AX226" s="488"/>
      <c r="AY226" s="488"/>
      <c r="AZ226" s="488"/>
      <c r="BA226" s="488"/>
      <c r="BB226" s="488"/>
      <c r="BC226" s="488"/>
      <c r="BD226" s="488"/>
    </row>
    <row r="227" spans="3:56">
      <c r="C227" s="488"/>
      <c r="D227" s="488"/>
      <c r="E227" s="488"/>
      <c r="F227" s="488"/>
      <c r="G227" s="488"/>
      <c r="H227" s="488"/>
      <c r="I227" s="488"/>
      <c r="J227" s="488"/>
      <c r="K227" s="488"/>
      <c r="L227" s="488"/>
      <c r="M227" s="488"/>
      <c r="N227" s="488"/>
      <c r="O227" s="488"/>
      <c r="P227" s="488"/>
      <c r="Q227" s="488"/>
      <c r="R227" s="488"/>
      <c r="S227" s="488"/>
      <c r="T227" s="488"/>
      <c r="U227" s="488"/>
      <c r="V227" s="488"/>
      <c r="W227" s="488"/>
      <c r="X227" s="488"/>
      <c r="Y227" s="488"/>
      <c r="Z227" s="488"/>
      <c r="AA227" s="488"/>
      <c r="AB227" s="488"/>
      <c r="AC227" s="488"/>
      <c r="AD227" s="488"/>
      <c r="AE227" s="488"/>
      <c r="AF227" s="488"/>
      <c r="AG227" s="488"/>
      <c r="AH227" s="488"/>
      <c r="AI227" s="488"/>
      <c r="AJ227" s="488"/>
      <c r="AK227" s="488"/>
      <c r="AL227" s="488"/>
      <c r="AM227" s="488"/>
      <c r="AN227" s="488"/>
      <c r="AO227" s="488"/>
      <c r="AP227" s="488"/>
      <c r="AQ227" s="488"/>
      <c r="AR227" s="488"/>
      <c r="AS227" s="488"/>
      <c r="AT227" s="488"/>
      <c r="AU227" s="488"/>
      <c r="AV227" s="488"/>
      <c r="AW227" s="488"/>
      <c r="AX227" s="488"/>
      <c r="AY227" s="488"/>
      <c r="AZ227" s="488"/>
      <c r="BA227" s="488"/>
      <c r="BB227" s="488"/>
      <c r="BC227" s="488"/>
      <c r="BD227" s="488"/>
    </row>
    <row r="228" spans="3:56">
      <c r="C228" s="488"/>
      <c r="D228" s="488"/>
      <c r="E228" s="488"/>
      <c r="F228" s="488"/>
      <c r="G228" s="488"/>
      <c r="H228" s="488"/>
      <c r="I228" s="488"/>
      <c r="J228" s="488"/>
      <c r="K228" s="488"/>
      <c r="L228" s="488"/>
      <c r="M228" s="488"/>
      <c r="N228" s="488"/>
      <c r="O228" s="488"/>
      <c r="P228" s="488"/>
      <c r="Q228" s="488"/>
      <c r="R228" s="488"/>
      <c r="S228" s="488"/>
      <c r="T228" s="488"/>
      <c r="U228" s="488"/>
      <c r="V228" s="488"/>
      <c r="W228" s="488"/>
      <c r="X228" s="488"/>
      <c r="Y228" s="488"/>
      <c r="Z228" s="488"/>
      <c r="AA228" s="488"/>
      <c r="AB228" s="488"/>
      <c r="AC228" s="488"/>
      <c r="AD228" s="488"/>
      <c r="AE228" s="488"/>
      <c r="AF228" s="488"/>
      <c r="AG228" s="488"/>
      <c r="AH228" s="488"/>
      <c r="AI228" s="488"/>
      <c r="AJ228" s="488"/>
      <c r="AK228" s="488"/>
      <c r="AL228" s="488"/>
      <c r="AM228" s="488"/>
      <c r="AN228" s="488"/>
      <c r="AO228" s="488"/>
      <c r="AP228" s="488"/>
      <c r="AQ228" s="488"/>
      <c r="AR228" s="488"/>
      <c r="AS228" s="488"/>
      <c r="AT228" s="488"/>
      <c r="AU228" s="488"/>
      <c r="AV228" s="488"/>
      <c r="AW228" s="488"/>
      <c r="AX228" s="488"/>
      <c r="AY228" s="488"/>
      <c r="AZ228" s="488"/>
      <c r="BA228" s="488"/>
      <c r="BB228" s="488"/>
      <c r="BC228" s="488"/>
      <c r="BD228" s="488"/>
    </row>
    <row r="229" spans="3:56">
      <c r="C229" s="488"/>
      <c r="D229" s="488"/>
      <c r="E229" s="488"/>
      <c r="F229" s="488"/>
      <c r="G229" s="488"/>
      <c r="H229" s="488"/>
      <c r="I229" s="488"/>
      <c r="J229" s="488"/>
      <c r="K229" s="488"/>
      <c r="L229" s="488"/>
      <c r="M229" s="488"/>
      <c r="N229" s="488"/>
      <c r="O229" s="488"/>
      <c r="P229" s="488"/>
      <c r="Q229" s="488"/>
      <c r="R229" s="488"/>
      <c r="S229" s="488"/>
      <c r="T229" s="488"/>
      <c r="U229" s="488"/>
      <c r="V229" s="488"/>
      <c r="W229" s="488"/>
      <c r="X229" s="488"/>
      <c r="Y229" s="488"/>
      <c r="Z229" s="488"/>
      <c r="AA229" s="488"/>
      <c r="AB229" s="488"/>
      <c r="AC229" s="488"/>
      <c r="AD229" s="488"/>
      <c r="AE229" s="488"/>
      <c r="AF229" s="488"/>
      <c r="AG229" s="488"/>
      <c r="AH229" s="488"/>
      <c r="AI229" s="488"/>
      <c r="AJ229" s="488"/>
      <c r="AK229" s="488"/>
      <c r="AL229" s="488"/>
      <c r="AM229" s="488"/>
      <c r="AN229" s="488"/>
      <c r="AO229" s="488"/>
      <c r="AP229" s="488"/>
      <c r="AQ229" s="488"/>
      <c r="AR229" s="488"/>
      <c r="AS229" s="488"/>
      <c r="AT229" s="488"/>
      <c r="AU229" s="488"/>
      <c r="AV229" s="488"/>
      <c r="AW229" s="488"/>
      <c r="AX229" s="488"/>
      <c r="AY229" s="488"/>
      <c r="AZ229" s="488"/>
      <c r="BA229" s="488"/>
      <c r="BB229" s="488"/>
      <c r="BC229" s="488"/>
      <c r="BD229" s="488"/>
    </row>
    <row r="230" spans="3:56">
      <c r="C230" s="488"/>
      <c r="D230" s="488"/>
      <c r="E230" s="488"/>
      <c r="F230" s="488"/>
      <c r="G230" s="488"/>
      <c r="H230" s="488"/>
      <c r="I230" s="488"/>
      <c r="J230" s="488"/>
      <c r="K230" s="488"/>
      <c r="L230" s="488"/>
      <c r="M230" s="488"/>
      <c r="N230" s="488"/>
      <c r="O230" s="488"/>
      <c r="P230" s="488"/>
      <c r="Q230" s="488"/>
      <c r="R230" s="488"/>
      <c r="S230" s="488"/>
      <c r="T230" s="488"/>
      <c r="U230" s="488"/>
      <c r="V230" s="488"/>
      <c r="W230" s="488"/>
      <c r="X230" s="488"/>
      <c r="Y230" s="488"/>
      <c r="Z230" s="488"/>
      <c r="AA230" s="488"/>
      <c r="AB230" s="488"/>
      <c r="AC230" s="488"/>
      <c r="AD230" s="488"/>
      <c r="AE230" s="488"/>
      <c r="AF230" s="488"/>
      <c r="AG230" s="488"/>
      <c r="AH230" s="488"/>
      <c r="AI230" s="488"/>
      <c r="AJ230" s="488"/>
      <c r="AK230" s="488"/>
      <c r="AL230" s="488"/>
      <c r="AM230" s="488"/>
      <c r="AN230" s="488"/>
      <c r="AO230" s="488"/>
      <c r="AP230" s="488"/>
      <c r="AQ230" s="488"/>
      <c r="AR230" s="488"/>
      <c r="AS230" s="488"/>
      <c r="AT230" s="488"/>
      <c r="AU230" s="488"/>
      <c r="AV230" s="488"/>
      <c r="AW230" s="488"/>
      <c r="AX230" s="488"/>
      <c r="AY230" s="488"/>
      <c r="AZ230" s="488"/>
      <c r="BA230" s="488"/>
      <c r="BB230" s="488"/>
      <c r="BC230" s="488"/>
      <c r="BD230" s="488"/>
    </row>
    <row r="231" spans="3:56">
      <c r="C231" s="488"/>
      <c r="D231" s="488"/>
      <c r="E231" s="488"/>
      <c r="F231" s="488"/>
      <c r="G231" s="488"/>
      <c r="H231" s="488"/>
      <c r="I231" s="488"/>
      <c r="J231" s="488"/>
      <c r="K231" s="488"/>
      <c r="L231" s="488"/>
      <c r="M231" s="488"/>
      <c r="N231" s="488"/>
      <c r="O231" s="488"/>
      <c r="P231" s="488"/>
      <c r="Q231" s="488"/>
      <c r="R231" s="488"/>
      <c r="S231" s="488"/>
      <c r="T231" s="488"/>
      <c r="U231" s="488"/>
      <c r="V231" s="488"/>
      <c r="W231" s="488"/>
      <c r="X231" s="488"/>
      <c r="Y231" s="488"/>
      <c r="Z231" s="488"/>
      <c r="AA231" s="488"/>
      <c r="AB231" s="488"/>
      <c r="AC231" s="488"/>
      <c r="AD231" s="488"/>
      <c r="AE231" s="488"/>
      <c r="AF231" s="488"/>
      <c r="AG231" s="488"/>
      <c r="AH231" s="488"/>
      <c r="AI231" s="488"/>
      <c r="AJ231" s="488"/>
      <c r="AK231" s="488"/>
      <c r="AL231" s="488"/>
      <c r="AM231" s="488"/>
      <c r="AN231" s="488"/>
      <c r="AO231" s="488"/>
      <c r="AP231" s="488"/>
      <c r="AQ231" s="488"/>
      <c r="AR231" s="488"/>
      <c r="AS231" s="488"/>
      <c r="AT231" s="488"/>
      <c r="AU231" s="488"/>
      <c r="AV231" s="488"/>
      <c r="AW231" s="488"/>
      <c r="AX231" s="488"/>
      <c r="AY231" s="488"/>
      <c r="AZ231" s="488"/>
      <c r="BA231" s="488"/>
      <c r="BB231" s="488"/>
      <c r="BC231" s="488"/>
      <c r="BD231" s="488"/>
    </row>
    <row r="232" spans="3:56">
      <c r="C232" s="488"/>
      <c r="D232" s="488"/>
      <c r="E232" s="488"/>
      <c r="F232" s="488"/>
      <c r="G232" s="488"/>
      <c r="H232" s="488"/>
      <c r="I232" s="488"/>
      <c r="J232" s="488"/>
      <c r="K232" s="488"/>
      <c r="L232" s="488"/>
      <c r="M232" s="488"/>
      <c r="N232" s="488"/>
      <c r="O232" s="488"/>
      <c r="P232" s="488"/>
      <c r="Q232" s="488"/>
      <c r="R232" s="488"/>
      <c r="S232" s="488"/>
      <c r="T232" s="488"/>
      <c r="U232" s="488"/>
      <c r="V232" s="488"/>
      <c r="W232" s="488"/>
      <c r="X232" s="488"/>
      <c r="Y232" s="488"/>
      <c r="Z232" s="488"/>
      <c r="AA232" s="488"/>
      <c r="AB232" s="488"/>
      <c r="AC232" s="488"/>
      <c r="AD232" s="488"/>
      <c r="AE232" s="488"/>
      <c r="AF232" s="488"/>
      <c r="AG232" s="488"/>
      <c r="AH232" s="488"/>
      <c r="AI232" s="488"/>
      <c r="AJ232" s="488"/>
      <c r="AK232" s="488"/>
      <c r="AL232" s="488"/>
      <c r="AM232" s="488"/>
      <c r="AN232" s="488"/>
      <c r="AO232" s="488"/>
      <c r="AP232" s="488"/>
      <c r="AQ232" s="488"/>
      <c r="AR232" s="488"/>
      <c r="AS232" s="488"/>
      <c r="AT232" s="488"/>
      <c r="AU232" s="488"/>
      <c r="AV232" s="488"/>
      <c r="AW232" s="488"/>
      <c r="AX232" s="488"/>
      <c r="AY232" s="488"/>
      <c r="AZ232" s="488"/>
      <c r="BA232" s="488"/>
      <c r="BB232" s="488"/>
      <c r="BC232" s="488"/>
      <c r="BD232" s="488"/>
    </row>
    <row r="233" spans="3:56">
      <c r="C233" s="488"/>
      <c r="D233" s="488"/>
      <c r="E233" s="488"/>
      <c r="F233" s="488"/>
      <c r="G233" s="488"/>
      <c r="H233" s="488"/>
      <c r="I233" s="488"/>
      <c r="J233" s="488"/>
      <c r="K233" s="488"/>
      <c r="L233" s="488"/>
      <c r="M233" s="488"/>
      <c r="N233" s="488"/>
      <c r="O233" s="488"/>
      <c r="P233" s="488"/>
      <c r="Q233" s="488"/>
      <c r="R233" s="488"/>
      <c r="S233" s="488"/>
      <c r="T233" s="488"/>
      <c r="U233" s="488"/>
      <c r="V233" s="488"/>
      <c r="W233" s="488"/>
      <c r="X233" s="488"/>
      <c r="Y233" s="488"/>
      <c r="Z233" s="488"/>
      <c r="AA233" s="488"/>
      <c r="AB233" s="488"/>
      <c r="AC233" s="488"/>
      <c r="AD233" s="488"/>
      <c r="AE233" s="488"/>
      <c r="AF233" s="488"/>
      <c r="AG233" s="488"/>
      <c r="AH233" s="488"/>
      <c r="AI233" s="488"/>
      <c r="AJ233" s="488"/>
      <c r="AK233" s="488"/>
      <c r="AL233" s="488"/>
      <c r="AM233" s="488"/>
      <c r="AN233" s="488"/>
      <c r="AO233" s="488"/>
      <c r="AP233" s="488"/>
      <c r="AQ233" s="488"/>
      <c r="AR233" s="488"/>
      <c r="AS233" s="488"/>
      <c r="AT233" s="488"/>
      <c r="AU233" s="488"/>
      <c r="AV233" s="488"/>
      <c r="AW233" s="488"/>
      <c r="AX233" s="488"/>
      <c r="AY233" s="488"/>
      <c r="AZ233" s="488"/>
      <c r="BA233" s="488"/>
      <c r="BB233" s="488"/>
      <c r="BC233" s="488"/>
      <c r="BD233" s="488"/>
    </row>
    <row r="234" spans="3:56">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c r="AI234" s="488"/>
      <c r="AJ234" s="488"/>
      <c r="AK234" s="488"/>
      <c r="AL234" s="488"/>
      <c r="AM234" s="488"/>
      <c r="AN234" s="488"/>
      <c r="AO234" s="488"/>
      <c r="AP234" s="488"/>
      <c r="AQ234" s="488"/>
      <c r="AR234" s="488"/>
      <c r="AS234" s="488"/>
      <c r="AT234" s="488"/>
      <c r="AU234" s="488"/>
      <c r="AV234" s="488"/>
      <c r="AW234" s="488"/>
      <c r="AX234" s="488"/>
      <c r="AY234" s="488"/>
      <c r="AZ234" s="488"/>
      <c r="BA234" s="488"/>
      <c r="BB234" s="488"/>
      <c r="BC234" s="488"/>
      <c r="BD234" s="488"/>
    </row>
    <row r="235" spans="3:56">
      <c r="C235" s="488"/>
      <c r="D235" s="488"/>
      <c r="E235" s="488"/>
      <c r="F235" s="488"/>
      <c r="G235" s="488"/>
      <c r="H235" s="488"/>
      <c r="I235" s="488"/>
      <c r="J235" s="488"/>
      <c r="K235" s="488"/>
      <c r="L235" s="488"/>
      <c r="M235" s="488"/>
      <c r="N235" s="488"/>
      <c r="O235" s="488"/>
      <c r="P235" s="488"/>
      <c r="Q235" s="488"/>
      <c r="R235" s="488"/>
      <c r="S235" s="488"/>
      <c r="T235" s="488"/>
      <c r="U235" s="488"/>
      <c r="V235" s="488"/>
      <c r="W235" s="488"/>
      <c r="X235" s="488"/>
      <c r="Y235" s="488"/>
      <c r="Z235" s="488"/>
      <c r="AA235" s="488"/>
      <c r="AB235" s="488"/>
      <c r="AC235" s="488"/>
      <c r="AD235" s="488"/>
      <c r="AE235" s="488"/>
      <c r="AF235" s="488"/>
      <c r="AG235" s="488"/>
      <c r="AH235" s="488"/>
      <c r="AI235" s="488"/>
      <c r="AJ235" s="488"/>
      <c r="AK235" s="488"/>
      <c r="AL235" s="488"/>
      <c r="AM235" s="488"/>
      <c r="AN235" s="488"/>
      <c r="AO235" s="488"/>
      <c r="AP235" s="488"/>
      <c r="AQ235" s="488"/>
      <c r="AR235" s="488"/>
      <c r="AS235" s="488"/>
      <c r="AT235" s="488"/>
      <c r="AU235" s="488"/>
      <c r="AV235" s="488"/>
      <c r="AW235" s="488"/>
      <c r="AX235" s="488"/>
      <c r="AY235" s="488"/>
      <c r="AZ235" s="488"/>
      <c r="BA235" s="488"/>
      <c r="BB235" s="488"/>
      <c r="BC235" s="488"/>
      <c r="BD235" s="488"/>
    </row>
    <row r="236" spans="3:56">
      <c r="C236" s="488"/>
      <c r="D236" s="488"/>
      <c r="E236" s="488"/>
      <c r="F236" s="488"/>
      <c r="G236" s="488"/>
      <c r="H236" s="488"/>
      <c r="I236" s="488"/>
      <c r="J236" s="488"/>
      <c r="K236" s="488"/>
      <c r="L236" s="488"/>
      <c r="M236" s="488"/>
      <c r="N236" s="488"/>
      <c r="O236" s="488"/>
      <c r="P236" s="488"/>
      <c r="Q236" s="488"/>
      <c r="R236" s="488"/>
      <c r="S236" s="488"/>
      <c r="T236" s="488"/>
      <c r="U236" s="488"/>
      <c r="V236" s="488"/>
      <c r="W236" s="488"/>
      <c r="X236" s="488"/>
      <c r="Y236" s="488"/>
      <c r="Z236" s="488"/>
      <c r="AA236" s="488"/>
      <c r="AB236" s="488"/>
      <c r="AC236" s="488"/>
      <c r="AD236" s="488"/>
      <c r="AE236" s="488"/>
      <c r="AF236" s="488"/>
      <c r="AG236" s="488"/>
      <c r="AH236" s="488"/>
      <c r="AI236" s="488"/>
      <c r="AJ236" s="488"/>
      <c r="AK236" s="488"/>
      <c r="AL236" s="488"/>
      <c r="AM236" s="488"/>
      <c r="AN236" s="488"/>
      <c r="AO236" s="488"/>
      <c r="AP236" s="488"/>
      <c r="AQ236" s="488"/>
      <c r="AR236" s="488"/>
      <c r="AS236" s="488"/>
      <c r="AT236" s="488"/>
      <c r="AU236" s="488"/>
      <c r="AV236" s="488"/>
      <c r="AW236" s="488"/>
      <c r="AX236" s="488"/>
      <c r="AY236" s="488"/>
      <c r="AZ236" s="488"/>
      <c r="BA236" s="488"/>
      <c r="BB236" s="488"/>
      <c r="BC236" s="488"/>
      <c r="BD236" s="488"/>
    </row>
    <row r="237" spans="3:56">
      <c r="C237" s="488"/>
      <c r="D237" s="488"/>
      <c r="E237" s="488"/>
      <c r="F237" s="488"/>
      <c r="G237" s="488"/>
      <c r="H237" s="488"/>
      <c r="I237" s="488"/>
      <c r="J237" s="488"/>
      <c r="K237" s="488"/>
      <c r="L237" s="488"/>
      <c r="M237" s="488"/>
      <c r="N237" s="488"/>
      <c r="O237" s="488"/>
      <c r="P237" s="488"/>
      <c r="Q237" s="488"/>
      <c r="R237" s="488"/>
      <c r="S237" s="488"/>
      <c r="T237" s="488"/>
      <c r="U237" s="488"/>
      <c r="V237" s="488"/>
      <c r="W237" s="488"/>
      <c r="X237" s="488"/>
      <c r="Y237" s="488"/>
      <c r="Z237" s="488"/>
      <c r="AA237" s="488"/>
      <c r="AB237" s="488"/>
      <c r="AC237" s="488"/>
      <c r="AD237" s="488"/>
      <c r="AE237" s="488"/>
      <c r="AF237" s="488"/>
      <c r="AG237" s="488"/>
      <c r="AH237" s="488"/>
      <c r="AI237" s="488"/>
      <c r="AJ237" s="488"/>
      <c r="AK237" s="488"/>
      <c r="AL237" s="488"/>
      <c r="AM237" s="488"/>
      <c r="AN237" s="488"/>
      <c r="AO237" s="488"/>
      <c r="AP237" s="488"/>
      <c r="AQ237" s="488"/>
      <c r="AR237" s="488"/>
      <c r="AS237" s="488"/>
      <c r="AT237" s="488"/>
      <c r="AU237" s="488"/>
      <c r="AV237" s="488"/>
      <c r="AW237" s="488"/>
      <c r="AX237" s="488"/>
      <c r="AY237" s="488"/>
      <c r="AZ237" s="488"/>
      <c r="BA237" s="488"/>
      <c r="BB237" s="488"/>
      <c r="BC237" s="488"/>
      <c r="BD237" s="488"/>
    </row>
    <row r="238" spans="3:56">
      <c r="C238" s="488"/>
      <c r="D238" s="488"/>
      <c r="E238" s="488"/>
      <c r="F238" s="488"/>
      <c r="G238" s="488"/>
      <c r="H238" s="488"/>
      <c r="I238" s="488"/>
      <c r="J238" s="488"/>
      <c r="K238" s="488"/>
      <c r="L238" s="488"/>
      <c r="M238" s="488"/>
      <c r="N238" s="488"/>
      <c r="O238" s="488"/>
      <c r="P238" s="488"/>
      <c r="Q238" s="488"/>
      <c r="R238" s="488"/>
      <c r="S238" s="488"/>
      <c r="T238" s="488"/>
      <c r="U238" s="488"/>
      <c r="V238" s="488"/>
      <c r="W238" s="488"/>
      <c r="X238" s="488"/>
      <c r="Y238" s="488"/>
      <c r="Z238" s="488"/>
      <c r="AA238" s="488"/>
      <c r="AB238" s="488"/>
      <c r="AC238" s="488"/>
      <c r="AD238" s="488"/>
      <c r="AE238" s="488"/>
      <c r="AF238" s="488"/>
      <c r="AG238" s="488"/>
      <c r="AH238" s="488"/>
      <c r="AI238" s="488"/>
      <c r="AJ238" s="488"/>
      <c r="AK238" s="488"/>
      <c r="AL238" s="488"/>
      <c r="AM238" s="488"/>
      <c r="AN238" s="488"/>
      <c r="AO238" s="488"/>
      <c r="AP238" s="488"/>
      <c r="AQ238" s="488"/>
      <c r="AR238" s="488"/>
      <c r="AS238" s="488"/>
      <c r="AT238" s="488"/>
      <c r="AU238" s="488"/>
      <c r="AV238" s="488"/>
      <c r="AW238" s="488"/>
      <c r="AX238" s="488"/>
      <c r="AY238" s="488"/>
      <c r="AZ238" s="488"/>
      <c r="BA238" s="488"/>
      <c r="BB238" s="488"/>
      <c r="BC238" s="488"/>
      <c r="BD238" s="488"/>
    </row>
    <row r="239" spans="3:56">
      <c r="C239" s="488"/>
      <c r="D239" s="488"/>
      <c r="E239" s="488"/>
      <c r="F239" s="488"/>
      <c r="G239" s="488"/>
      <c r="H239" s="488"/>
      <c r="I239" s="488"/>
      <c r="J239" s="488"/>
      <c r="K239" s="488"/>
      <c r="L239" s="488"/>
      <c r="M239" s="488"/>
      <c r="N239" s="488"/>
      <c r="O239" s="488"/>
      <c r="P239" s="488"/>
      <c r="Q239" s="488"/>
      <c r="R239" s="488"/>
      <c r="S239" s="488"/>
      <c r="T239" s="488"/>
      <c r="U239" s="488"/>
      <c r="V239" s="488"/>
      <c r="W239" s="488"/>
      <c r="X239" s="488"/>
      <c r="Y239" s="488"/>
      <c r="Z239" s="488"/>
      <c r="AA239" s="488"/>
      <c r="AB239" s="488"/>
      <c r="AC239" s="488"/>
      <c r="AD239" s="488"/>
      <c r="AE239" s="488"/>
      <c r="AF239" s="488"/>
      <c r="AG239" s="488"/>
      <c r="AH239" s="488"/>
      <c r="AI239" s="488"/>
      <c r="AJ239" s="488"/>
      <c r="AK239" s="488"/>
      <c r="AL239" s="488"/>
      <c r="AM239" s="488"/>
      <c r="AN239" s="488"/>
      <c r="AO239" s="488"/>
      <c r="AP239" s="488"/>
      <c r="AQ239" s="488"/>
      <c r="AR239" s="488"/>
      <c r="AS239" s="488"/>
      <c r="AT239" s="488"/>
      <c r="AU239" s="488"/>
      <c r="AV239" s="488"/>
      <c r="AW239" s="488"/>
      <c r="AX239" s="488"/>
      <c r="AY239" s="488"/>
      <c r="AZ239" s="488"/>
      <c r="BA239" s="488"/>
      <c r="BB239" s="488"/>
      <c r="BC239" s="488"/>
      <c r="BD239" s="488"/>
    </row>
    <row r="240" spans="3:56">
      <c r="C240" s="488"/>
      <c r="D240" s="488"/>
      <c r="E240" s="488"/>
      <c r="F240" s="488"/>
      <c r="G240" s="488"/>
      <c r="H240" s="488"/>
      <c r="I240" s="488"/>
      <c r="J240" s="488"/>
      <c r="K240" s="488"/>
      <c r="L240" s="488"/>
      <c r="M240" s="488"/>
      <c r="N240" s="488"/>
      <c r="O240" s="488"/>
      <c r="P240" s="488"/>
      <c r="Q240" s="488"/>
      <c r="R240" s="488"/>
      <c r="S240" s="488"/>
      <c r="T240" s="488"/>
      <c r="U240" s="488"/>
      <c r="V240" s="488"/>
      <c r="W240" s="488"/>
      <c r="X240" s="488"/>
      <c r="Y240" s="488"/>
      <c r="Z240" s="488"/>
      <c r="AA240" s="488"/>
      <c r="AB240" s="488"/>
      <c r="AC240" s="488"/>
      <c r="AD240" s="488"/>
      <c r="AE240" s="488"/>
      <c r="AF240" s="488"/>
      <c r="AG240" s="488"/>
      <c r="AH240" s="488"/>
      <c r="AI240" s="488"/>
      <c r="AJ240" s="488"/>
      <c r="AK240" s="488"/>
      <c r="AL240" s="488"/>
      <c r="AM240" s="488"/>
      <c r="AN240" s="488"/>
      <c r="AO240" s="488"/>
      <c r="AP240" s="488"/>
      <c r="AQ240" s="488"/>
      <c r="AR240" s="488"/>
      <c r="AS240" s="488"/>
      <c r="AT240" s="488"/>
      <c r="AU240" s="488"/>
      <c r="AV240" s="488"/>
      <c r="AW240" s="488"/>
      <c r="AX240" s="488"/>
      <c r="AY240" s="488"/>
      <c r="AZ240" s="488"/>
      <c r="BA240" s="488"/>
      <c r="BB240" s="488"/>
      <c r="BC240" s="488"/>
      <c r="BD240" s="488"/>
    </row>
    <row r="241" spans="3:56">
      <c r="C241" s="488"/>
      <c r="D241" s="488"/>
      <c r="E241" s="488"/>
      <c r="F241" s="488"/>
      <c r="G241" s="488"/>
      <c r="H241" s="488"/>
      <c r="I241" s="488"/>
      <c r="J241" s="488"/>
      <c r="K241" s="488"/>
      <c r="L241" s="488"/>
      <c r="M241" s="488"/>
      <c r="N241" s="488"/>
      <c r="O241" s="488"/>
      <c r="P241" s="488"/>
      <c r="Q241" s="488"/>
      <c r="R241" s="488"/>
      <c r="S241" s="488"/>
      <c r="T241" s="488"/>
      <c r="U241" s="488"/>
      <c r="V241" s="488"/>
      <c r="W241" s="488"/>
      <c r="X241" s="488"/>
      <c r="Y241" s="488"/>
      <c r="Z241" s="488"/>
      <c r="AA241" s="488"/>
      <c r="AB241" s="488"/>
      <c r="AC241" s="488"/>
      <c r="AD241" s="488"/>
      <c r="AE241" s="488"/>
      <c r="AF241" s="488"/>
      <c r="AG241" s="488"/>
      <c r="AH241" s="488"/>
      <c r="AI241" s="488"/>
      <c r="AJ241" s="488"/>
      <c r="AK241" s="488"/>
      <c r="AL241" s="488"/>
      <c r="AM241" s="488"/>
      <c r="AN241" s="488"/>
      <c r="AO241" s="488"/>
      <c r="AP241" s="488"/>
      <c r="AQ241" s="488"/>
      <c r="AR241" s="488"/>
      <c r="AS241" s="488"/>
      <c r="AT241" s="488"/>
      <c r="AU241" s="488"/>
      <c r="AV241" s="488"/>
      <c r="AW241" s="488"/>
      <c r="AX241" s="488"/>
      <c r="AY241" s="488"/>
      <c r="AZ241" s="488"/>
      <c r="BA241" s="488"/>
      <c r="BB241" s="488"/>
      <c r="BC241" s="488"/>
      <c r="BD241" s="488"/>
    </row>
    <row r="242" spans="3:56">
      <c r="C242" s="488"/>
      <c r="D242" s="488"/>
      <c r="E242" s="488"/>
      <c r="F242" s="488"/>
      <c r="G242" s="488"/>
      <c r="H242" s="488"/>
      <c r="I242" s="488"/>
      <c r="J242" s="488"/>
      <c r="K242" s="488"/>
      <c r="L242" s="488"/>
      <c r="M242" s="488"/>
      <c r="N242" s="488"/>
      <c r="O242" s="488"/>
      <c r="P242" s="488"/>
      <c r="Q242" s="488"/>
      <c r="R242" s="488"/>
      <c r="S242" s="488"/>
      <c r="T242" s="488"/>
      <c r="U242" s="488"/>
      <c r="V242" s="488"/>
      <c r="W242" s="488"/>
      <c r="X242" s="488"/>
      <c r="Y242" s="488"/>
      <c r="Z242" s="488"/>
      <c r="AA242" s="488"/>
      <c r="AB242" s="488"/>
      <c r="AC242" s="488"/>
      <c r="AD242" s="488"/>
      <c r="AE242" s="488"/>
      <c r="AF242" s="488"/>
      <c r="AG242" s="488"/>
      <c r="AH242" s="488"/>
      <c r="AI242" s="488"/>
      <c r="AJ242" s="488"/>
      <c r="AK242" s="488"/>
      <c r="AL242" s="488"/>
      <c r="AM242" s="488"/>
      <c r="AN242" s="488"/>
      <c r="AO242" s="488"/>
      <c r="AP242" s="488"/>
      <c r="AQ242" s="488"/>
      <c r="AR242" s="488"/>
      <c r="AS242" s="488"/>
      <c r="AT242" s="488"/>
      <c r="AU242" s="488"/>
      <c r="AV242" s="488"/>
      <c r="AW242" s="488"/>
      <c r="AX242" s="488"/>
      <c r="AY242" s="488"/>
      <c r="AZ242" s="488"/>
      <c r="BA242" s="488"/>
      <c r="BB242" s="488"/>
      <c r="BC242" s="488"/>
      <c r="BD242" s="488"/>
    </row>
    <row r="243" spans="3:56">
      <c r="C243" s="488"/>
      <c r="D243" s="488"/>
      <c r="E243" s="488"/>
      <c r="F243" s="488"/>
      <c r="G243" s="488"/>
      <c r="H243" s="488"/>
      <c r="I243" s="488"/>
      <c r="J243" s="488"/>
      <c r="K243" s="488"/>
      <c r="L243" s="488"/>
      <c r="M243" s="488"/>
      <c r="N243" s="488"/>
      <c r="O243" s="488"/>
      <c r="P243" s="488"/>
      <c r="Q243" s="488"/>
      <c r="R243" s="488"/>
      <c r="S243" s="488"/>
      <c r="T243" s="488"/>
      <c r="U243" s="488"/>
      <c r="V243" s="488"/>
      <c r="W243" s="488"/>
      <c r="X243" s="488"/>
      <c r="Y243" s="488"/>
      <c r="Z243" s="488"/>
      <c r="AA243" s="488"/>
      <c r="AB243" s="488"/>
      <c r="AC243" s="488"/>
      <c r="AD243" s="488"/>
      <c r="AE243" s="488"/>
      <c r="AF243" s="488"/>
      <c r="AG243" s="488"/>
      <c r="AH243" s="488"/>
      <c r="AI243" s="488"/>
      <c r="AJ243" s="488"/>
      <c r="AK243" s="488"/>
      <c r="AL243" s="488"/>
      <c r="AM243" s="488"/>
      <c r="AN243" s="488"/>
      <c r="AO243" s="488"/>
      <c r="AP243" s="488"/>
      <c r="AQ243" s="488"/>
      <c r="AR243" s="488"/>
      <c r="AS243" s="488"/>
      <c r="AT243" s="488"/>
      <c r="AU243" s="488"/>
      <c r="AV243" s="488"/>
      <c r="AW243" s="488"/>
      <c r="AX243" s="488"/>
      <c r="AY243" s="488"/>
      <c r="AZ243" s="488"/>
      <c r="BA243" s="488"/>
      <c r="BB243" s="488"/>
      <c r="BC243" s="488"/>
      <c r="BD243" s="488"/>
    </row>
    <row r="244" spans="3:56">
      <c r="C244" s="488"/>
      <c r="D244" s="488"/>
      <c r="E244" s="488"/>
      <c r="F244" s="488"/>
      <c r="G244" s="488"/>
      <c r="H244" s="488"/>
      <c r="I244" s="488"/>
      <c r="J244" s="488"/>
      <c r="K244" s="488"/>
      <c r="L244" s="488"/>
      <c r="M244" s="488"/>
      <c r="N244" s="488"/>
      <c r="O244" s="488"/>
      <c r="P244" s="488"/>
      <c r="Q244" s="488"/>
      <c r="R244" s="488"/>
      <c r="S244" s="488"/>
      <c r="T244" s="488"/>
      <c r="U244" s="488"/>
      <c r="V244" s="488"/>
      <c r="W244" s="488"/>
      <c r="X244" s="488"/>
      <c r="Y244" s="488"/>
      <c r="Z244" s="488"/>
      <c r="AA244" s="488"/>
      <c r="AB244" s="488"/>
      <c r="AC244" s="488"/>
      <c r="AD244" s="488"/>
      <c r="AE244" s="488"/>
      <c r="AF244" s="488"/>
      <c r="AG244" s="488"/>
      <c r="AH244" s="488"/>
      <c r="AI244" s="488"/>
      <c r="AJ244" s="488"/>
      <c r="AK244" s="488"/>
      <c r="AL244" s="488"/>
      <c r="AM244" s="488"/>
      <c r="AN244" s="488"/>
      <c r="AO244" s="488"/>
      <c r="AP244" s="488"/>
      <c r="AQ244" s="488"/>
      <c r="AR244" s="488"/>
      <c r="AS244" s="488"/>
      <c r="AT244" s="488"/>
      <c r="AU244" s="488"/>
      <c r="AV244" s="488"/>
      <c r="AW244" s="488"/>
      <c r="AX244" s="488"/>
      <c r="AY244" s="488"/>
      <c r="AZ244" s="488"/>
      <c r="BA244" s="488"/>
      <c r="BB244" s="488"/>
      <c r="BC244" s="488"/>
      <c r="BD244" s="488"/>
    </row>
    <row r="245" spans="3:56">
      <c r="C245" s="488"/>
      <c r="D245" s="488"/>
      <c r="E245" s="488"/>
      <c r="F245" s="488"/>
      <c r="G245" s="488"/>
      <c r="H245" s="488"/>
      <c r="I245" s="488"/>
      <c r="J245" s="488"/>
      <c r="K245" s="488"/>
      <c r="L245" s="488"/>
      <c r="M245" s="488"/>
      <c r="N245" s="488"/>
      <c r="O245" s="488"/>
      <c r="P245" s="488"/>
      <c r="Q245" s="488"/>
      <c r="R245" s="488"/>
      <c r="S245" s="488"/>
      <c r="T245" s="488"/>
      <c r="U245" s="488"/>
      <c r="V245" s="488"/>
      <c r="W245" s="488"/>
      <c r="X245" s="488"/>
      <c r="Y245" s="488"/>
      <c r="Z245" s="488"/>
      <c r="AA245" s="488"/>
      <c r="AB245" s="488"/>
      <c r="AC245" s="488"/>
      <c r="AD245" s="488"/>
      <c r="AE245" s="488"/>
      <c r="AF245" s="488"/>
      <c r="AG245" s="488"/>
      <c r="AH245" s="488"/>
      <c r="AI245" s="488"/>
      <c r="AJ245" s="488"/>
      <c r="AK245" s="488"/>
      <c r="AL245" s="488"/>
      <c r="AM245" s="488"/>
      <c r="AN245" s="488"/>
      <c r="AO245" s="488"/>
      <c r="AP245" s="488"/>
      <c r="AQ245" s="488"/>
      <c r="AR245" s="488"/>
      <c r="AS245" s="488"/>
      <c r="AT245" s="488"/>
      <c r="AU245" s="488"/>
      <c r="AV245" s="488"/>
      <c r="AW245" s="488"/>
      <c r="AX245" s="488"/>
      <c r="AY245" s="488"/>
      <c r="AZ245" s="488"/>
      <c r="BA245" s="488"/>
      <c r="BB245" s="488"/>
      <c r="BC245" s="488"/>
      <c r="BD245" s="488"/>
    </row>
    <row r="246" spans="3:56">
      <c r="C246" s="488"/>
      <c r="D246" s="488"/>
      <c r="E246" s="488"/>
      <c r="F246" s="488"/>
      <c r="G246" s="488"/>
      <c r="H246" s="488"/>
      <c r="I246" s="488"/>
      <c r="J246" s="488"/>
      <c r="K246" s="488"/>
      <c r="L246" s="488"/>
      <c r="M246" s="488"/>
      <c r="N246" s="488"/>
      <c r="O246" s="488"/>
      <c r="P246" s="488"/>
      <c r="Q246" s="488"/>
      <c r="R246" s="488"/>
      <c r="S246" s="488"/>
      <c r="T246" s="488"/>
      <c r="U246" s="488"/>
      <c r="V246" s="488"/>
      <c r="W246" s="488"/>
      <c r="X246" s="488"/>
      <c r="Y246" s="488"/>
      <c r="Z246" s="488"/>
      <c r="AA246" s="488"/>
      <c r="AB246" s="488"/>
      <c r="AC246" s="488"/>
      <c r="AD246" s="488"/>
      <c r="AE246" s="488"/>
      <c r="AF246" s="488"/>
      <c r="AG246" s="488"/>
      <c r="AH246" s="488"/>
      <c r="AI246" s="488"/>
      <c r="AJ246" s="488"/>
      <c r="AK246" s="488"/>
      <c r="AL246" s="488"/>
      <c r="AM246" s="488"/>
      <c r="AN246" s="488"/>
      <c r="AO246" s="488"/>
      <c r="AP246" s="488"/>
      <c r="AQ246" s="488"/>
      <c r="AR246" s="488"/>
      <c r="AS246" s="488"/>
      <c r="AT246" s="488"/>
      <c r="AU246" s="488"/>
      <c r="AV246" s="488"/>
      <c r="AW246" s="488"/>
      <c r="AX246" s="488"/>
      <c r="AY246" s="488"/>
      <c r="AZ246" s="488"/>
      <c r="BA246" s="488"/>
      <c r="BB246" s="488"/>
      <c r="BC246" s="488"/>
      <c r="BD246" s="488"/>
    </row>
    <row r="247" spans="3:56">
      <c r="C247" s="488"/>
      <c r="D247" s="488"/>
      <c r="E247" s="488"/>
      <c r="F247" s="488"/>
      <c r="G247" s="488"/>
      <c r="H247" s="488"/>
      <c r="I247" s="488"/>
      <c r="J247" s="488"/>
      <c r="K247" s="488"/>
      <c r="L247" s="488"/>
      <c r="M247" s="488"/>
      <c r="N247" s="488"/>
      <c r="O247" s="488"/>
      <c r="P247" s="488"/>
      <c r="Q247" s="488"/>
      <c r="R247" s="488"/>
      <c r="S247" s="488"/>
      <c r="T247" s="488"/>
      <c r="U247" s="488"/>
      <c r="V247" s="488"/>
      <c r="W247" s="488"/>
      <c r="X247" s="488"/>
      <c r="Y247" s="488"/>
      <c r="Z247" s="488"/>
      <c r="AA247" s="488"/>
      <c r="AB247" s="488"/>
      <c r="AC247" s="488"/>
      <c r="AD247" s="488"/>
      <c r="AE247" s="488"/>
      <c r="AF247" s="488"/>
      <c r="AG247" s="488"/>
      <c r="AH247" s="488"/>
      <c r="AI247" s="488"/>
      <c r="AJ247" s="488"/>
      <c r="AK247" s="488"/>
      <c r="AL247" s="488"/>
      <c r="AM247" s="488"/>
      <c r="AN247" s="488"/>
      <c r="AO247" s="488"/>
      <c r="AP247" s="488"/>
      <c r="AQ247" s="488"/>
      <c r="AR247" s="488"/>
      <c r="AS247" s="488"/>
      <c r="AT247" s="488"/>
      <c r="AU247" s="488"/>
      <c r="AV247" s="488"/>
      <c r="AW247" s="488"/>
      <c r="AX247" s="488"/>
      <c r="AY247" s="488"/>
      <c r="AZ247" s="488"/>
      <c r="BA247" s="488"/>
      <c r="BB247" s="488"/>
      <c r="BC247" s="488"/>
      <c r="BD247" s="488"/>
    </row>
    <row r="248" spans="3:56">
      <c r="C248" s="488"/>
      <c r="D248" s="488"/>
      <c r="E248" s="488"/>
      <c r="F248" s="488"/>
      <c r="G248" s="488"/>
      <c r="H248" s="488"/>
      <c r="I248" s="488"/>
      <c r="J248" s="488"/>
      <c r="K248" s="488"/>
      <c r="L248" s="488"/>
      <c r="M248" s="488"/>
      <c r="N248" s="488"/>
      <c r="O248" s="488"/>
      <c r="P248" s="488"/>
      <c r="Q248" s="488"/>
      <c r="R248" s="488"/>
      <c r="S248" s="488"/>
      <c r="T248" s="488"/>
      <c r="U248" s="488"/>
      <c r="V248" s="488"/>
      <c r="W248" s="488"/>
      <c r="X248" s="488"/>
      <c r="Y248" s="488"/>
      <c r="Z248" s="488"/>
      <c r="AA248" s="488"/>
      <c r="AB248" s="488"/>
      <c r="AC248" s="488"/>
      <c r="AD248" s="488"/>
      <c r="AE248" s="488"/>
      <c r="AF248" s="488"/>
      <c r="AG248" s="488"/>
      <c r="AH248" s="488"/>
      <c r="AI248" s="488"/>
      <c r="AJ248" s="488"/>
      <c r="AK248" s="488"/>
      <c r="AL248" s="488"/>
      <c r="AM248" s="488"/>
      <c r="AN248" s="488"/>
      <c r="AO248" s="488"/>
      <c r="AP248" s="488"/>
      <c r="AQ248" s="488"/>
      <c r="AR248" s="488"/>
      <c r="AS248" s="488"/>
      <c r="AT248" s="488"/>
      <c r="AU248" s="488"/>
      <c r="AV248" s="488"/>
      <c r="AW248" s="488"/>
      <c r="AX248" s="488"/>
      <c r="AY248" s="488"/>
      <c r="AZ248" s="488"/>
      <c r="BA248" s="488"/>
      <c r="BB248" s="488"/>
      <c r="BC248" s="488"/>
      <c r="BD248" s="488"/>
    </row>
    <row r="249" spans="3:56">
      <c r="C249" s="488"/>
      <c r="D249" s="488"/>
      <c r="E249" s="488"/>
      <c r="F249" s="488"/>
      <c r="G249" s="488"/>
      <c r="H249" s="488"/>
      <c r="I249" s="488"/>
      <c r="J249" s="488"/>
      <c r="K249" s="488"/>
      <c r="L249" s="488"/>
      <c r="M249" s="488"/>
      <c r="N249" s="488"/>
      <c r="O249" s="488"/>
      <c r="P249" s="488"/>
      <c r="Q249" s="488"/>
      <c r="R249" s="488"/>
      <c r="S249" s="488"/>
      <c r="T249" s="488"/>
      <c r="U249" s="488"/>
      <c r="V249" s="488"/>
      <c r="W249" s="488"/>
      <c r="X249" s="488"/>
      <c r="Y249" s="488"/>
      <c r="Z249" s="488"/>
      <c r="AA249" s="488"/>
      <c r="AB249" s="488"/>
      <c r="AC249" s="488"/>
      <c r="AD249" s="488"/>
      <c r="AE249" s="488"/>
      <c r="AF249" s="488"/>
      <c r="AG249" s="488"/>
      <c r="AH249" s="488"/>
      <c r="AI249" s="488"/>
      <c r="AJ249" s="488"/>
      <c r="AK249" s="488"/>
      <c r="AL249" s="488"/>
      <c r="AM249" s="488"/>
      <c r="AN249" s="488"/>
      <c r="AO249" s="488"/>
      <c r="AP249" s="488"/>
      <c r="AQ249" s="488"/>
      <c r="AR249" s="488"/>
      <c r="AS249" s="488"/>
      <c r="AT249" s="488"/>
      <c r="AU249" s="488"/>
      <c r="AV249" s="488"/>
      <c r="AW249" s="488"/>
      <c r="AX249" s="488"/>
      <c r="AY249" s="488"/>
      <c r="AZ249" s="488"/>
      <c r="BA249" s="488"/>
      <c r="BB249" s="488"/>
      <c r="BC249" s="488"/>
      <c r="BD249" s="488"/>
    </row>
    <row r="250" spans="3:56">
      <c r="C250" s="488"/>
      <c r="D250" s="488"/>
      <c r="E250" s="488"/>
      <c r="F250" s="488"/>
      <c r="G250" s="488"/>
      <c r="H250" s="488"/>
      <c r="I250" s="488"/>
      <c r="J250" s="488"/>
      <c r="K250" s="488"/>
      <c r="L250" s="488"/>
      <c r="M250" s="488"/>
      <c r="N250" s="488"/>
      <c r="O250" s="488"/>
      <c r="P250" s="488"/>
      <c r="Q250" s="488"/>
      <c r="R250" s="488"/>
      <c r="S250" s="488"/>
      <c r="T250" s="488"/>
      <c r="U250" s="488"/>
      <c r="V250" s="488"/>
      <c r="W250" s="488"/>
      <c r="X250" s="488"/>
      <c r="Y250" s="488"/>
      <c r="Z250" s="488"/>
      <c r="AA250" s="488"/>
      <c r="AB250" s="488"/>
      <c r="AC250" s="488"/>
      <c r="AD250" s="488"/>
      <c r="AE250" s="488"/>
      <c r="AF250" s="488"/>
      <c r="AG250" s="488"/>
      <c r="AH250" s="488"/>
      <c r="AI250" s="488"/>
      <c r="AJ250" s="488"/>
      <c r="AK250" s="488"/>
      <c r="AL250" s="488"/>
      <c r="AM250" s="488"/>
      <c r="AN250" s="488"/>
      <c r="AO250" s="488"/>
      <c r="AP250" s="488"/>
      <c r="AQ250" s="488"/>
      <c r="AR250" s="488"/>
      <c r="AS250" s="488"/>
      <c r="AT250" s="488"/>
      <c r="AU250" s="488"/>
      <c r="AV250" s="488"/>
      <c r="AW250" s="488"/>
      <c r="AX250" s="488"/>
      <c r="AY250" s="488"/>
      <c r="AZ250" s="488"/>
      <c r="BA250" s="488"/>
      <c r="BB250" s="488"/>
      <c r="BC250" s="488"/>
      <c r="BD250" s="488"/>
    </row>
    <row r="251" spans="3:56">
      <c r="C251" s="488"/>
      <c r="D251" s="488"/>
      <c r="E251" s="488"/>
      <c r="F251" s="488"/>
      <c r="G251" s="488"/>
      <c r="H251" s="488"/>
      <c r="I251" s="488"/>
      <c r="J251" s="488"/>
      <c r="K251" s="488"/>
      <c r="L251" s="488"/>
      <c r="M251" s="488"/>
      <c r="N251" s="488"/>
      <c r="O251" s="488"/>
      <c r="P251" s="488"/>
      <c r="Q251" s="488"/>
      <c r="R251" s="488"/>
      <c r="S251" s="488"/>
      <c r="T251" s="488"/>
      <c r="U251" s="488"/>
      <c r="V251" s="488"/>
      <c r="W251" s="488"/>
      <c r="X251" s="488"/>
      <c r="Y251" s="488"/>
      <c r="Z251" s="488"/>
      <c r="AA251" s="488"/>
      <c r="AB251" s="488"/>
      <c r="AC251" s="488"/>
      <c r="AD251" s="488"/>
      <c r="AE251" s="488"/>
      <c r="AF251" s="488"/>
      <c r="AG251" s="488"/>
      <c r="AH251" s="488"/>
      <c r="AI251" s="488"/>
      <c r="AJ251" s="488"/>
      <c r="AK251" s="488"/>
      <c r="AL251" s="488"/>
      <c r="AM251" s="488"/>
      <c r="AN251" s="488"/>
      <c r="AO251" s="488"/>
      <c r="AP251" s="488"/>
      <c r="AQ251" s="488"/>
      <c r="AR251" s="488"/>
      <c r="AS251" s="488"/>
      <c r="AT251" s="488"/>
      <c r="AU251" s="488"/>
      <c r="AV251" s="488"/>
      <c r="AW251" s="488"/>
      <c r="AX251" s="488"/>
      <c r="AY251" s="488"/>
      <c r="AZ251" s="488"/>
      <c r="BA251" s="488"/>
      <c r="BB251" s="488"/>
      <c r="BC251" s="488"/>
      <c r="BD251" s="488"/>
    </row>
    <row r="252" spans="3:56">
      <c r="C252" s="488"/>
      <c r="D252" s="488"/>
      <c r="E252" s="488"/>
      <c r="F252" s="488"/>
      <c r="G252" s="488"/>
      <c r="H252" s="488"/>
      <c r="I252" s="488"/>
      <c r="J252" s="488"/>
      <c r="K252" s="488"/>
      <c r="L252" s="488"/>
      <c r="M252" s="488"/>
      <c r="N252" s="488"/>
      <c r="O252" s="488"/>
      <c r="P252" s="488"/>
      <c r="Q252" s="488"/>
      <c r="R252" s="488"/>
      <c r="S252" s="488"/>
      <c r="T252" s="488"/>
      <c r="U252" s="488"/>
      <c r="V252" s="488"/>
      <c r="W252" s="488"/>
      <c r="X252" s="488"/>
      <c r="Y252" s="488"/>
      <c r="Z252" s="488"/>
      <c r="AA252" s="488"/>
      <c r="AB252" s="488"/>
      <c r="AC252" s="488"/>
      <c r="AD252" s="488"/>
      <c r="AE252" s="488"/>
      <c r="AF252" s="488"/>
      <c r="AG252" s="488"/>
      <c r="AH252" s="488"/>
      <c r="AI252" s="488"/>
      <c r="AJ252" s="488"/>
      <c r="AK252" s="488"/>
      <c r="AL252" s="488"/>
      <c r="AM252" s="488"/>
      <c r="AN252" s="488"/>
      <c r="AO252" s="488"/>
      <c r="AP252" s="488"/>
      <c r="AQ252" s="488"/>
      <c r="AR252" s="488"/>
      <c r="AS252" s="488"/>
      <c r="AT252" s="488"/>
      <c r="AU252" s="488"/>
      <c r="AV252" s="488"/>
      <c r="AW252" s="488"/>
      <c r="AX252" s="488"/>
      <c r="AY252" s="488"/>
      <c r="AZ252" s="488"/>
      <c r="BA252" s="488"/>
      <c r="BB252" s="488"/>
      <c r="BC252" s="488"/>
      <c r="BD252" s="488"/>
    </row>
    <row r="253" spans="3:56">
      <c r="C253" s="488"/>
      <c r="D253" s="488"/>
      <c r="E253" s="488"/>
      <c r="F253" s="488"/>
      <c r="G253" s="488"/>
      <c r="H253" s="488"/>
      <c r="I253" s="488"/>
      <c r="J253" s="488"/>
      <c r="K253" s="488"/>
      <c r="L253" s="488"/>
      <c r="M253" s="488"/>
      <c r="N253" s="488"/>
      <c r="O253" s="488"/>
      <c r="P253" s="488"/>
      <c r="Q253" s="488"/>
      <c r="R253" s="488"/>
      <c r="S253" s="488"/>
      <c r="T253" s="488"/>
      <c r="U253" s="488"/>
      <c r="V253" s="488"/>
      <c r="W253" s="488"/>
      <c r="X253" s="488"/>
      <c r="Y253" s="488"/>
      <c r="Z253" s="488"/>
      <c r="AA253" s="488"/>
      <c r="AB253" s="488"/>
      <c r="AC253" s="488"/>
      <c r="AD253" s="488"/>
      <c r="AE253" s="488"/>
      <c r="AF253" s="488"/>
      <c r="AG253" s="488"/>
      <c r="AH253" s="488"/>
      <c r="AI253" s="488"/>
      <c r="AJ253" s="488"/>
      <c r="AK253" s="488"/>
      <c r="AL253" s="488"/>
      <c r="AM253" s="488"/>
      <c r="AN253" s="488"/>
      <c r="AO253" s="488"/>
      <c r="AP253" s="488"/>
      <c r="AQ253" s="488"/>
      <c r="AR253" s="488"/>
      <c r="AS253" s="488"/>
      <c r="AT253" s="488"/>
      <c r="AU253" s="488"/>
      <c r="AV253" s="488"/>
      <c r="AW253" s="488"/>
      <c r="AX253" s="488"/>
      <c r="AY253" s="488"/>
      <c r="AZ253" s="488"/>
      <c r="BA253" s="488"/>
      <c r="BB253" s="488"/>
      <c r="BC253" s="488"/>
      <c r="BD253" s="488"/>
    </row>
    <row r="254" spans="3:56">
      <c r="C254" s="488"/>
      <c r="D254" s="488"/>
      <c r="E254" s="488"/>
      <c r="F254" s="488"/>
      <c r="G254" s="488"/>
      <c r="H254" s="488"/>
      <c r="I254" s="488"/>
      <c r="J254" s="488"/>
      <c r="K254" s="488"/>
      <c r="L254" s="488"/>
      <c r="M254" s="488"/>
      <c r="N254" s="488"/>
      <c r="O254" s="488"/>
      <c r="P254" s="488"/>
      <c r="Q254" s="488"/>
      <c r="R254" s="488"/>
      <c r="S254" s="488"/>
      <c r="T254" s="488"/>
      <c r="U254" s="488"/>
      <c r="V254" s="488"/>
      <c r="W254" s="488"/>
      <c r="X254" s="488"/>
      <c r="Y254" s="488"/>
      <c r="Z254" s="488"/>
      <c r="AA254" s="488"/>
      <c r="AB254" s="488"/>
      <c r="AC254" s="488"/>
      <c r="AD254" s="488"/>
      <c r="AE254" s="488"/>
      <c r="AF254" s="488"/>
      <c r="AG254" s="488"/>
      <c r="AH254" s="488"/>
      <c r="AI254" s="488"/>
      <c r="AJ254" s="488"/>
      <c r="AK254" s="488"/>
      <c r="AL254" s="488"/>
      <c r="AM254" s="488"/>
      <c r="AN254" s="488"/>
      <c r="AO254" s="488"/>
      <c r="AP254" s="488"/>
      <c r="AQ254" s="488"/>
      <c r="AR254" s="488"/>
      <c r="AS254" s="488"/>
      <c r="AT254" s="488"/>
      <c r="AU254" s="488"/>
      <c r="AV254" s="488"/>
      <c r="AW254" s="488"/>
      <c r="AX254" s="488"/>
      <c r="AY254" s="488"/>
      <c r="AZ254" s="488"/>
      <c r="BA254" s="488"/>
      <c r="BB254" s="488"/>
      <c r="BC254" s="488"/>
      <c r="BD254" s="488"/>
    </row>
    <row r="255" spans="3:56">
      <c r="C255" s="488"/>
      <c r="D255" s="488"/>
      <c r="E255" s="488"/>
      <c r="F255" s="488"/>
      <c r="G255" s="488"/>
      <c r="H255" s="488"/>
      <c r="I255" s="488"/>
      <c r="J255" s="488"/>
      <c r="K255" s="488"/>
      <c r="L255" s="488"/>
      <c r="M255" s="488"/>
      <c r="N255" s="488"/>
      <c r="O255" s="488"/>
      <c r="P255" s="488"/>
      <c r="Q255" s="488"/>
      <c r="R255" s="488"/>
      <c r="S255" s="488"/>
      <c r="T255" s="488"/>
      <c r="U255" s="488"/>
      <c r="V255" s="488"/>
      <c r="W255" s="488"/>
      <c r="X255" s="488"/>
      <c r="Y255" s="488"/>
      <c r="Z255" s="488"/>
      <c r="AA255" s="488"/>
      <c r="AB255" s="488"/>
      <c r="AC255" s="488"/>
      <c r="AD255" s="488"/>
      <c r="AE255" s="488"/>
      <c r="AF255" s="488"/>
      <c r="AG255" s="488"/>
      <c r="AH255" s="488"/>
      <c r="AI255" s="488"/>
      <c r="AJ255" s="488"/>
      <c r="AK255" s="488"/>
      <c r="AL255" s="488"/>
      <c r="AM255" s="488"/>
      <c r="AN255" s="488"/>
      <c r="AO255" s="488"/>
      <c r="AP255" s="488"/>
      <c r="AQ255" s="488"/>
      <c r="AR255" s="488"/>
      <c r="AS255" s="488"/>
      <c r="AT255" s="488"/>
      <c r="AU255" s="488"/>
      <c r="AV255" s="488"/>
      <c r="AW255" s="488"/>
      <c r="AX255" s="488"/>
      <c r="AY255" s="488"/>
      <c r="AZ255" s="488"/>
      <c r="BA255" s="488"/>
      <c r="BB255" s="488"/>
      <c r="BC255" s="488"/>
      <c r="BD255" s="488"/>
    </row>
    <row r="256" spans="3:56">
      <c r="C256" s="488"/>
      <c r="D256" s="488"/>
      <c r="E256" s="488"/>
      <c r="F256" s="488"/>
      <c r="G256" s="488"/>
      <c r="H256" s="488"/>
      <c r="I256" s="488"/>
      <c r="J256" s="488"/>
      <c r="K256" s="488"/>
      <c r="L256" s="488"/>
      <c r="M256" s="488"/>
      <c r="N256" s="488"/>
      <c r="O256" s="488"/>
      <c r="P256" s="488"/>
      <c r="Q256" s="488"/>
      <c r="R256" s="488"/>
      <c r="S256" s="488"/>
      <c r="T256" s="488"/>
      <c r="U256" s="488"/>
      <c r="V256" s="488"/>
      <c r="W256" s="488"/>
      <c r="X256" s="488"/>
      <c r="Y256" s="488"/>
      <c r="Z256" s="488"/>
      <c r="AA256" s="488"/>
      <c r="AB256" s="488"/>
      <c r="AC256" s="488"/>
      <c r="AD256" s="488"/>
      <c r="AE256" s="488"/>
      <c r="AF256" s="488"/>
      <c r="AG256" s="488"/>
      <c r="AH256" s="488"/>
      <c r="AI256" s="488"/>
      <c r="AJ256" s="488"/>
      <c r="AK256" s="488"/>
      <c r="AL256" s="488"/>
      <c r="AM256" s="488"/>
      <c r="AN256" s="488"/>
      <c r="AO256" s="488"/>
      <c r="AP256" s="488"/>
      <c r="AQ256" s="488"/>
      <c r="AR256" s="488"/>
      <c r="AS256" s="488"/>
      <c r="AT256" s="488"/>
      <c r="AU256" s="488"/>
      <c r="AV256" s="488"/>
      <c r="AW256" s="488"/>
      <c r="AX256" s="488"/>
      <c r="AY256" s="488"/>
      <c r="AZ256" s="488"/>
      <c r="BA256" s="488"/>
      <c r="BB256" s="488"/>
      <c r="BC256" s="488"/>
      <c r="BD256" s="488"/>
    </row>
    <row r="257" spans="3:56">
      <c r="C257" s="488"/>
      <c r="D257" s="488"/>
      <c r="E257" s="488"/>
      <c r="F257" s="488"/>
      <c r="G257" s="488"/>
      <c r="H257" s="488"/>
      <c r="I257" s="488"/>
      <c r="J257" s="488"/>
      <c r="K257" s="488"/>
      <c r="L257" s="488"/>
      <c r="M257" s="488"/>
      <c r="N257" s="488"/>
      <c r="O257" s="488"/>
      <c r="P257" s="488"/>
      <c r="Q257" s="488"/>
      <c r="R257" s="488"/>
      <c r="S257" s="488"/>
      <c r="T257" s="488"/>
      <c r="U257" s="488"/>
      <c r="V257" s="488"/>
      <c r="W257" s="488"/>
      <c r="X257" s="488"/>
      <c r="Y257" s="488"/>
      <c r="Z257" s="488"/>
      <c r="AA257" s="488"/>
      <c r="AB257" s="488"/>
      <c r="AC257" s="488"/>
      <c r="AD257" s="488"/>
      <c r="AE257" s="488"/>
      <c r="AF257" s="488"/>
      <c r="AG257" s="488"/>
      <c r="AH257" s="488"/>
      <c r="AI257" s="488"/>
      <c r="AJ257" s="488"/>
      <c r="AK257" s="488"/>
      <c r="AL257" s="488"/>
      <c r="AM257" s="488"/>
      <c r="AN257" s="488"/>
      <c r="AO257" s="488"/>
      <c r="AP257" s="488"/>
      <c r="AQ257" s="488"/>
      <c r="AR257" s="488"/>
      <c r="AS257" s="488"/>
      <c r="AT257" s="488"/>
      <c r="AU257" s="488"/>
      <c r="AV257" s="488"/>
      <c r="AW257" s="488"/>
      <c r="AX257" s="488"/>
      <c r="AY257" s="488"/>
      <c r="AZ257" s="488"/>
      <c r="BA257" s="488"/>
      <c r="BB257" s="488"/>
      <c r="BC257" s="488"/>
      <c r="BD257" s="488"/>
    </row>
    <row r="258" spans="3:56">
      <c r="C258" s="488"/>
      <c r="D258" s="488"/>
      <c r="E258" s="488"/>
      <c r="F258" s="488"/>
      <c r="G258" s="488"/>
      <c r="H258" s="488"/>
      <c r="I258" s="488"/>
      <c r="J258" s="488"/>
      <c r="K258" s="488"/>
      <c r="L258" s="488"/>
      <c r="M258" s="488"/>
      <c r="N258" s="488"/>
      <c r="O258" s="488"/>
      <c r="P258" s="488"/>
      <c r="Q258" s="488"/>
      <c r="R258" s="488"/>
      <c r="S258" s="488"/>
      <c r="T258" s="488"/>
      <c r="U258" s="488"/>
      <c r="V258" s="488"/>
      <c r="W258" s="488"/>
      <c r="X258" s="488"/>
      <c r="Y258" s="488"/>
      <c r="Z258" s="488"/>
      <c r="AA258" s="488"/>
      <c r="AB258" s="488"/>
      <c r="AC258" s="488"/>
      <c r="AD258" s="488"/>
      <c r="AE258" s="488"/>
      <c r="AF258" s="488"/>
      <c r="AG258" s="488"/>
      <c r="AH258" s="488"/>
      <c r="AI258" s="488"/>
      <c r="AJ258" s="488"/>
      <c r="AK258" s="488"/>
      <c r="AL258" s="488"/>
      <c r="AM258" s="488"/>
      <c r="AN258" s="488"/>
      <c r="AO258" s="488"/>
      <c r="AP258" s="488"/>
      <c r="AQ258" s="488"/>
      <c r="AR258" s="488"/>
      <c r="AS258" s="488"/>
      <c r="AT258" s="488"/>
      <c r="AU258" s="488"/>
      <c r="AV258" s="488"/>
      <c r="AW258" s="488"/>
      <c r="AX258" s="488"/>
      <c r="AY258" s="488"/>
      <c r="AZ258" s="488"/>
      <c r="BA258" s="488"/>
      <c r="BB258" s="488"/>
      <c r="BC258" s="488"/>
      <c r="BD258" s="488"/>
    </row>
    <row r="259" spans="3:56">
      <c r="C259" s="488"/>
      <c r="D259" s="488"/>
      <c r="E259" s="488"/>
      <c r="F259" s="488"/>
      <c r="G259" s="488"/>
      <c r="H259" s="488"/>
      <c r="I259" s="488"/>
      <c r="J259" s="488"/>
      <c r="K259" s="488"/>
      <c r="L259" s="488"/>
      <c r="M259" s="488"/>
      <c r="N259" s="488"/>
      <c r="O259" s="488"/>
      <c r="P259" s="488"/>
      <c r="Q259" s="488"/>
      <c r="R259" s="488"/>
      <c r="S259" s="488"/>
      <c r="T259" s="488"/>
      <c r="U259" s="488"/>
      <c r="V259" s="488"/>
      <c r="W259" s="488"/>
      <c r="X259" s="488"/>
      <c r="Y259" s="488"/>
      <c r="Z259" s="488"/>
      <c r="AA259" s="488"/>
      <c r="AB259" s="488"/>
      <c r="AC259" s="488"/>
      <c r="AD259" s="488"/>
      <c r="AE259" s="488"/>
      <c r="AF259" s="488"/>
      <c r="AG259" s="488"/>
      <c r="AH259" s="488"/>
      <c r="AI259" s="488"/>
      <c r="AJ259" s="488"/>
      <c r="AK259" s="488"/>
      <c r="AL259" s="488"/>
      <c r="AM259" s="488"/>
      <c r="AN259" s="488"/>
      <c r="AO259" s="488"/>
      <c r="AP259" s="488"/>
      <c r="AQ259" s="488"/>
      <c r="AR259" s="488"/>
      <c r="AS259" s="488"/>
      <c r="AT259" s="488"/>
      <c r="AU259" s="488"/>
      <c r="AV259" s="488"/>
      <c r="AW259" s="488"/>
      <c r="AX259" s="488"/>
      <c r="AY259" s="488"/>
      <c r="AZ259" s="488"/>
      <c r="BA259" s="488"/>
      <c r="BB259" s="488"/>
      <c r="BC259" s="488"/>
      <c r="BD259" s="488"/>
    </row>
    <row r="260" spans="3:56">
      <c r="C260" s="488"/>
      <c r="D260" s="488"/>
      <c r="E260" s="488"/>
      <c r="F260" s="488"/>
      <c r="G260" s="488"/>
      <c r="H260" s="488"/>
      <c r="I260" s="488"/>
      <c r="J260" s="488"/>
      <c r="K260" s="488"/>
      <c r="L260" s="488"/>
      <c r="M260" s="488"/>
      <c r="N260" s="488"/>
      <c r="O260" s="488"/>
      <c r="P260" s="488"/>
      <c r="Q260" s="488"/>
      <c r="R260" s="488"/>
      <c r="S260" s="488"/>
      <c r="T260" s="488"/>
      <c r="U260" s="488"/>
      <c r="V260" s="488"/>
      <c r="W260" s="488"/>
      <c r="X260" s="488"/>
      <c r="Y260" s="488"/>
      <c r="Z260" s="488"/>
      <c r="AA260" s="488"/>
      <c r="AB260" s="488"/>
      <c r="AC260" s="488"/>
      <c r="AD260" s="488"/>
      <c r="AE260" s="488"/>
      <c r="AF260" s="488"/>
      <c r="AG260" s="488"/>
      <c r="AH260" s="488"/>
      <c r="AI260" s="488"/>
      <c r="AJ260" s="488"/>
      <c r="AK260" s="488"/>
      <c r="AL260" s="488"/>
      <c r="AM260" s="488"/>
      <c r="AN260" s="488"/>
      <c r="AO260" s="488"/>
      <c r="AP260" s="488"/>
      <c r="AQ260" s="488"/>
      <c r="AR260" s="488"/>
      <c r="AS260" s="488"/>
      <c r="AT260" s="488"/>
      <c r="AU260" s="488"/>
      <c r="AV260" s="488"/>
      <c r="AW260" s="488"/>
      <c r="AX260" s="488"/>
      <c r="AY260" s="488"/>
      <c r="AZ260" s="488"/>
      <c r="BA260" s="488"/>
      <c r="BB260" s="488"/>
      <c r="BC260" s="488"/>
      <c r="BD260" s="488"/>
    </row>
    <row r="261" spans="3:56">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c r="AK261" s="488"/>
      <c r="AL261" s="488"/>
      <c r="AM261" s="488"/>
      <c r="AN261" s="488"/>
      <c r="AO261" s="488"/>
      <c r="AP261" s="488"/>
      <c r="AQ261" s="488"/>
      <c r="AR261" s="488"/>
      <c r="AS261" s="488"/>
      <c r="AT261" s="488"/>
      <c r="AU261" s="488"/>
      <c r="AV261" s="488"/>
      <c r="AW261" s="488"/>
      <c r="AX261" s="488"/>
      <c r="AY261" s="488"/>
      <c r="AZ261" s="488"/>
      <c r="BA261" s="488"/>
      <c r="BB261" s="488"/>
      <c r="BC261" s="488"/>
      <c r="BD261" s="488"/>
    </row>
    <row r="262" spans="3:56">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8"/>
      <c r="AI262" s="488"/>
      <c r="AJ262" s="488"/>
      <c r="AK262" s="488"/>
      <c r="AL262" s="488"/>
      <c r="AM262" s="488"/>
      <c r="AN262" s="488"/>
      <c r="AO262" s="488"/>
      <c r="AP262" s="488"/>
      <c r="AQ262" s="488"/>
      <c r="AR262" s="488"/>
      <c r="AS262" s="488"/>
      <c r="AT262" s="488"/>
      <c r="AU262" s="488"/>
      <c r="AV262" s="488"/>
      <c r="AW262" s="488"/>
      <c r="AX262" s="488"/>
      <c r="AY262" s="488"/>
      <c r="AZ262" s="488"/>
      <c r="BA262" s="488"/>
      <c r="BB262" s="488"/>
      <c r="BC262" s="488"/>
      <c r="BD262" s="488"/>
    </row>
    <row r="263" spans="3:56">
      <c r="C263" s="488"/>
      <c r="D263" s="488"/>
      <c r="E263" s="488"/>
      <c r="F263" s="488"/>
      <c r="G263" s="488"/>
      <c r="H263" s="488"/>
      <c r="I263" s="488"/>
      <c r="J263" s="488"/>
      <c r="K263" s="488"/>
      <c r="L263" s="488"/>
      <c r="M263" s="488"/>
      <c r="N263" s="488"/>
      <c r="O263" s="488"/>
      <c r="P263" s="488"/>
      <c r="Q263" s="488"/>
      <c r="R263" s="488"/>
      <c r="S263" s="488"/>
      <c r="T263" s="488"/>
      <c r="U263" s="488"/>
      <c r="V263" s="488"/>
      <c r="W263" s="488"/>
      <c r="X263" s="488"/>
      <c r="Y263" s="488"/>
      <c r="Z263" s="488"/>
      <c r="AA263" s="488"/>
      <c r="AB263" s="488"/>
      <c r="AC263" s="488"/>
      <c r="AD263" s="488"/>
      <c r="AE263" s="488"/>
      <c r="AF263" s="488"/>
      <c r="AG263" s="488"/>
      <c r="AH263" s="488"/>
      <c r="AI263" s="488"/>
      <c r="AJ263" s="488"/>
      <c r="AK263" s="488"/>
      <c r="AL263" s="488"/>
      <c r="AM263" s="488"/>
      <c r="AN263" s="488"/>
      <c r="AO263" s="488"/>
      <c r="AP263" s="488"/>
      <c r="AQ263" s="488"/>
      <c r="AR263" s="488"/>
      <c r="AS263" s="488"/>
      <c r="AT263" s="488"/>
      <c r="AU263" s="488"/>
      <c r="AV263" s="488"/>
      <c r="AW263" s="488"/>
      <c r="AX263" s="488"/>
      <c r="AY263" s="488"/>
      <c r="AZ263" s="488"/>
      <c r="BA263" s="488"/>
      <c r="BB263" s="488"/>
      <c r="BC263" s="488"/>
      <c r="BD263" s="488"/>
    </row>
    <row r="264" spans="3:56">
      <c r="C264" s="488"/>
      <c r="D264" s="488"/>
      <c r="E264" s="488"/>
      <c r="F264" s="488"/>
      <c r="G264" s="488"/>
      <c r="H264" s="488"/>
      <c r="I264" s="488"/>
      <c r="J264" s="488"/>
      <c r="K264" s="488"/>
      <c r="L264" s="488"/>
      <c r="M264" s="488"/>
      <c r="N264" s="488"/>
      <c r="O264" s="488"/>
      <c r="P264" s="488"/>
      <c r="Q264" s="488"/>
      <c r="R264" s="488"/>
      <c r="S264" s="488"/>
      <c r="T264" s="488"/>
      <c r="U264" s="488"/>
      <c r="V264" s="488"/>
      <c r="W264" s="488"/>
      <c r="X264" s="488"/>
      <c r="Y264" s="488"/>
      <c r="Z264" s="488"/>
      <c r="AA264" s="488"/>
      <c r="AB264" s="488"/>
      <c r="AC264" s="488"/>
      <c r="AD264" s="488"/>
      <c r="AE264" s="488"/>
      <c r="AF264" s="488"/>
      <c r="AG264" s="488"/>
      <c r="AH264" s="488"/>
      <c r="AI264" s="488"/>
      <c r="AJ264" s="488"/>
      <c r="AK264" s="488"/>
      <c r="AL264" s="488"/>
      <c r="AM264" s="488"/>
      <c r="AN264" s="488"/>
      <c r="AO264" s="488"/>
      <c r="AP264" s="488"/>
      <c r="AQ264" s="488"/>
      <c r="AR264" s="488"/>
      <c r="AS264" s="488"/>
      <c r="AT264" s="488"/>
      <c r="AU264" s="488"/>
      <c r="AV264" s="488"/>
      <c r="AW264" s="488"/>
      <c r="AX264" s="488"/>
      <c r="AY264" s="488"/>
      <c r="AZ264" s="488"/>
      <c r="BA264" s="488"/>
      <c r="BB264" s="488"/>
      <c r="BC264" s="488"/>
      <c r="BD264" s="488"/>
    </row>
    <row r="265" spans="3:56">
      <c r="C265" s="488"/>
      <c r="D265" s="488"/>
      <c r="E265" s="488"/>
      <c r="F265" s="488"/>
      <c r="G265" s="488"/>
      <c r="H265" s="488"/>
      <c r="I265" s="488"/>
      <c r="J265" s="488"/>
      <c r="K265" s="488"/>
      <c r="L265" s="488"/>
      <c r="M265" s="488"/>
      <c r="N265" s="488"/>
      <c r="O265" s="488"/>
      <c r="P265" s="488"/>
      <c r="Q265" s="488"/>
      <c r="R265" s="488"/>
      <c r="S265" s="488"/>
      <c r="T265" s="488"/>
      <c r="U265" s="488"/>
      <c r="V265" s="488"/>
      <c r="W265" s="488"/>
      <c r="X265" s="488"/>
      <c r="Y265" s="488"/>
      <c r="Z265" s="488"/>
      <c r="AA265" s="488"/>
      <c r="AB265" s="488"/>
      <c r="AC265" s="488"/>
      <c r="AD265" s="488"/>
      <c r="AE265" s="488"/>
      <c r="AF265" s="488"/>
      <c r="AG265" s="488"/>
      <c r="AH265" s="488"/>
      <c r="AI265" s="488"/>
      <c r="AJ265" s="488"/>
      <c r="AK265" s="488"/>
      <c r="AL265" s="488"/>
      <c r="AM265" s="488"/>
      <c r="AN265" s="488"/>
      <c r="AO265" s="488"/>
      <c r="AP265" s="488"/>
      <c r="AQ265" s="488"/>
      <c r="AR265" s="488"/>
      <c r="AS265" s="488"/>
      <c r="AT265" s="488"/>
      <c r="AU265" s="488"/>
      <c r="AV265" s="488"/>
      <c r="AW265" s="488"/>
      <c r="AX265" s="488"/>
      <c r="AY265" s="488"/>
      <c r="AZ265" s="488"/>
      <c r="BA265" s="488"/>
      <c r="BB265" s="488"/>
      <c r="BC265" s="488"/>
      <c r="BD265" s="488"/>
    </row>
    <row r="266" spans="3:56">
      <c r="C266" s="488"/>
      <c r="D266" s="488"/>
      <c r="E266" s="488"/>
      <c r="F266" s="488"/>
      <c r="G266" s="488"/>
      <c r="H266" s="488"/>
      <c r="I266" s="488"/>
      <c r="J266" s="488"/>
      <c r="K266" s="488"/>
      <c r="L266" s="488"/>
      <c r="M266" s="488"/>
      <c r="N266" s="488"/>
      <c r="O266" s="488"/>
      <c r="P266" s="488"/>
      <c r="Q266" s="488"/>
      <c r="R266" s="488"/>
      <c r="S266" s="488"/>
      <c r="T266" s="488"/>
      <c r="U266" s="488"/>
      <c r="V266" s="488"/>
      <c r="W266" s="488"/>
      <c r="X266" s="488"/>
      <c r="Y266" s="488"/>
      <c r="Z266" s="488"/>
      <c r="AA266" s="488"/>
      <c r="AB266" s="488"/>
      <c r="AC266" s="488"/>
      <c r="AD266" s="488"/>
      <c r="AE266" s="488"/>
      <c r="AF266" s="488"/>
      <c r="AG266" s="488"/>
      <c r="AH266" s="488"/>
      <c r="AI266" s="488"/>
      <c r="AJ266" s="488"/>
      <c r="AK266" s="488"/>
      <c r="AL266" s="488"/>
      <c r="AM266" s="488"/>
      <c r="AN266" s="488"/>
      <c r="AO266" s="488"/>
      <c r="AP266" s="488"/>
      <c r="AQ266" s="488"/>
      <c r="AR266" s="488"/>
      <c r="AS266" s="488"/>
      <c r="AT266" s="488"/>
      <c r="AU266" s="488"/>
      <c r="AV266" s="488"/>
      <c r="AW266" s="488"/>
      <c r="AX266" s="488"/>
      <c r="AY266" s="488"/>
      <c r="AZ266" s="488"/>
      <c r="BA266" s="488"/>
      <c r="BB266" s="488"/>
      <c r="BC266" s="488"/>
      <c r="BD266" s="488"/>
    </row>
    <row r="267" spans="3:56">
      <c r="C267" s="488"/>
      <c r="D267" s="488"/>
      <c r="E267" s="488"/>
      <c r="F267" s="488"/>
      <c r="G267" s="488"/>
      <c r="H267" s="488"/>
      <c r="I267" s="488"/>
      <c r="J267" s="488"/>
      <c r="K267" s="488"/>
      <c r="L267" s="488"/>
      <c r="M267" s="488"/>
      <c r="N267" s="488"/>
      <c r="O267" s="488"/>
      <c r="P267" s="488"/>
      <c r="Q267" s="488"/>
      <c r="R267" s="488"/>
      <c r="S267" s="488"/>
      <c r="T267" s="488"/>
      <c r="U267" s="488"/>
      <c r="V267" s="488"/>
      <c r="W267" s="488"/>
      <c r="X267" s="488"/>
      <c r="Y267" s="488"/>
      <c r="Z267" s="488"/>
      <c r="AA267" s="488"/>
      <c r="AB267" s="488"/>
      <c r="AC267" s="488"/>
      <c r="AD267" s="488"/>
      <c r="AE267" s="488"/>
      <c r="AF267" s="488"/>
      <c r="AG267" s="488"/>
      <c r="AH267" s="488"/>
      <c r="AI267" s="488"/>
      <c r="AJ267" s="488"/>
      <c r="AK267" s="488"/>
      <c r="AL267" s="488"/>
      <c r="AM267" s="488"/>
      <c r="AN267" s="488"/>
      <c r="AO267" s="488"/>
      <c r="AP267" s="488"/>
      <c r="AQ267" s="488"/>
      <c r="AR267" s="488"/>
      <c r="AS267" s="488"/>
      <c r="AT267" s="488"/>
      <c r="AU267" s="488"/>
      <c r="AV267" s="488"/>
      <c r="AW267" s="488"/>
      <c r="AX267" s="488"/>
      <c r="AY267" s="488"/>
      <c r="AZ267" s="488"/>
      <c r="BA267" s="488"/>
      <c r="BB267" s="488"/>
      <c r="BC267" s="488"/>
      <c r="BD267" s="488"/>
    </row>
    <row r="268" spans="3:56">
      <c r="C268" s="488"/>
      <c r="D268" s="488"/>
      <c r="E268" s="488"/>
      <c r="F268" s="488"/>
      <c r="G268" s="488"/>
      <c r="H268" s="488"/>
      <c r="I268" s="488"/>
      <c r="J268" s="488"/>
      <c r="K268" s="488"/>
      <c r="L268" s="488"/>
      <c r="M268" s="488"/>
      <c r="N268" s="488"/>
      <c r="O268" s="488"/>
      <c r="P268" s="488"/>
      <c r="Q268" s="488"/>
      <c r="R268" s="488"/>
      <c r="S268" s="488"/>
      <c r="T268" s="488"/>
      <c r="U268" s="488"/>
      <c r="V268" s="488"/>
      <c r="W268" s="488"/>
      <c r="X268" s="488"/>
      <c r="Y268" s="488"/>
      <c r="Z268" s="488"/>
      <c r="AA268" s="488"/>
      <c r="AB268" s="488"/>
      <c r="AC268" s="488"/>
      <c r="AD268" s="488"/>
      <c r="AE268" s="488"/>
      <c r="AF268" s="488"/>
      <c r="AG268" s="488"/>
      <c r="AH268" s="488"/>
      <c r="AI268" s="488"/>
      <c r="AJ268" s="488"/>
      <c r="AK268" s="488"/>
      <c r="AL268" s="488"/>
      <c r="AM268" s="488"/>
      <c r="AN268" s="488"/>
      <c r="AO268" s="488"/>
      <c r="AP268" s="488"/>
      <c r="AQ268" s="488"/>
      <c r="AR268" s="488"/>
      <c r="AS268" s="488"/>
      <c r="AT268" s="488"/>
      <c r="AU268" s="488"/>
      <c r="AV268" s="488"/>
      <c r="AW268" s="488"/>
      <c r="AX268" s="488"/>
      <c r="AY268" s="488"/>
      <c r="AZ268" s="488"/>
      <c r="BA268" s="488"/>
      <c r="BB268" s="488"/>
      <c r="BC268" s="488"/>
      <c r="BD268" s="488"/>
    </row>
    <row r="269" spans="3:56">
      <c r="C269" s="488"/>
      <c r="D269" s="488"/>
      <c r="E269" s="488"/>
      <c r="F269" s="488"/>
      <c r="G269" s="488"/>
      <c r="H269" s="488"/>
      <c r="I269" s="488"/>
      <c r="J269" s="488"/>
      <c r="K269" s="488"/>
      <c r="L269" s="488"/>
      <c r="M269" s="488"/>
      <c r="N269" s="488"/>
      <c r="O269" s="488"/>
      <c r="P269" s="488"/>
      <c r="Q269" s="488"/>
      <c r="R269" s="488"/>
      <c r="S269" s="488"/>
      <c r="T269" s="488"/>
      <c r="U269" s="488"/>
      <c r="V269" s="488"/>
      <c r="W269" s="488"/>
      <c r="X269" s="488"/>
      <c r="Y269" s="488"/>
      <c r="Z269" s="488"/>
      <c r="AA269" s="488"/>
      <c r="AB269" s="488"/>
      <c r="AC269" s="488"/>
      <c r="AD269" s="488"/>
      <c r="AE269" s="488"/>
      <c r="AF269" s="488"/>
      <c r="AG269" s="488"/>
      <c r="AH269" s="488"/>
      <c r="AI269" s="488"/>
      <c r="AJ269" s="488"/>
      <c r="AK269" s="488"/>
      <c r="AL269" s="488"/>
      <c r="AM269" s="488"/>
      <c r="AN269" s="488"/>
      <c r="AO269" s="488"/>
      <c r="AP269" s="488"/>
      <c r="AQ269" s="488"/>
      <c r="AR269" s="488"/>
      <c r="AS269" s="488"/>
      <c r="AT269" s="488"/>
      <c r="AU269" s="488"/>
      <c r="AV269" s="488"/>
      <c r="AW269" s="488"/>
      <c r="AX269" s="488"/>
      <c r="AY269" s="488"/>
      <c r="AZ269" s="488"/>
      <c r="BA269" s="488"/>
      <c r="BB269" s="488"/>
      <c r="BC269" s="488"/>
      <c r="BD269" s="488"/>
    </row>
    <row r="270" spans="3:56">
      <c r="C270" s="488"/>
      <c r="D270" s="488"/>
      <c r="E270" s="488"/>
      <c r="F270" s="488"/>
      <c r="G270" s="488"/>
      <c r="H270" s="488"/>
      <c r="I270" s="488"/>
      <c r="J270" s="488"/>
      <c r="K270" s="488"/>
      <c r="L270" s="488"/>
      <c r="M270" s="488"/>
      <c r="N270" s="488"/>
      <c r="O270" s="488"/>
      <c r="P270" s="488"/>
      <c r="Q270" s="488"/>
      <c r="R270" s="488"/>
      <c r="S270" s="488"/>
      <c r="T270" s="488"/>
      <c r="U270" s="488"/>
      <c r="V270" s="488"/>
      <c r="W270" s="488"/>
      <c r="X270" s="488"/>
      <c r="Y270" s="488"/>
      <c r="Z270" s="488"/>
      <c r="AA270" s="488"/>
      <c r="AB270" s="488"/>
      <c r="AC270" s="488"/>
      <c r="AD270" s="488"/>
      <c r="AE270" s="488"/>
      <c r="AF270" s="488"/>
      <c r="AG270" s="488"/>
      <c r="AH270" s="488"/>
      <c r="AI270" s="488"/>
      <c r="AJ270" s="488"/>
      <c r="AK270" s="488"/>
      <c r="AL270" s="488"/>
      <c r="AM270" s="488"/>
      <c r="AN270" s="488"/>
      <c r="AO270" s="488"/>
      <c r="AP270" s="488"/>
      <c r="AQ270" s="488"/>
      <c r="AR270" s="488"/>
      <c r="AS270" s="488"/>
      <c r="AT270" s="488"/>
      <c r="AU270" s="488"/>
      <c r="AV270" s="488"/>
      <c r="AW270" s="488"/>
      <c r="AX270" s="488"/>
      <c r="AY270" s="488"/>
      <c r="AZ270" s="488"/>
      <c r="BA270" s="488"/>
      <c r="BB270" s="488"/>
      <c r="BC270" s="488"/>
      <c r="BD270" s="488"/>
    </row>
    <row r="271" spans="3:56">
      <c r="C271" s="488"/>
      <c r="D271" s="488"/>
      <c r="E271" s="488"/>
      <c r="F271" s="488"/>
      <c r="G271" s="488"/>
      <c r="H271" s="488"/>
      <c r="I271" s="488"/>
      <c r="J271" s="488"/>
      <c r="K271" s="488"/>
      <c r="L271" s="488"/>
      <c r="M271" s="488"/>
      <c r="N271" s="488"/>
      <c r="O271" s="488"/>
      <c r="P271" s="488"/>
      <c r="Q271" s="488"/>
      <c r="R271" s="488"/>
      <c r="S271" s="488"/>
      <c r="T271" s="488"/>
      <c r="U271" s="488"/>
      <c r="V271" s="488"/>
      <c r="W271" s="488"/>
      <c r="X271" s="488"/>
      <c r="Y271" s="488"/>
      <c r="Z271" s="488"/>
      <c r="AA271" s="488"/>
      <c r="AB271" s="488"/>
      <c r="AC271" s="488"/>
      <c r="AD271" s="488"/>
      <c r="AE271" s="488"/>
      <c r="AF271" s="488"/>
      <c r="AG271" s="488"/>
      <c r="AH271" s="488"/>
      <c r="AI271" s="488"/>
      <c r="AJ271" s="488"/>
      <c r="AK271" s="488"/>
      <c r="AL271" s="488"/>
      <c r="AM271" s="488"/>
      <c r="AN271" s="488"/>
      <c r="AO271" s="488"/>
      <c r="AP271" s="488"/>
      <c r="AQ271" s="488"/>
      <c r="AR271" s="488"/>
      <c r="AS271" s="488"/>
      <c r="AT271" s="488"/>
      <c r="AU271" s="488"/>
      <c r="AV271" s="488"/>
      <c r="AW271" s="488"/>
      <c r="AX271" s="488"/>
      <c r="AY271" s="488"/>
      <c r="AZ271" s="488"/>
      <c r="BA271" s="488"/>
      <c r="BB271" s="488"/>
      <c r="BC271" s="488"/>
      <c r="BD271" s="488"/>
    </row>
    <row r="272" spans="3:56">
      <c r="C272" s="488"/>
      <c r="D272" s="488"/>
      <c r="E272" s="488"/>
      <c r="F272" s="488"/>
      <c r="G272" s="488"/>
      <c r="H272" s="488"/>
      <c r="I272" s="488"/>
      <c r="J272" s="488"/>
      <c r="K272" s="488"/>
      <c r="L272" s="488"/>
      <c r="M272" s="488"/>
      <c r="N272" s="488"/>
      <c r="O272" s="488"/>
      <c r="P272" s="488"/>
      <c r="Q272" s="488"/>
      <c r="R272" s="488"/>
      <c r="S272" s="488"/>
      <c r="T272" s="488"/>
      <c r="U272" s="488"/>
      <c r="V272" s="488"/>
      <c r="W272" s="488"/>
      <c r="X272" s="488"/>
      <c r="Y272" s="488"/>
      <c r="Z272" s="488"/>
      <c r="AA272" s="488"/>
      <c r="AB272" s="488"/>
      <c r="AC272" s="488"/>
      <c r="AD272" s="488"/>
      <c r="AE272" s="488"/>
      <c r="AF272" s="488"/>
      <c r="AG272" s="488"/>
      <c r="AH272" s="488"/>
      <c r="AI272" s="488"/>
      <c r="AJ272" s="488"/>
      <c r="AK272" s="488"/>
      <c r="AL272" s="488"/>
      <c r="AM272" s="488"/>
      <c r="AN272" s="488"/>
      <c r="AO272" s="488"/>
      <c r="AP272" s="488"/>
      <c r="AQ272" s="488"/>
      <c r="AR272" s="488"/>
      <c r="AS272" s="488"/>
      <c r="AT272" s="488"/>
      <c r="AU272" s="488"/>
      <c r="AV272" s="488"/>
      <c r="AW272" s="488"/>
      <c r="AX272" s="488"/>
      <c r="AY272" s="488"/>
      <c r="AZ272" s="488"/>
      <c r="BA272" s="488"/>
      <c r="BB272" s="488"/>
      <c r="BC272" s="488"/>
      <c r="BD272" s="488"/>
    </row>
    <row r="273" spans="3:56">
      <c r="C273" s="488"/>
      <c r="D273" s="488"/>
      <c r="E273" s="488"/>
      <c r="F273" s="488"/>
      <c r="G273" s="488"/>
      <c r="H273" s="488"/>
      <c r="I273" s="488"/>
      <c r="J273" s="488"/>
      <c r="K273" s="488"/>
      <c r="L273" s="488"/>
      <c r="M273" s="488"/>
      <c r="N273" s="488"/>
      <c r="O273" s="488"/>
      <c r="P273" s="488"/>
      <c r="Q273" s="488"/>
      <c r="R273" s="488"/>
      <c r="S273" s="488"/>
      <c r="T273" s="488"/>
      <c r="U273" s="488"/>
      <c r="V273" s="488"/>
      <c r="W273" s="488"/>
      <c r="X273" s="488"/>
      <c r="Y273" s="488"/>
      <c r="Z273" s="488"/>
      <c r="AA273" s="488"/>
      <c r="AB273" s="488"/>
      <c r="AC273" s="488"/>
      <c r="AD273" s="488"/>
      <c r="AE273" s="488"/>
      <c r="AF273" s="488"/>
      <c r="AG273" s="488"/>
      <c r="AH273" s="488"/>
      <c r="AI273" s="488"/>
      <c r="AJ273" s="488"/>
      <c r="AK273" s="488"/>
      <c r="AL273" s="488"/>
      <c r="AM273" s="488"/>
      <c r="AN273" s="488"/>
      <c r="AO273" s="488"/>
      <c r="AP273" s="488"/>
      <c r="AQ273" s="488"/>
      <c r="AR273" s="488"/>
      <c r="AS273" s="488"/>
      <c r="AT273" s="488"/>
      <c r="AU273" s="488"/>
      <c r="AV273" s="488"/>
      <c r="AW273" s="488"/>
      <c r="AX273" s="488"/>
      <c r="AY273" s="488"/>
      <c r="AZ273" s="488"/>
      <c r="BA273" s="488"/>
      <c r="BB273" s="488"/>
      <c r="BC273" s="488"/>
      <c r="BD273" s="488"/>
    </row>
    <row r="274" spans="3:56">
      <c r="C274" s="488"/>
      <c r="D274" s="488"/>
      <c r="E274" s="488"/>
      <c r="F274" s="488"/>
      <c r="G274" s="488"/>
      <c r="H274" s="488"/>
      <c r="I274" s="488"/>
      <c r="J274" s="488"/>
      <c r="K274" s="488"/>
      <c r="L274" s="488"/>
      <c r="M274" s="488"/>
      <c r="N274" s="488"/>
      <c r="O274" s="488"/>
      <c r="P274" s="488"/>
      <c r="Q274" s="488"/>
      <c r="R274" s="488"/>
      <c r="S274" s="488"/>
      <c r="T274" s="488"/>
      <c r="U274" s="488"/>
      <c r="V274" s="488"/>
      <c r="W274" s="488"/>
      <c r="X274" s="488"/>
      <c r="Y274" s="488"/>
      <c r="Z274" s="488"/>
      <c r="AA274" s="488"/>
      <c r="AB274" s="488"/>
      <c r="AC274" s="488"/>
      <c r="AD274" s="488"/>
      <c r="AE274" s="488"/>
      <c r="AF274" s="488"/>
      <c r="AG274" s="488"/>
      <c r="AH274" s="488"/>
      <c r="AI274" s="488"/>
      <c r="AJ274" s="488"/>
      <c r="AK274" s="488"/>
      <c r="AL274" s="488"/>
      <c r="AM274" s="488"/>
      <c r="AN274" s="488"/>
      <c r="AO274" s="488"/>
      <c r="AP274" s="488"/>
      <c r="AQ274" s="488"/>
      <c r="AR274" s="488"/>
      <c r="AS274" s="488"/>
      <c r="AT274" s="488"/>
      <c r="AU274" s="488"/>
      <c r="AV274" s="488"/>
      <c r="AW274" s="488"/>
      <c r="AX274" s="488"/>
      <c r="AY274" s="488"/>
      <c r="AZ274" s="488"/>
      <c r="BA274" s="488"/>
      <c r="BB274" s="488"/>
      <c r="BC274" s="488"/>
      <c r="BD274" s="488"/>
    </row>
    <row r="275" spans="3:56">
      <c r="C275" s="48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c r="AH275" s="488"/>
      <c r="AI275" s="488"/>
      <c r="AJ275" s="488"/>
      <c r="AK275" s="488"/>
      <c r="AL275" s="488"/>
      <c r="AM275" s="488"/>
      <c r="AN275" s="488"/>
      <c r="AO275" s="488"/>
      <c r="AP275" s="488"/>
      <c r="AQ275" s="488"/>
      <c r="AR275" s="488"/>
      <c r="AS275" s="488"/>
      <c r="AT275" s="488"/>
      <c r="AU275" s="488"/>
      <c r="AV275" s="488"/>
      <c r="AW275" s="488"/>
      <c r="AX275" s="488"/>
      <c r="AY275" s="488"/>
      <c r="AZ275" s="488"/>
      <c r="BA275" s="488"/>
      <c r="BB275" s="488"/>
      <c r="BC275" s="488"/>
      <c r="BD275" s="488"/>
    </row>
    <row r="276" spans="3:56">
      <c r="C276" s="48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488"/>
      <c r="AI276" s="488"/>
      <c r="AJ276" s="488"/>
      <c r="AK276" s="488"/>
      <c r="AL276" s="488"/>
      <c r="AM276" s="488"/>
      <c r="AN276" s="488"/>
      <c r="AO276" s="488"/>
      <c r="AP276" s="488"/>
      <c r="AQ276" s="488"/>
      <c r="AR276" s="488"/>
      <c r="AS276" s="488"/>
      <c r="AT276" s="488"/>
      <c r="AU276" s="488"/>
      <c r="AV276" s="488"/>
      <c r="AW276" s="488"/>
      <c r="AX276" s="488"/>
      <c r="AY276" s="488"/>
      <c r="AZ276" s="488"/>
      <c r="BA276" s="488"/>
      <c r="BB276" s="488"/>
      <c r="BC276" s="488"/>
      <c r="BD276" s="488"/>
    </row>
    <row r="277" spans="3:56">
      <c r="C277" s="488"/>
      <c r="D277" s="488"/>
      <c r="E277" s="488"/>
      <c r="F277" s="488"/>
      <c r="G277" s="488"/>
      <c r="H277" s="488"/>
      <c r="I277" s="488"/>
      <c r="J277" s="488"/>
      <c r="K277" s="488"/>
      <c r="L277" s="488"/>
      <c r="M277" s="488"/>
      <c r="N277" s="488"/>
      <c r="O277" s="488"/>
      <c r="P277" s="488"/>
      <c r="Q277" s="488"/>
      <c r="R277" s="488"/>
      <c r="S277" s="488"/>
      <c r="T277" s="488"/>
      <c r="U277" s="488"/>
      <c r="V277" s="488"/>
      <c r="W277" s="488"/>
      <c r="X277" s="488"/>
      <c r="Y277" s="488"/>
      <c r="Z277" s="488"/>
      <c r="AA277" s="488"/>
      <c r="AB277" s="488"/>
      <c r="AC277" s="488"/>
      <c r="AD277" s="488"/>
      <c r="AE277" s="488"/>
      <c r="AF277" s="488"/>
      <c r="AG277" s="488"/>
      <c r="AH277" s="488"/>
      <c r="AI277" s="488"/>
      <c r="AJ277" s="488"/>
      <c r="AK277" s="488"/>
      <c r="AL277" s="488"/>
      <c r="AM277" s="488"/>
      <c r="AN277" s="488"/>
      <c r="AO277" s="488"/>
      <c r="AP277" s="488"/>
      <c r="AQ277" s="488"/>
      <c r="AR277" s="488"/>
      <c r="AS277" s="488"/>
      <c r="AT277" s="488"/>
      <c r="AU277" s="488"/>
      <c r="AV277" s="488"/>
      <c r="AW277" s="488"/>
      <c r="AX277" s="488"/>
      <c r="AY277" s="488"/>
      <c r="AZ277" s="488"/>
      <c r="BA277" s="488"/>
      <c r="BB277" s="488"/>
      <c r="BC277" s="488"/>
      <c r="BD277" s="488"/>
    </row>
    <row r="278" spans="3:56">
      <c r="C278" s="488"/>
      <c r="D278" s="488"/>
      <c r="E278" s="488"/>
      <c r="F278" s="488"/>
      <c r="G278" s="488"/>
      <c r="H278" s="488"/>
      <c r="I278" s="488"/>
      <c r="J278" s="488"/>
      <c r="K278" s="488"/>
      <c r="L278" s="488"/>
      <c r="M278" s="488"/>
      <c r="N278" s="488"/>
      <c r="O278" s="488"/>
      <c r="P278" s="488"/>
      <c r="Q278" s="488"/>
      <c r="R278" s="488"/>
      <c r="S278" s="488"/>
      <c r="T278" s="488"/>
      <c r="U278" s="488"/>
      <c r="V278" s="488"/>
      <c r="W278" s="488"/>
      <c r="X278" s="488"/>
      <c r="Y278" s="488"/>
      <c r="Z278" s="488"/>
      <c r="AA278" s="488"/>
      <c r="AB278" s="488"/>
      <c r="AC278" s="488"/>
      <c r="AD278" s="488"/>
      <c r="AE278" s="488"/>
      <c r="AF278" s="488"/>
      <c r="AG278" s="488"/>
      <c r="AH278" s="488"/>
      <c r="AI278" s="488"/>
      <c r="AJ278" s="488"/>
      <c r="AK278" s="488"/>
      <c r="AL278" s="488"/>
      <c r="AM278" s="488"/>
      <c r="AN278" s="488"/>
      <c r="AO278" s="488"/>
      <c r="AP278" s="488"/>
      <c r="AQ278" s="488"/>
      <c r="AR278" s="488"/>
      <c r="AS278" s="488"/>
      <c r="AT278" s="488"/>
      <c r="AU278" s="488"/>
      <c r="AV278" s="488"/>
      <c r="AW278" s="488"/>
      <c r="AX278" s="488"/>
      <c r="AY278" s="488"/>
      <c r="AZ278" s="488"/>
      <c r="BA278" s="488"/>
      <c r="BB278" s="488"/>
      <c r="BC278" s="488"/>
      <c r="BD278" s="488"/>
    </row>
    <row r="279" spans="3:56">
      <c r="C279" s="488"/>
      <c r="D279" s="488"/>
      <c r="E279" s="488"/>
      <c r="F279" s="488"/>
      <c r="G279" s="488"/>
      <c r="H279" s="488"/>
      <c r="I279" s="488"/>
      <c r="J279" s="488"/>
      <c r="K279" s="488"/>
      <c r="L279" s="488"/>
      <c r="M279" s="488"/>
      <c r="N279" s="488"/>
      <c r="O279" s="488"/>
      <c r="P279" s="488"/>
      <c r="Q279" s="488"/>
      <c r="R279" s="488"/>
      <c r="S279" s="488"/>
      <c r="T279" s="488"/>
      <c r="U279" s="488"/>
      <c r="V279" s="488"/>
      <c r="W279" s="488"/>
      <c r="X279" s="488"/>
      <c r="Y279" s="488"/>
      <c r="Z279" s="488"/>
      <c r="AA279" s="488"/>
      <c r="AB279" s="488"/>
      <c r="AC279" s="488"/>
      <c r="AD279" s="488"/>
      <c r="AE279" s="488"/>
      <c r="AF279" s="488"/>
      <c r="AG279" s="488"/>
      <c r="AH279" s="488"/>
      <c r="AI279" s="488"/>
      <c r="AJ279" s="488"/>
      <c r="AK279" s="488"/>
      <c r="AL279" s="488"/>
      <c r="AM279" s="488"/>
      <c r="AN279" s="488"/>
      <c r="AO279" s="488"/>
      <c r="AP279" s="488"/>
      <c r="AQ279" s="488"/>
      <c r="AR279" s="488"/>
      <c r="AS279" s="488"/>
      <c r="AT279" s="488"/>
      <c r="AU279" s="488"/>
      <c r="AV279" s="488"/>
      <c r="AW279" s="488"/>
      <c r="AX279" s="488"/>
      <c r="AY279" s="488"/>
      <c r="AZ279" s="488"/>
      <c r="BA279" s="488"/>
      <c r="BB279" s="488"/>
      <c r="BC279" s="488"/>
      <c r="BD279" s="488"/>
    </row>
    <row r="280" spans="3:56">
      <c r="C280" s="488"/>
      <c r="D280" s="488"/>
      <c r="E280" s="488"/>
      <c r="F280" s="488"/>
      <c r="G280" s="488"/>
      <c r="H280" s="488"/>
      <c r="I280" s="488"/>
      <c r="J280" s="488"/>
      <c r="K280" s="488"/>
      <c r="L280" s="488"/>
      <c r="M280" s="488"/>
      <c r="N280" s="488"/>
      <c r="O280" s="488"/>
      <c r="P280" s="488"/>
      <c r="Q280" s="488"/>
      <c r="R280" s="488"/>
      <c r="S280" s="488"/>
      <c r="T280" s="488"/>
      <c r="U280" s="488"/>
      <c r="V280" s="488"/>
      <c r="W280" s="488"/>
      <c r="X280" s="488"/>
      <c r="Y280" s="488"/>
      <c r="Z280" s="488"/>
      <c r="AA280" s="488"/>
      <c r="AB280" s="488"/>
      <c r="AC280" s="488"/>
      <c r="AD280" s="488"/>
      <c r="AE280" s="488"/>
      <c r="AF280" s="488"/>
      <c r="AG280" s="488"/>
      <c r="AH280" s="488"/>
      <c r="AI280" s="488"/>
      <c r="AJ280" s="488"/>
      <c r="AK280" s="488"/>
      <c r="AL280" s="488"/>
      <c r="AM280" s="488"/>
      <c r="AN280" s="488"/>
      <c r="AO280" s="488"/>
      <c r="AP280" s="488"/>
      <c r="AQ280" s="488"/>
      <c r="AR280" s="488"/>
      <c r="AS280" s="488"/>
      <c r="AT280" s="488"/>
      <c r="AU280" s="488"/>
      <c r="AV280" s="488"/>
      <c r="AW280" s="488"/>
      <c r="AX280" s="488"/>
      <c r="AY280" s="488"/>
      <c r="AZ280" s="488"/>
      <c r="BA280" s="488"/>
      <c r="BB280" s="488"/>
      <c r="BC280" s="488"/>
      <c r="BD280" s="488"/>
    </row>
    <row r="281" spans="3:56">
      <c r="C281" s="488"/>
      <c r="D281" s="488"/>
      <c r="E281" s="488"/>
      <c r="F281" s="488"/>
      <c r="G281" s="488"/>
      <c r="H281" s="488"/>
      <c r="I281" s="488"/>
      <c r="J281" s="488"/>
      <c r="K281" s="488"/>
      <c r="L281" s="488"/>
      <c r="M281" s="488"/>
      <c r="N281" s="488"/>
      <c r="O281" s="488"/>
      <c r="P281" s="488"/>
      <c r="Q281" s="488"/>
      <c r="R281" s="488"/>
      <c r="S281" s="488"/>
      <c r="T281" s="488"/>
      <c r="U281" s="488"/>
      <c r="V281" s="488"/>
      <c r="W281" s="488"/>
      <c r="X281" s="488"/>
      <c r="Y281" s="488"/>
      <c r="Z281" s="488"/>
      <c r="AA281" s="488"/>
      <c r="AB281" s="488"/>
      <c r="AC281" s="488"/>
      <c r="AD281" s="488"/>
      <c r="AE281" s="488"/>
      <c r="AF281" s="488"/>
      <c r="AG281" s="488"/>
      <c r="AH281" s="488"/>
      <c r="AI281" s="488"/>
      <c r="AJ281" s="488"/>
      <c r="AK281" s="488"/>
      <c r="AL281" s="488"/>
      <c r="AM281" s="488"/>
      <c r="AN281" s="488"/>
      <c r="AO281" s="488"/>
      <c r="AP281" s="488"/>
      <c r="AQ281" s="488"/>
      <c r="AR281" s="488"/>
      <c r="AS281" s="488"/>
      <c r="AT281" s="488"/>
      <c r="AU281" s="488"/>
      <c r="AV281" s="488"/>
      <c r="AW281" s="488"/>
      <c r="AX281" s="488"/>
      <c r="AY281" s="488"/>
      <c r="AZ281" s="488"/>
      <c r="BA281" s="488"/>
      <c r="BB281" s="488"/>
      <c r="BC281" s="488"/>
      <c r="BD281" s="488"/>
    </row>
    <row r="282" spans="3:56">
      <c r="C282" s="488"/>
      <c r="D282" s="488"/>
      <c r="E282" s="488"/>
      <c r="F282" s="488"/>
      <c r="G282" s="488"/>
      <c r="H282" s="488"/>
      <c r="I282" s="488"/>
      <c r="J282" s="488"/>
      <c r="K282" s="488"/>
      <c r="L282" s="488"/>
      <c r="M282" s="488"/>
      <c r="N282" s="488"/>
      <c r="O282" s="488"/>
      <c r="P282" s="488"/>
      <c r="Q282" s="488"/>
      <c r="R282" s="488"/>
      <c r="S282" s="488"/>
      <c r="T282" s="488"/>
      <c r="U282" s="488"/>
      <c r="V282" s="488"/>
      <c r="W282" s="488"/>
      <c r="X282" s="488"/>
      <c r="Y282" s="488"/>
      <c r="Z282" s="488"/>
      <c r="AA282" s="488"/>
      <c r="AB282" s="488"/>
      <c r="AC282" s="488"/>
      <c r="AD282" s="488"/>
      <c r="AE282" s="488"/>
      <c r="AF282" s="488"/>
      <c r="AG282" s="488"/>
      <c r="AH282" s="488"/>
      <c r="AI282" s="488"/>
      <c r="AJ282" s="488"/>
      <c r="AK282" s="488"/>
      <c r="AL282" s="488"/>
      <c r="AM282" s="488"/>
      <c r="AN282" s="488"/>
      <c r="AO282" s="488"/>
      <c r="AP282" s="488"/>
      <c r="AQ282" s="488"/>
      <c r="AR282" s="488"/>
      <c r="AS282" s="488"/>
      <c r="AT282" s="488"/>
      <c r="AU282" s="488"/>
      <c r="AV282" s="488"/>
      <c r="AW282" s="488"/>
      <c r="AX282" s="488"/>
      <c r="AY282" s="488"/>
      <c r="AZ282" s="488"/>
      <c r="BA282" s="488"/>
      <c r="BB282" s="488"/>
      <c r="BC282" s="488"/>
      <c r="BD282" s="488"/>
    </row>
    <row r="283" spans="3:56">
      <c r="C283" s="488"/>
      <c r="D283" s="488"/>
      <c r="E283" s="488"/>
      <c r="F283" s="488"/>
      <c r="G283" s="488"/>
      <c r="H283" s="488"/>
      <c r="I283" s="488"/>
      <c r="J283" s="488"/>
      <c r="K283" s="488"/>
      <c r="L283" s="488"/>
      <c r="M283" s="488"/>
      <c r="N283" s="488"/>
      <c r="O283" s="488"/>
      <c r="P283" s="488"/>
      <c r="Q283" s="488"/>
      <c r="R283" s="488"/>
      <c r="S283" s="488"/>
      <c r="T283" s="488"/>
      <c r="U283" s="488"/>
      <c r="V283" s="488"/>
      <c r="W283" s="488"/>
      <c r="X283" s="488"/>
      <c r="Y283" s="488"/>
      <c r="Z283" s="488"/>
      <c r="AA283" s="488"/>
      <c r="AB283" s="488"/>
      <c r="AC283" s="488"/>
      <c r="AD283" s="488"/>
      <c r="AE283" s="488"/>
      <c r="AF283" s="488"/>
      <c r="AG283" s="488"/>
      <c r="AH283" s="488"/>
      <c r="AI283" s="488"/>
      <c r="AJ283" s="488"/>
      <c r="AK283" s="488"/>
      <c r="AL283" s="488"/>
      <c r="AM283" s="488"/>
      <c r="AN283" s="488"/>
      <c r="AO283" s="488"/>
      <c r="AP283" s="488"/>
      <c r="AQ283" s="488"/>
      <c r="AR283" s="488"/>
      <c r="AS283" s="488"/>
      <c r="AT283" s="488"/>
      <c r="AU283" s="488"/>
      <c r="AV283" s="488"/>
      <c r="AW283" s="488"/>
      <c r="AX283" s="488"/>
      <c r="AY283" s="488"/>
      <c r="AZ283" s="488"/>
      <c r="BA283" s="488"/>
      <c r="BB283" s="488"/>
      <c r="BC283" s="488"/>
      <c r="BD283" s="488"/>
    </row>
    <row r="284" spans="3:56">
      <c r="C284" s="488"/>
      <c r="D284" s="488"/>
      <c r="E284" s="488"/>
      <c r="F284" s="488"/>
      <c r="G284" s="488"/>
      <c r="H284" s="488"/>
      <c r="I284" s="488"/>
      <c r="J284" s="488"/>
      <c r="K284" s="488"/>
      <c r="L284" s="488"/>
      <c r="M284" s="488"/>
      <c r="N284" s="488"/>
      <c r="O284" s="488"/>
      <c r="P284" s="488"/>
      <c r="Q284" s="488"/>
      <c r="R284" s="488"/>
      <c r="S284" s="488"/>
      <c r="T284" s="488"/>
      <c r="U284" s="488"/>
      <c r="V284" s="488"/>
      <c r="W284" s="488"/>
      <c r="X284" s="488"/>
      <c r="Y284" s="488"/>
      <c r="Z284" s="488"/>
      <c r="AA284" s="488"/>
      <c r="AB284" s="488"/>
      <c r="AC284" s="488"/>
      <c r="AD284" s="488"/>
      <c r="AE284" s="488"/>
      <c r="AF284" s="488"/>
      <c r="AG284" s="488"/>
      <c r="AH284" s="488"/>
      <c r="AI284" s="488"/>
      <c r="AJ284" s="488"/>
      <c r="AK284" s="488"/>
      <c r="AL284" s="488"/>
      <c r="AM284" s="488"/>
      <c r="AN284" s="488"/>
      <c r="AO284" s="488"/>
      <c r="AP284" s="488"/>
      <c r="AQ284" s="488"/>
      <c r="AR284" s="488"/>
      <c r="AS284" s="488"/>
      <c r="AT284" s="488"/>
      <c r="AU284" s="488"/>
      <c r="AV284" s="488"/>
      <c r="AW284" s="488"/>
      <c r="AX284" s="488"/>
      <c r="AY284" s="488"/>
      <c r="AZ284" s="488"/>
      <c r="BA284" s="488"/>
      <c r="BB284" s="488"/>
      <c r="BC284" s="488"/>
      <c r="BD284" s="488"/>
    </row>
    <row r="285" spans="3:56">
      <c r="C285" s="488"/>
      <c r="D285" s="488"/>
      <c r="E285" s="488"/>
      <c r="F285" s="488"/>
      <c r="G285" s="488"/>
      <c r="H285" s="488"/>
      <c r="I285" s="488"/>
      <c r="J285" s="488"/>
      <c r="K285" s="488"/>
      <c r="L285" s="488"/>
      <c r="M285" s="488"/>
      <c r="N285" s="488"/>
      <c r="O285" s="488"/>
      <c r="P285" s="488"/>
      <c r="Q285" s="488"/>
      <c r="R285" s="488"/>
      <c r="S285" s="488"/>
      <c r="T285" s="488"/>
      <c r="U285" s="488"/>
      <c r="V285" s="488"/>
      <c r="W285" s="488"/>
      <c r="X285" s="488"/>
      <c r="Y285" s="488"/>
      <c r="Z285" s="488"/>
      <c r="AA285" s="488"/>
      <c r="AB285" s="488"/>
      <c r="AC285" s="488"/>
      <c r="AD285" s="488"/>
      <c r="AE285" s="488"/>
      <c r="AF285" s="488"/>
      <c r="AG285" s="488"/>
      <c r="AH285" s="488"/>
      <c r="AI285" s="488"/>
      <c r="AJ285" s="488"/>
      <c r="AK285" s="488"/>
      <c r="AL285" s="488"/>
      <c r="AM285" s="488"/>
      <c r="AN285" s="488"/>
      <c r="AO285" s="488"/>
      <c r="AP285" s="488"/>
      <c r="AQ285" s="488"/>
      <c r="AR285" s="488"/>
      <c r="AS285" s="488"/>
      <c r="AT285" s="488"/>
      <c r="AU285" s="488"/>
      <c r="AV285" s="488"/>
      <c r="AW285" s="488"/>
      <c r="AX285" s="488"/>
      <c r="AY285" s="488"/>
      <c r="AZ285" s="488"/>
      <c r="BA285" s="488"/>
      <c r="BB285" s="488"/>
      <c r="BC285" s="488"/>
      <c r="BD285" s="488"/>
    </row>
    <row r="286" spans="3:56">
      <c r="C286" s="488"/>
      <c r="D286" s="488"/>
      <c r="E286" s="488"/>
      <c r="F286" s="488"/>
      <c r="G286" s="488"/>
      <c r="H286" s="488"/>
      <c r="I286" s="488"/>
      <c r="J286" s="488"/>
      <c r="K286" s="488"/>
      <c r="L286" s="488"/>
      <c r="M286" s="488"/>
      <c r="N286" s="488"/>
      <c r="O286" s="488"/>
      <c r="P286" s="488"/>
      <c r="Q286" s="488"/>
      <c r="R286" s="488"/>
      <c r="S286" s="488"/>
      <c r="T286" s="488"/>
      <c r="U286" s="488"/>
      <c r="V286" s="488"/>
      <c r="W286" s="488"/>
      <c r="X286" s="488"/>
      <c r="Y286" s="488"/>
      <c r="Z286" s="488"/>
      <c r="AA286" s="488"/>
      <c r="AB286" s="488"/>
      <c r="AC286" s="488"/>
      <c r="AD286" s="488"/>
      <c r="AE286" s="488"/>
      <c r="AF286" s="488"/>
      <c r="AG286" s="488"/>
      <c r="AH286" s="488"/>
      <c r="AI286" s="488"/>
      <c r="AJ286" s="488"/>
      <c r="AK286" s="488"/>
      <c r="AL286" s="488"/>
      <c r="AM286" s="488"/>
      <c r="AN286" s="488"/>
      <c r="AO286" s="488"/>
      <c r="AP286" s="488"/>
      <c r="AQ286" s="488"/>
      <c r="AR286" s="488"/>
      <c r="AS286" s="488"/>
      <c r="AT286" s="488"/>
      <c r="AU286" s="488"/>
      <c r="AV286" s="488"/>
      <c r="AW286" s="488"/>
      <c r="AX286" s="488"/>
      <c r="AY286" s="488"/>
      <c r="AZ286" s="488"/>
      <c r="BA286" s="488"/>
      <c r="BB286" s="488"/>
      <c r="BC286" s="488"/>
      <c r="BD286" s="488"/>
    </row>
    <row r="287" spans="3:56">
      <c r="C287" s="488"/>
      <c r="D287" s="488"/>
      <c r="E287" s="488"/>
      <c r="F287" s="488"/>
      <c r="G287" s="488"/>
      <c r="H287" s="488"/>
      <c r="I287" s="488"/>
      <c r="J287" s="488"/>
      <c r="K287" s="488"/>
      <c r="L287" s="488"/>
      <c r="M287" s="488"/>
      <c r="N287" s="488"/>
      <c r="O287" s="488"/>
      <c r="P287" s="488"/>
      <c r="Q287" s="488"/>
      <c r="R287" s="488"/>
      <c r="S287" s="488"/>
      <c r="T287" s="488"/>
      <c r="U287" s="488"/>
      <c r="V287" s="488"/>
      <c r="W287" s="488"/>
      <c r="X287" s="488"/>
      <c r="Y287" s="488"/>
      <c r="Z287" s="488"/>
      <c r="AA287" s="488"/>
      <c r="AB287" s="488"/>
      <c r="AC287" s="488"/>
      <c r="AD287" s="488"/>
      <c r="AE287" s="488"/>
      <c r="AF287" s="488"/>
      <c r="AG287" s="488"/>
      <c r="AH287" s="488"/>
      <c r="AI287" s="488"/>
      <c r="AJ287" s="488"/>
      <c r="AK287" s="488"/>
      <c r="AL287" s="488"/>
      <c r="AM287" s="488"/>
      <c r="AN287" s="488"/>
      <c r="AO287" s="488"/>
      <c r="AP287" s="488"/>
      <c r="AQ287" s="488"/>
      <c r="AR287" s="488"/>
      <c r="AS287" s="488"/>
      <c r="AT287" s="488"/>
      <c r="AU287" s="488"/>
      <c r="AV287" s="488"/>
      <c r="AW287" s="488"/>
      <c r="AX287" s="488"/>
      <c r="AY287" s="488"/>
      <c r="AZ287" s="488"/>
      <c r="BA287" s="488"/>
      <c r="BB287" s="488"/>
      <c r="BC287" s="488"/>
      <c r="BD287" s="488"/>
    </row>
    <row r="288" spans="3:56">
      <c r="C288" s="488"/>
      <c r="D288" s="488"/>
      <c r="E288" s="488"/>
      <c r="F288" s="488"/>
      <c r="G288" s="488"/>
      <c r="H288" s="488"/>
      <c r="I288" s="488"/>
      <c r="J288" s="488"/>
      <c r="K288" s="488"/>
      <c r="L288" s="488"/>
      <c r="M288" s="488"/>
      <c r="N288" s="488"/>
      <c r="O288" s="488"/>
      <c r="P288" s="488"/>
      <c r="Q288" s="488"/>
      <c r="R288" s="488"/>
      <c r="S288" s="488"/>
      <c r="T288" s="488"/>
      <c r="U288" s="488"/>
      <c r="V288" s="488"/>
      <c r="W288" s="488"/>
      <c r="X288" s="488"/>
      <c r="Y288" s="488"/>
      <c r="Z288" s="488"/>
      <c r="AA288" s="488"/>
      <c r="AB288" s="488"/>
      <c r="AC288" s="488"/>
      <c r="AD288" s="488"/>
      <c r="AE288" s="488"/>
      <c r="AF288" s="488"/>
      <c r="AG288" s="488"/>
      <c r="AH288" s="488"/>
      <c r="AI288" s="488"/>
      <c r="AJ288" s="488"/>
      <c r="AK288" s="488"/>
      <c r="AL288" s="488"/>
      <c r="AM288" s="488"/>
      <c r="AN288" s="488"/>
      <c r="AO288" s="488"/>
      <c r="AP288" s="488"/>
      <c r="AQ288" s="488"/>
      <c r="AR288" s="488"/>
      <c r="AS288" s="488"/>
      <c r="AT288" s="488"/>
      <c r="AU288" s="488"/>
      <c r="AV288" s="488"/>
      <c r="AW288" s="488"/>
      <c r="AX288" s="488"/>
      <c r="AY288" s="488"/>
      <c r="AZ288" s="488"/>
      <c r="BA288" s="488"/>
      <c r="BB288" s="488"/>
      <c r="BC288" s="488"/>
      <c r="BD288" s="488"/>
    </row>
    <row r="289" spans="3:56">
      <c r="C289" s="488"/>
      <c r="D289" s="488"/>
      <c r="E289" s="488"/>
      <c r="F289" s="488"/>
      <c r="G289" s="488"/>
      <c r="H289" s="488"/>
      <c r="I289" s="488"/>
      <c r="J289" s="488"/>
      <c r="K289" s="488"/>
      <c r="L289" s="488"/>
      <c r="M289" s="488"/>
      <c r="N289" s="488"/>
      <c r="O289" s="488"/>
      <c r="P289" s="488"/>
      <c r="Q289" s="488"/>
      <c r="R289" s="488"/>
      <c r="S289" s="488"/>
      <c r="T289" s="488"/>
      <c r="U289" s="488"/>
      <c r="V289" s="488"/>
      <c r="W289" s="488"/>
      <c r="X289" s="488"/>
      <c r="Y289" s="488"/>
      <c r="Z289" s="488"/>
      <c r="AA289" s="488"/>
      <c r="AB289" s="488"/>
      <c r="AC289" s="488"/>
      <c r="AD289" s="488"/>
      <c r="AE289" s="488"/>
      <c r="AF289" s="488"/>
      <c r="AG289" s="488"/>
      <c r="AH289" s="488"/>
      <c r="AI289" s="488"/>
      <c r="AJ289" s="488"/>
      <c r="AK289" s="488"/>
      <c r="AL289" s="488"/>
      <c r="AM289" s="488"/>
      <c r="AN289" s="488"/>
      <c r="AO289" s="488"/>
      <c r="AP289" s="488"/>
      <c r="AQ289" s="488"/>
      <c r="AR289" s="488"/>
      <c r="AS289" s="488"/>
      <c r="AT289" s="488"/>
      <c r="AU289" s="488"/>
      <c r="AV289" s="488"/>
      <c r="AW289" s="488"/>
      <c r="AX289" s="488"/>
      <c r="AY289" s="488"/>
      <c r="AZ289" s="488"/>
      <c r="BA289" s="488"/>
      <c r="BB289" s="488"/>
      <c r="BC289" s="488"/>
      <c r="BD289" s="488"/>
    </row>
    <row r="290" spans="3:56">
      <c r="C290" s="488"/>
      <c r="D290" s="488"/>
      <c r="E290" s="488"/>
      <c r="F290" s="488"/>
      <c r="G290" s="488"/>
      <c r="H290" s="488"/>
      <c r="I290" s="488"/>
      <c r="J290" s="488"/>
      <c r="K290" s="488"/>
      <c r="L290" s="488"/>
      <c r="M290" s="488"/>
      <c r="N290" s="488"/>
      <c r="O290" s="488"/>
      <c r="P290" s="488"/>
      <c r="Q290" s="488"/>
      <c r="R290" s="488"/>
      <c r="S290" s="488"/>
      <c r="T290" s="488"/>
      <c r="U290" s="488"/>
      <c r="V290" s="488"/>
      <c r="W290" s="488"/>
      <c r="X290" s="488"/>
      <c r="Y290" s="488"/>
      <c r="Z290" s="488"/>
      <c r="AA290" s="488"/>
      <c r="AB290" s="488"/>
      <c r="AC290" s="488"/>
      <c r="AD290" s="488"/>
      <c r="AE290" s="488"/>
      <c r="AF290" s="488"/>
      <c r="AG290" s="488"/>
      <c r="AH290" s="488"/>
      <c r="AI290" s="488"/>
      <c r="AJ290" s="488"/>
      <c r="AK290" s="488"/>
      <c r="AL290" s="488"/>
      <c r="AM290" s="488"/>
      <c r="AN290" s="488"/>
      <c r="AO290" s="488"/>
      <c r="AP290" s="488"/>
      <c r="AQ290" s="488"/>
      <c r="AR290" s="488"/>
      <c r="AS290" s="488"/>
      <c r="AT290" s="488"/>
      <c r="AU290" s="488"/>
      <c r="AV290" s="488"/>
      <c r="AW290" s="488"/>
      <c r="AX290" s="488"/>
      <c r="AY290" s="488"/>
      <c r="AZ290" s="488"/>
      <c r="BA290" s="488"/>
      <c r="BB290" s="488"/>
      <c r="BC290" s="488"/>
      <c r="BD290" s="488"/>
    </row>
    <row r="291" spans="3:56">
      <c r="C291" s="488"/>
      <c r="D291" s="488"/>
      <c r="E291" s="488"/>
      <c r="F291" s="488"/>
      <c r="G291" s="488"/>
      <c r="H291" s="488"/>
      <c r="I291" s="488"/>
      <c r="J291" s="488"/>
      <c r="K291" s="488"/>
      <c r="L291" s="488"/>
      <c r="M291" s="488"/>
      <c r="N291" s="488"/>
      <c r="O291" s="488"/>
      <c r="P291" s="488"/>
      <c r="Q291" s="488"/>
      <c r="R291" s="488"/>
      <c r="S291" s="488"/>
      <c r="T291" s="488"/>
      <c r="U291" s="488"/>
      <c r="V291" s="488"/>
      <c r="W291" s="488"/>
      <c r="X291" s="488"/>
      <c r="Y291" s="488"/>
      <c r="Z291" s="488"/>
      <c r="AA291" s="488"/>
      <c r="AB291" s="488"/>
      <c r="AC291" s="488"/>
      <c r="AD291" s="488"/>
      <c r="AE291" s="488"/>
      <c r="AF291" s="488"/>
      <c r="AG291" s="488"/>
      <c r="AH291" s="488"/>
      <c r="AI291" s="488"/>
      <c r="AJ291" s="488"/>
      <c r="AK291" s="488"/>
      <c r="AL291" s="488"/>
      <c r="AM291" s="488"/>
      <c r="AN291" s="488"/>
      <c r="AO291" s="488"/>
      <c r="AP291" s="488"/>
      <c r="AQ291" s="488"/>
      <c r="AR291" s="488"/>
      <c r="AS291" s="488"/>
      <c r="AT291" s="488"/>
      <c r="AU291" s="488"/>
      <c r="AV291" s="488"/>
      <c r="AW291" s="488"/>
      <c r="AX291" s="488"/>
      <c r="AY291" s="488"/>
      <c r="AZ291" s="488"/>
      <c r="BA291" s="488"/>
      <c r="BB291" s="488"/>
      <c r="BC291" s="488"/>
      <c r="BD291" s="488"/>
    </row>
    <row r="292" spans="3:56">
      <c r="C292" s="488"/>
      <c r="D292" s="488"/>
      <c r="E292" s="488"/>
      <c r="F292" s="488"/>
      <c r="G292" s="488"/>
      <c r="H292" s="488"/>
      <c r="I292" s="488"/>
      <c r="J292" s="488"/>
      <c r="K292" s="488"/>
      <c r="L292" s="488"/>
      <c r="M292" s="488"/>
      <c r="N292" s="488"/>
      <c r="O292" s="488"/>
      <c r="P292" s="488"/>
      <c r="Q292" s="488"/>
      <c r="R292" s="488"/>
      <c r="S292" s="488"/>
      <c r="T292" s="488"/>
      <c r="U292" s="488"/>
      <c r="V292" s="488"/>
      <c r="W292" s="488"/>
      <c r="X292" s="488"/>
      <c r="Y292" s="488"/>
      <c r="Z292" s="488"/>
      <c r="AA292" s="488"/>
      <c r="AB292" s="488"/>
      <c r="AC292" s="488"/>
      <c r="AD292" s="488"/>
      <c r="AE292" s="488"/>
      <c r="AF292" s="488"/>
      <c r="AG292" s="488"/>
      <c r="AH292" s="488"/>
      <c r="AI292" s="488"/>
      <c r="AJ292" s="488"/>
      <c r="AK292" s="488"/>
      <c r="AL292" s="488"/>
      <c r="AM292" s="488"/>
      <c r="AN292" s="488"/>
      <c r="AO292" s="488"/>
      <c r="AP292" s="488"/>
      <c r="AQ292" s="488"/>
      <c r="AR292" s="488"/>
      <c r="AS292" s="488"/>
      <c r="AT292" s="488"/>
      <c r="AU292" s="488"/>
      <c r="AV292" s="488"/>
      <c r="AW292" s="488"/>
      <c r="AX292" s="488"/>
      <c r="AY292" s="488"/>
      <c r="AZ292" s="488"/>
      <c r="BA292" s="488"/>
      <c r="BB292" s="488"/>
      <c r="BC292" s="488"/>
      <c r="BD292" s="488"/>
    </row>
    <row r="293" spans="3:56">
      <c r="C293" s="488"/>
      <c r="D293" s="488"/>
      <c r="E293" s="488"/>
      <c r="F293" s="488"/>
      <c r="G293" s="488"/>
      <c r="H293" s="488"/>
      <c r="I293" s="488"/>
      <c r="J293" s="488"/>
      <c r="K293" s="488"/>
      <c r="L293" s="488"/>
      <c r="M293" s="488"/>
      <c r="N293" s="488"/>
      <c r="O293" s="488"/>
      <c r="P293" s="488"/>
      <c r="Q293" s="488"/>
      <c r="R293" s="488"/>
      <c r="S293" s="488"/>
      <c r="T293" s="488"/>
      <c r="U293" s="488"/>
      <c r="V293" s="488"/>
      <c r="W293" s="488"/>
      <c r="X293" s="488"/>
      <c r="Y293" s="488"/>
      <c r="Z293" s="488"/>
      <c r="AA293" s="488"/>
      <c r="AB293" s="488"/>
      <c r="AC293" s="488"/>
      <c r="AD293" s="488"/>
      <c r="AE293" s="488"/>
      <c r="AF293" s="488"/>
      <c r="AG293" s="488"/>
      <c r="AH293" s="488"/>
      <c r="AI293" s="488"/>
      <c r="AJ293" s="488"/>
      <c r="AK293" s="488"/>
      <c r="AL293" s="488"/>
      <c r="AM293" s="488"/>
      <c r="AN293" s="488"/>
      <c r="AO293" s="488"/>
      <c r="AP293" s="488"/>
      <c r="AQ293" s="488"/>
      <c r="AR293" s="488"/>
      <c r="AS293" s="488"/>
      <c r="AT293" s="488"/>
      <c r="AU293" s="488"/>
      <c r="AV293" s="488"/>
      <c r="AW293" s="488"/>
      <c r="AX293" s="488"/>
      <c r="AY293" s="488"/>
      <c r="AZ293" s="488"/>
      <c r="BA293" s="488"/>
      <c r="BB293" s="488"/>
      <c r="BC293" s="488"/>
      <c r="BD293" s="488"/>
    </row>
    <row r="294" spans="3:56">
      <c r="C294" s="488"/>
      <c r="D294" s="488"/>
      <c r="E294" s="488"/>
      <c r="F294" s="488"/>
      <c r="G294" s="488"/>
      <c r="H294" s="488"/>
      <c r="I294" s="488"/>
      <c r="J294" s="488"/>
      <c r="K294" s="488"/>
      <c r="L294" s="488"/>
      <c r="M294" s="488"/>
      <c r="N294" s="488"/>
      <c r="O294" s="488"/>
      <c r="P294" s="488"/>
      <c r="Q294" s="488"/>
      <c r="R294" s="488"/>
      <c r="S294" s="488"/>
      <c r="T294" s="488"/>
      <c r="U294" s="488"/>
      <c r="V294" s="488"/>
      <c r="W294" s="488"/>
      <c r="X294" s="488"/>
      <c r="Y294" s="488"/>
      <c r="Z294" s="488"/>
      <c r="AA294" s="488"/>
      <c r="AB294" s="488"/>
      <c r="AC294" s="488"/>
      <c r="AD294" s="488"/>
      <c r="AE294" s="488"/>
      <c r="AF294" s="488"/>
      <c r="AG294" s="488"/>
      <c r="AH294" s="488"/>
      <c r="AI294" s="488"/>
      <c r="AJ294" s="488"/>
      <c r="AK294" s="488"/>
      <c r="AL294" s="488"/>
      <c r="AM294" s="488"/>
      <c r="AN294" s="488"/>
      <c r="AO294" s="488"/>
      <c r="AP294" s="488"/>
      <c r="AQ294" s="488"/>
      <c r="AR294" s="488"/>
      <c r="AS294" s="488"/>
      <c r="AT294" s="488"/>
      <c r="AU294" s="488"/>
      <c r="AV294" s="488"/>
      <c r="AW294" s="488"/>
      <c r="AX294" s="488"/>
      <c r="AY294" s="488"/>
      <c r="AZ294" s="488"/>
      <c r="BA294" s="488"/>
      <c r="BB294" s="488"/>
      <c r="BC294" s="488"/>
      <c r="BD294" s="488"/>
    </row>
    <row r="295" spans="3:56">
      <c r="C295" s="488"/>
      <c r="D295" s="488"/>
      <c r="E295" s="488"/>
      <c r="F295" s="488"/>
      <c r="G295" s="488"/>
      <c r="H295" s="488"/>
      <c r="I295" s="488"/>
      <c r="J295" s="488"/>
      <c r="K295" s="488"/>
      <c r="L295" s="488"/>
      <c r="M295" s="488"/>
      <c r="N295" s="488"/>
      <c r="O295" s="488"/>
      <c r="P295" s="488"/>
      <c r="Q295" s="488"/>
      <c r="R295" s="488"/>
      <c r="S295" s="488"/>
      <c r="T295" s="488"/>
      <c r="U295" s="488"/>
      <c r="V295" s="488"/>
      <c r="W295" s="488"/>
      <c r="X295" s="488"/>
      <c r="Y295" s="488"/>
      <c r="Z295" s="488"/>
      <c r="AA295" s="488"/>
      <c r="AB295" s="488"/>
      <c r="AC295" s="488"/>
      <c r="AD295" s="488"/>
      <c r="AE295" s="488"/>
      <c r="AF295" s="488"/>
      <c r="AG295" s="488"/>
      <c r="AH295" s="488"/>
      <c r="AI295" s="488"/>
      <c r="AJ295" s="488"/>
      <c r="AK295" s="488"/>
      <c r="AL295" s="488"/>
      <c r="AM295" s="488"/>
      <c r="AN295" s="488"/>
      <c r="AO295" s="488"/>
      <c r="AP295" s="488"/>
      <c r="AQ295" s="488"/>
      <c r="AR295" s="488"/>
      <c r="AS295" s="488"/>
      <c r="AT295" s="488"/>
      <c r="AU295" s="488"/>
      <c r="AV295" s="488"/>
      <c r="AW295" s="488"/>
      <c r="AX295" s="488"/>
      <c r="AY295" s="488"/>
      <c r="AZ295" s="488"/>
      <c r="BA295" s="488"/>
      <c r="BB295" s="488"/>
      <c r="BC295" s="488"/>
      <c r="BD295" s="488"/>
    </row>
    <row r="296" spans="3:56">
      <c r="C296" s="488"/>
      <c r="D296" s="488"/>
      <c r="E296" s="488"/>
      <c r="F296" s="488"/>
      <c r="G296" s="488"/>
      <c r="H296" s="488"/>
      <c r="I296" s="488"/>
      <c r="J296" s="488"/>
      <c r="K296" s="488"/>
      <c r="L296" s="488"/>
      <c r="M296" s="488"/>
      <c r="N296" s="488"/>
      <c r="O296" s="488"/>
      <c r="P296" s="488"/>
      <c r="Q296" s="488"/>
      <c r="R296" s="488"/>
      <c r="S296" s="488"/>
      <c r="T296" s="488"/>
      <c r="U296" s="488"/>
      <c r="V296" s="488"/>
      <c r="W296" s="488"/>
      <c r="X296" s="488"/>
      <c r="Y296" s="488"/>
      <c r="Z296" s="488"/>
      <c r="AA296" s="488"/>
      <c r="AB296" s="488"/>
      <c r="AC296" s="488"/>
      <c r="AD296" s="488"/>
      <c r="AE296" s="488"/>
      <c r="AF296" s="488"/>
      <c r="AG296" s="488"/>
      <c r="AH296" s="488"/>
      <c r="AI296" s="488"/>
      <c r="AJ296" s="488"/>
      <c r="AK296" s="488"/>
      <c r="AL296" s="488"/>
      <c r="AM296" s="488"/>
      <c r="AN296" s="488"/>
      <c r="AO296" s="488"/>
      <c r="AP296" s="488"/>
      <c r="AQ296" s="488"/>
      <c r="AR296" s="488"/>
      <c r="AS296" s="488"/>
      <c r="AT296" s="488"/>
      <c r="AU296" s="488"/>
      <c r="AV296" s="488"/>
      <c r="AW296" s="488"/>
      <c r="AX296" s="488"/>
      <c r="AY296" s="488"/>
      <c r="AZ296" s="488"/>
      <c r="BA296" s="488"/>
      <c r="BB296" s="488"/>
      <c r="BC296" s="488"/>
      <c r="BD296" s="488"/>
    </row>
    <row r="297" spans="3:56">
      <c r="C297" s="488"/>
      <c r="D297" s="488"/>
      <c r="E297" s="488"/>
      <c r="F297" s="488"/>
      <c r="G297" s="488"/>
      <c r="H297" s="488"/>
      <c r="I297" s="488"/>
      <c r="J297" s="488"/>
      <c r="K297" s="488"/>
      <c r="L297" s="488"/>
      <c r="M297" s="488"/>
      <c r="N297" s="488"/>
      <c r="O297" s="488"/>
      <c r="P297" s="488"/>
      <c r="Q297" s="488"/>
      <c r="R297" s="488"/>
      <c r="S297" s="488"/>
      <c r="T297" s="488"/>
      <c r="U297" s="488"/>
      <c r="V297" s="488"/>
      <c r="W297" s="488"/>
      <c r="X297" s="488"/>
      <c r="Y297" s="488"/>
      <c r="Z297" s="488"/>
      <c r="AA297" s="488"/>
      <c r="AB297" s="488"/>
      <c r="AC297" s="488"/>
      <c r="AD297" s="488"/>
      <c r="AE297" s="488"/>
      <c r="AF297" s="488"/>
      <c r="AG297" s="488"/>
      <c r="AH297" s="488"/>
      <c r="AI297" s="488"/>
      <c r="AJ297" s="488"/>
      <c r="AK297" s="488"/>
      <c r="AL297" s="488"/>
      <c r="AM297" s="488"/>
      <c r="AN297" s="488"/>
      <c r="AO297" s="488"/>
      <c r="AP297" s="488"/>
      <c r="AQ297" s="488"/>
      <c r="AR297" s="488"/>
      <c r="AS297" s="488"/>
      <c r="AT297" s="488"/>
      <c r="AU297" s="488"/>
      <c r="AV297" s="488"/>
      <c r="AW297" s="488"/>
      <c r="AX297" s="488"/>
      <c r="AY297" s="488"/>
      <c r="AZ297" s="488"/>
      <c r="BA297" s="488"/>
      <c r="BB297" s="488"/>
      <c r="BC297" s="488"/>
      <c r="BD297" s="488"/>
    </row>
    <row r="298" spans="3:56">
      <c r="C298" s="488"/>
      <c r="D298" s="488"/>
      <c r="E298" s="488"/>
      <c r="F298" s="488"/>
      <c r="G298" s="488"/>
      <c r="H298" s="488"/>
      <c r="I298" s="488"/>
      <c r="J298" s="488"/>
      <c r="K298" s="488"/>
      <c r="L298" s="488"/>
      <c r="M298" s="488"/>
      <c r="N298" s="488"/>
      <c r="O298" s="488"/>
      <c r="P298" s="488"/>
      <c r="Q298" s="488"/>
      <c r="R298" s="488"/>
      <c r="S298" s="488"/>
      <c r="T298" s="488"/>
      <c r="U298" s="488"/>
      <c r="V298" s="488"/>
      <c r="W298" s="488"/>
      <c r="X298" s="488"/>
      <c r="Y298" s="488"/>
      <c r="Z298" s="488"/>
      <c r="AA298" s="488"/>
      <c r="AB298" s="488"/>
      <c r="AC298" s="488"/>
      <c r="AD298" s="488"/>
      <c r="AE298" s="488"/>
      <c r="AF298" s="488"/>
      <c r="AG298" s="488"/>
      <c r="AH298" s="488"/>
      <c r="AI298" s="488"/>
      <c r="AJ298" s="488"/>
      <c r="AK298" s="488"/>
      <c r="AL298" s="488"/>
      <c r="AM298" s="488"/>
      <c r="AN298" s="488"/>
      <c r="AO298" s="488"/>
      <c r="AP298" s="488"/>
      <c r="AQ298" s="488"/>
      <c r="AR298" s="488"/>
      <c r="AS298" s="488"/>
      <c r="AT298" s="488"/>
      <c r="AU298" s="488"/>
      <c r="AV298" s="488"/>
      <c r="AW298" s="488"/>
      <c r="AX298" s="488"/>
      <c r="AY298" s="488"/>
      <c r="AZ298" s="488"/>
      <c r="BA298" s="488"/>
      <c r="BB298" s="488"/>
      <c r="BC298" s="488"/>
      <c r="BD298" s="488"/>
    </row>
    <row r="299" spans="3:56">
      <c r="C299" s="488"/>
      <c r="D299" s="488"/>
      <c r="E299" s="488"/>
      <c r="F299" s="488"/>
      <c r="G299" s="488"/>
      <c r="H299" s="488"/>
      <c r="I299" s="488"/>
      <c r="J299" s="488"/>
      <c r="K299" s="488"/>
      <c r="L299" s="488"/>
      <c r="M299" s="488"/>
      <c r="N299" s="488"/>
      <c r="O299" s="488"/>
      <c r="P299" s="488"/>
      <c r="Q299" s="488"/>
      <c r="R299" s="488"/>
      <c r="S299" s="488"/>
      <c r="T299" s="488"/>
      <c r="U299" s="488"/>
      <c r="V299" s="488"/>
      <c r="W299" s="488"/>
      <c r="X299" s="488"/>
      <c r="Y299" s="488"/>
      <c r="Z299" s="488"/>
      <c r="AA299" s="488"/>
      <c r="AB299" s="488"/>
      <c r="AC299" s="488"/>
      <c r="AD299" s="488"/>
      <c r="AE299" s="488"/>
      <c r="AF299" s="488"/>
      <c r="AG299" s="488"/>
      <c r="AH299" s="488"/>
      <c r="AI299" s="488"/>
      <c r="AJ299" s="488"/>
      <c r="AK299" s="488"/>
      <c r="AL299" s="488"/>
      <c r="AM299" s="488"/>
      <c r="AN299" s="488"/>
      <c r="AO299" s="488"/>
      <c r="AP299" s="488"/>
      <c r="AQ299" s="488"/>
      <c r="AR299" s="488"/>
      <c r="AS299" s="488"/>
      <c r="AT299" s="488"/>
      <c r="AU299" s="488"/>
      <c r="AV299" s="488"/>
      <c r="AW299" s="488"/>
      <c r="AX299" s="488"/>
      <c r="AY299" s="488"/>
      <c r="AZ299" s="488"/>
      <c r="BA299" s="488"/>
      <c r="BB299" s="488"/>
      <c r="BC299" s="488"/>
      <c r="BD299" s="488"/>
    </row>
    <row r="300" spans="3:56">
      <c r="C300" s="488"/>
      <c r="D300" s="488"/>
      <c r="E300" s="488"/>
      <c r="F300" s="488"/>
      <c r="G300" s="488"/>
      <c r="H300" s="488"/>
      <c r="I300" s="488"/>
      <c r="J300" s="488"/>
      <c r="K300" s="488"/>
      <c r="L300" s="488"/>
      <c r="M300" s="488"/>
      <c r="N300" s="488"/>
      <c r="O300" s="488"/>
      <c r="P300" s="488"/>
      <c r="Q300" s="488"/>
      <c r="R300" s="488"/>
      <c r="S300" s="488"/>
      <c r="T300" s="488"/>
      <c r="U300" s="488"/>
      <c r="V300" s="488"/>
      <c r="W300" s="488"/>
      <c r="X300" s="488"/>
      <c r="Y300" s="488"/>
      <c r="Z300" s="488"/>
      <c r="AA300" s="488"/>
      <c r="AB300" s="488"/>
      <c r="AC300" s="488"/>
      <c r="AD300" s="488"/>
      <c r="AE300" s="488"/>
      <c r="AF300" s="488"/>
      <c r="AG300" s="488"/>
      <c r="AH300" s="488"/>
      <c r="AI300" s="488"/>
      <c r="AJ300" s="488"/>
      <c r="AK300" s="488"/>
      <c r="AL300" s="488"/>
      <c r="AM300" s="488"/>
      <c r="AN300" s="488"/>
      <c r="AO300" s="488"/>
      <c r="AP300" s="488"/>
      <c r="AQ300" s="488"/>
      <c r="AR300" s="488"/>
      <c r="AS300" s="488"/>
      <c r="AT300" s="488"/>
      <c r="AU300" s="488"/>
      <c r="AV300" s="488"/>
      <c r="AW300" s="488"/>
      <c r="AX300" s="488"/>
      <c r="AY300" s="488"/>
      <c r="AZ300" s="488"/>
      <c r="BA300" s="488"/>
      <c r="BB300" s="488"/>
      <c r="BC300" s="488"/>
      <c r="BD300" s="488"/>
    </row>
    <row r="301" spans="3:56">
      <c r="C301" s="488"/>
      <c r="D301" s="488"/>
      <c r="E301" s="488"/>
      <c r="F301" s="488"/>
      <c r="G301" s="488"/>
      <c r="H301" s="488"/>
      <c r="I301" s="488"/>
      <c r="J301" s="488"/>
      <c r="K301" s="488"/>
      <c r="L301" s="488"/>
      <c r="M301" s="488"/>
      <c r="N301" s="488"/>
      <c r="O301" s="488"/>
      <c r="P301" s="488"/>
      <c r="Q301" s="488"/>
      <c r="R301" s="488"/>
      <c r="S301" s="488"/>
      <c r="T301" s="488"/>
      <c r="U301" s="488"/>
      <c r="V301" s="488"/>
      <c r="W301" s="488"/>
      <c r="X301" s="488"/>
      <c r="Y301" s="488"/>
      <c r="Z301" s="488"/>
      <c r="AA301" s="488"/>
      <c r="AB301" s="488"/>
      <c r="AC301" s="488"/>
      <c r="AD301" s="488"/>
      <c r="AE301" s="488"/>
      <c r="AF301" s="488"/>
      <c r="AG301" s="488"/>
      <c r="AH301" s="488"/>
      <c r="AI301" s="488"/>
      <c r="AJ301" s="488"/>
      <c r="AK301" s="488"/>
      <c r="AL301" s="488"/>
      <c r="AM301" s="488"/>
      <c r="AN301" s="488"/>
      <c r="AO301" s="488"/>
      <c r="AP301" s="488"/>
      <c r="AQ301" s="488"/>
      <c r="AR301" s="488"/>
      <c r="AS301" s="488"/>
      <c r="AT301" s="488"/>
      <c r="AU301" s="488"/>
      <c r="AV301" s="488"/>
      <c r="AW301" s="488"/>
      <c r="AX301" s="488"/>
      <c r="AY301" s="488"/>
      <c r="AZ301" s="488"/>
      <c r="BA301" s="488"/>
      <c r="BB301" s="488"/>
      <c r="BC301" s="488"/>
      <c r="BD301" s="488"/>
    </row>
    <row r="302" spans="3:56">
      <c r="C302" s="488"/>
      <c r="D302" s="488"/>
      <c r="E302" s="488"/>
      <c r="F302" s="488"/>
      <c r="G302" s="488"/>
      <c r="H302" s="488"/>
      <c r="I302" s="488"/>
      <c r="J302" s="488"/>
      <c r="K302" s="488"/>
      <c r="L302" s="488"/>
      <c r="M302" s="488"/>
      <c r="N302" s="488"/>
      <c r="O302" s="488"/>
      <c r="P302" s="488"/>
      <c r="Q302" s="488"/>
      <c r="R302" s="488"/>
      <c r="S302" s="488"/>
      <c r="T302" s="488"/>
      <c r="U302" s="488"/>
      <c r="V302" s="488"/>
      <c r="W302" s="488"/>
      <c r="X302" s="488"/>
      <c r="Y302" s="488"/>
      <c r="Z302" s="488"/>
      <c r="AA302" s="488"/>
      <c r="AB302" s="488"/>
      <c r="AC302" s="488"/>
      <c r="AD302" s="488"/>
      <c r="AE302" s="488"/>
      <c r="AF302" s="488"/>
      <c r="AG302" s="488"/>
      <c r="AH302" s="488"/>
      <c r="AI302" s="488"/>
      <c r="AJ302" s="488"/>
      <c r="AK302" s="488"/>
      <c r="AL302" s="488"/>
      <c r="AM302" s="488"/>
      <c r="AN302" s="488"/>
      <c r="AO302" s="488"/>
      <c r="AP302" s="488"/>
      <c r="AQ302" s="488"/>
      <c r="AR302" s="488"/>
      <c r="AS302" s="488"/>
      <c r="AT302" s="488"/>
      <c r="AU302" s="488"/>
      <c r="AV302" s="488"/>
      <c r="AW302" s="488"/>
      <c r="AX302" s="488"/>
      <c r="AY302" s="488"/>
      <c r="AZ302" s="488"/>
      <c r="BA302" s="488"/>
      <c r="BB302" s="488"/>
      <c r="BC302" s="488"/>
      <c r="BD302" s="488"/>
    </row>
    <row r="303" spans="3:56">
      <c r="C303" s="488"/>
      <c r="D303" s="488"/>
      <c r="E303" s="488"/>
      <c r="F303" s="488"/>
      <c r="G303" s="488"/>
      <c r="H303" s="488"/>
      <c r="I303" s="488"/>
      <c r="J303" s="488"/>
      <c r="K303" s="488"/>
      <c r="L303" s="488"/>
      <c r="M303" s="488"/>
      <c r="N303" s="488"/>
      <c r="O303" s="488"/>
      <c r="P303" s="488"/>
      <c r="Q303" s="488"/>
      <c r="R303" s="488"/>
      <c r="S303" s="488"/>
      <c r="T303" s="488"/>
      <c r="U303" s="488"/>
      <c r="V303" s="488"/>
      <c r="W303" s="488"/>
      <c r="X303" s="488"/>
      <c r="Y303" s="488"/>
      <c r="Z303" s="488"/>
      <c r="AA303" s="488"/>
      <c r="AB303" s="488"/>
      <c r="AC303" s="488"/>
      <c r="AD303" s="488"/>
      <c r="AE303" s="488"/>
      <c r="AF303" s="488"/>
      <c r="AG303" s="488"/>
      <c r="AH303" s="488"/>
      <c r="AI303" s="488"/>
      <c r="AJ303" s="488"/>
      <c r="AK303" s="488"/>
      <c r="AL303" s="488"/>
      <c r="AM303" s="488"/>
      <c r="AN303" s="488"/>
      <c r="AO303" s="488"/>
      <c r="AP303" s="488"/>
      <c r="AQ303" s="488"/>
      <c r="AR303" s="488"/>
      <c r="AS303" s="488"/>
      <c r="AT303" s="488"/>
      <c r="AU303" s="488"/>
      <c r="AV303" s="488"/>
      <c r="AW303" s="488"/>
      <c r="AX303" s="488"/>
      <c r="AY303" s="488"/>
      <c r="AZ303" s="488"/>
      <c r="BA303" s="488"/>
      <c r="BB303" s="488"/>
      <c r="BC303" s="488"/>
      <c r="BD303" s="488"/>
    </row>
    <row r="304" spans="3:56">
      <c r="C304" s="488"/>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E304" s="488"/>
      <c r="AF304" s="488"/>
      <c r="AG304" s="488"/>
      <c r="AH304" s="488"/>
      <c r="AI304" s="488"/>
      <c r="AJ304" s="488"/>
      <c r="AK304" s="488"/>
      <c r="AL304" s="488"/>
      <c r="AM304" s="488"/>
      <c r="AN304" s="488"/>
      <c r="AO304" s="488"/>
      <c r="AP304" s="488"/>
      <c r="AQ304" s="488"/>
      <c r="AR304" s="488"/>
      <c r="AS304" s="488"/>
      <c r="AT304" s="488"/>
      <c r="AU304" s="488"/>
      <c r="AV304" s="488"/>
      <c r="AW304" s="488"/>
      <c r="AX304" s="488"/>
      <c r="AY304" s="488"/>
      <c r="AZ304" s="488"/>
      <c r="BA304" s="488"/>
      <c r="BB304" s="488"/>
      <c r="BC304" s="488"/>
      <c r="BD304" s="488"/>
    </row>
    <row r="305" spans="3:56">
      <c r="C305" s="488"/>
      <c r="D305" s="488"/>
      <c r="E305" s="488"/>
      <c r="F305" s="488"/>
      <c r="G305" s="488"/>
      <c r="H305" s="488"/>
      <c r="I305" s="488"/>
      <c r="J305" s="488"/>
      <c r="K305" s="488"/>
      <c r="L305" s="488"/>
      <c r="M305" s="488"/>
      <c r="N305" s="488"/>
      <c r="O305" s="488"/>
      <c r="P305" s="488"/>
      <c r="Q305" s="488"/>
      <c r="R305" s="488"/>
      <c r="S305" s="488"/>
      <c r="T305" s="488"/>
      <c r="U305" s="488"/>
      <c r="V305" s="488"/>
      <c r="W305" s="488"/>
      <c r="X305" s="488"/>
      <c r="Y305" s="488"/>
      <c r="Z305" s="488"/>
      <c r="AA305" s="488"/>
      <c r="AB305" s="488"/>
      <c r="AC305" s="488"/>
      <c r="AD305" s="488"/>
      <c r="AE305" s="488"/>
      <c r="AF305" s="488"/>
      <c r="AG305" s="488"/>
      <c r="AH305" s="488"/>
      <c r="AI305" s="488"/>
      <c r="AJ305" s="488"/>
      <c r="AK305" s="488"/>
      <c r="AL305" s="488"/>
      <c r="AM305" s="488"/>
      <c r="AN305" s="488"/>
      <c r="AO305" s="488"/>
      <c r="AP305" s="488"/>
      <c r="AQ305" s="488"/>
      <c r="AR305" s="488"/>
      <c r="AS305" s="488"/>
      <c r="AT305" s="488"/>
      <c r="AU305" s="488"/>
      <c r="AV305" s="488"/>
      <c r="AW305" s="488"/>
      <c r="AX305" s="488"/>
      <c r="AY305" s="488"/>
      <c r="AZ305" s="488"/>
      <c r="BA305" s="488"/>
      <c r="BB305" s="488"/>
      <c r="BC305" s="488"/>
      <c r="BD305" s="488"/>
    </row>
    <row r="306" spans="3:56">
      <c r="C306" s="488"/>
      <c r="D306" s="488"/>
      <c r="E306" s="488"/>
      <c r="F306" s="488"/>
      <c r="G306" s="488"/>
      <c r="H306" s="488"/>
      <c r="I306" s="488"/>
      <c r="J306" s="488"/>
      <c r="K306" s="488"/>
      <c r="L306" s="488"/>
      <c r="M306" s="488"/>
      <c r="N306" s="488"/>
      <c r="O306" s="488"/>
      <c r="P306" s="488"/>
      <c r="Q306" s="488"/>
      <c r="R306" s="488"/>
      <c r="S306" s="488"/>
      <c r="T306" s="488"/>
      <c r="U306" s="488"/>
      <c r="V306" s="488"/>
      <c r="W306" s="488"/>
      <c r="X306" s="488"/>
      <c r="Y306" s="488"/>
      <c r="Z306" s="488"/>
      <c r="AA306" s="488"/>
      <c r="AB306" s="488"/>
      <c r="AC306" s="488"/>
      <c r="AD306" s="488"/>
      <c r="AE306" s="488"/>
      <c r="AF306" s="488"/>
      <c r="AG306" s="488"/>
      <c r="AH306" s="488"/>
      <c r="AI306" s="488"/>
      <c r="AJ306" s="488"/>
      <c r="AK306" s="488"/>
      <c r="AL306" s="488"/>
      <c r="AM306" s="488"/>
      <c r="AN306" s="488"/>
      <c r="AO306" s="488"/>
      <c r="AP306" s="488"/>
      <c r="AQ306" s="488"/>
      <c r="AR306" s="488"/>
      <c r="AS306" s="488"/>
      <c r="AT306" s="488"/>
      <c r="AU306" s="488"/>
      <c r="AV306" s="488"/>
      <c r="AW306" s="488"/>
      <c r="AX306" s="488"/>
      <c r="AY306" s="488"/>
      <c r="AZ306" s="488"/>
      <c r="BA306" s="488"/>
      <c r="BB306" s="488"/>
      <c r="BC306" s="488"/>
      <c r="BD306" s="488"/>
    </row>
    <row r="307" spans="3:56">
      <c r="C307" s="488"/>
      <c r="D307" s="488"/>
      <c r="E307" s="488"/>
      <c r="F307" s="488"/>
      <c r="G307" s="488"/>
      <c r="H307" s="488"/>
      <c r="I307" s="488"/>
      <c r="J307" s="488"/>
      <c r="K307" s="488"/>
      <c r="L307" s="488"/>
      <c r="M307" s="488"/>
      <c r="N307" s="488"/>
      <c r="O307" s="488"/>
      <c r="P307" s="488"/>
      <c r="Q307" s="488"/>
      <c r="R307" s="488"/>
      <c r="S307" s="488"/>
      <c r="T307" s="488"/>
      <c r="U307" s="488"/>
      <c r="V307" s="488"/>
      <c r="W307" s="488"/>
      <c r="X307" s="488"/>
      <c r="Y307" s="488"/>
      <c r="Z307" s="488"/>
      <c r="AA307" s="488"/>
      <c r="AB307" s="488"/>
      <c r="AC307" s="488"/>
      <c r="AD307" s="488"/>
      <c r="AE307" s="488"/>
      <c r="AF307" s="488"/>
      <c r="AG307" s="488"/>
      <c r="AH307" s="488"/>
      <c r="AI307" s="488"/>
      <c r="AJ307" s="488"/>
      <c r="AK307" s="488"/>
      <c r="AL307" s="488"/>
      <c r="AM307" s="488"/>
      <c r="AN307" s="488"/>
      <c r="AO307" s="488"/>
      <c r="AP307" s="488"/>
      <c r="AQ307" s="488"/>
      <c r="AR307" s="488"/>
      <c r="AS307" s="488"/>
      <c r="AT307" s="488"/>
      <c r="AU307" s="488"/>
      <c r="AV307" s="488"/>
      <c r="AW307" s="488"/>
      <c r="AX307" s="488"/>
      <c r="AY307" s="488"/>
      <c r="AZ307" s="488"/>
      <c r="BA307" s="488"/>
      <c r="BB307" s="488"/>
      <c r="BC307" s="488"/>
      <c r="BD307" s="488"/>
    </row>
    <row r="308" spans="3:56">
      <c r="C308" s="488"/>
      <c r="D308" s="488"/>
      <c r="E308" s="488"/>
      <c r="F308" s="488"/>
      <c r="G308" s="488"/>
      <c r="H308" s="488"/>
      <c r="I308" s="488"/>
      <c r="J308" s="488"/>
      <c r="K308" s="488"/>
      <c r="L308" s="488"/>
      <c r="M308" s="488"/>
      <c r="N308" s="488"/>
      <c r="O308" s="488"/>
      <c r="P308" s="488"/>
      <c r="Q308" s="488"/>
      <c r="R308" s="488"/>
      <c r="S308" s="488"/>
      <c r="T308" s="488"/>
      <c r="U308" s="488"/>
      <c r="V308" s="488"/>
      <c r="W308" s="488"/>
      <c r="X308" s="488"/>
      <c r="Y308" s="488"/>
      <c r="Z308" s="488"/>
      <c r="AA308" s="488"/>
      <c r="AB308" s="488"/>
      <c r="AC308" s="488"/>
      <c r="AD308" s="488"/>
      <c r="AE308" s="488"/>
      <c r="AF308" s="488"/>
      <c r="AG308" s="488"/>
      <c r="AH308" s="488"/>
      <c r="AI308" s="488"/>
      <c r="AJ308" s="488"/>
      <c r="AK308" s="488"/>
      <c r="AL308" s="488"/>
      <c r="AM308" s="488"/>
      <c r="AN308" s="488"/>
      <c r="AO308" s="488"/>
      <c r="AP308" s="488"/>
      <c r="AQ308" s="488"/>
      <c r="AR308" s="488"/>
      <c r="AS308" s="488"/>
      <c r="AT308" s="488"/>
      <c r="AU308" s="488"/>
      <c r="AV308" s="488"/>
      <c r="AW308" s="488"/>
      <c r="AX308" s="488"/>
      <c r="AY308" s="488"/>
      <c r="AZ308" s="488"/>
      <c r="BA308" s="488"/>
      <c r="BB308" s="488"/>
      <c r="BC308" s="488"/>
      <c r="BD308" s="488"/>
    </row>
    <row r="309" spans="3:56">
      <c r="C309" s="488"/>
      <c r="D309" s="488"/>
      <c r="E309" s="488"/>
      <c r="F309" s="488"/>
      <c r="G309" s="488"/>
      <c r="H309" s="488"/>
      <c r="I309" s="488"/>
      <c r="J309" s="488"/>
      <c r="K309" s="488"/>
      <c r="L309" s="488"/>
      <c r="M309" s="488"/>
      <c r="N309" s="488"/>
      <c r="O309" s="488"/>
      <c r="P309" s="488"/>
      <c r="Q309" s="488"/>
      <c r="R309" s="488"/>
      <c r="S309" s="488"/>
      <c r="T309" s="488"/>
      <c r="U309" s="488"/>
      <c r="V309" s="488"/>
      <c r="W309" s="488"/>
      <c r="X309" s="488"/>
      <c r="Y309" s="488"/>
      <c r="Z309" s="488"/>
      <c r="AA309" s="488"/>
      <c r="AB309" s="488"/>
      <c r="AC309" s="488"/>
      <c r="AD309" s="488"/>
      <c r="AE309" s="488"/>
      <c r="AF309" s="488"/>
      <c r="AG309" s="488"/>
      <c r="AH309" s="488"/>
      <c r="AI309" s="488"/>
      <c r="AJ309" s="488"/>
      <c r="AK309" s="488"/>
      <c r="AL309" s="488"/>
      <c r="AM309" s="488"/>
      <c r="AN309" s="488"/>
      <c r="AO309" s="488"/>
      <c r="AP309" s="488"/>
      <c r="AQ309" s="488"/>
      <c r="AR309" s="488"/>
      <c r="AS309" s="488"/>
      <c r="AT309" s="488"/>
      <c r="AU309" s="488"/>
      <c r="AV309" s="488"/>
      <c r="AW309" s="488"/>
      <c r="AX309" s="488"/>
      <c r="AY309" s="488"/>
      <c r="AZ309" s="488"/>
      <c r="BA309" s="488"/>
      <c r="BB309" s="488"/>
      <c r="BC309" s="488"/>
      <c r="BD309" s="488"/>
    </row>
    <row r="310" spans="3:56">
      <c r="C310" s="488"/>
      <c r="D310" s="488"/>
      <c r="E310" s="488"/>
      <c r="F310" s="488"/>
      <c r="G310" s="488"/>
      <c r="H310" s="488"/>
      <c r="I310" s="488"/>
      <c r="J310" s="488"/>
      <c r="K310" s="488"/>
      <c r="L310" s="488"/>
      <c r="M310" s="488"/>
      <c r="N310" s="488"/>
      <c r="O310" s="488"/>
      <c r="P310" s="488"/>
      <c r="Q310" s="488"/>
      <c r="R310" s="488"/>
      <c r="S310" s="488"/>
      <c r="T310" s="488"/>
      <c r="U310" s="488"/>
      <c r="V310" s="488"/>
      <c r="W310" s="488"/>
      <c r="X310" s="488"/>
      <c r="Y310" s="488"/>
      <c r="Z310" s="488"/>
      <c r="AA310" s="488"/>
      <c r="AB310" s="488"/>
      <c r="AC310" s="488"/>
      <c r="AD310" s="488"/>
      <c r="AE310" s="488"/>
      <c r="AF310" s="488"/>
      <c r="AG310" s="488"/>
      <c r="AH310" s="488"/>
      <c r="AI310" s="488"/>
      <c r="AJ310" s="488"/>
      <c r="AK310" s="488"/>
      <c r="AL310" s="488"/>
      <c r="AM310" s="488"/>
      <c r="AN310" s="488"/>
      <c r="AO310" s="488"/>
      <c r="AP310" s="488"/>
      <c r="AQ310" s="488"/>
      <c r="AR310" s="488"/>
      <c r="AS310" s="488"/>
      <c r="AT310" s="488"/>
      <c r="AU310" s="488"/>
      <c r="AV310" s="488"/>
      <c r="AW310" s="488"/>
      <c r="AX310" s="488"/>
      <c r="AY310" s="488"/>
      <c r="AZ310" s="488"/>
      <c r="BA310" s="488"/>
      <c r="BB310" s="488"/>
      <c r="BC310" s="488"/>
      <c r="BD310" s="488"/>
    </row>
    <row r="311" spans="3:56">
      <c r="C311" s="488"/>
      <c r="D311" s="488"/>
      <c r="E311" s="488"/>
      <c r="F311" s="488"/>
      <c r="G311" s="488"/>
      <c r="H311" s="488"/>
      <c r="I311" s="488"/>
      <c r="J311" s="488"/>
      <c r="K311" s="488"/>
      <c r="L311" s="488"/>
      <c r="M311" s="488"/>
      <c r="N311" s="488"/>
      <c r="O311" s="488"/>
      <c r="P311" s="488"/>
      <c r="Q311" s="488"/>
      <c r="R311" s="488"/>
      <c r="S311" s="488"/>
      <c r="T311" s="488"/>
      <c r="U311" s="488"/>
      <c r="V311" s="488"/>
      <c r="W311" s="488"/>
      <c r="X311" s="488"/>
      <c r="Y311" s="488"/>
      <c r="Z311" s="488"/>
      <c r="AA311" s="488"/>
      <c r="AB311" s="488"/>
      <c r="AC311" s="488"/>
      <c r="AD311" s="488"/>
      <c r="AE311" s="488"/>
      <c r="AF311" s="488"/>
      <c r="AG311" s="488"/>
      <c r="AH311" s="488"/>
      <c r="AI311" s="488"/>
      <c r="AJ311" s="488"/>
      <c r="AK311" s="488"/>
      <c r="AL311" s="488"/>
      <c r="AM311" s="488"/>
      <c r="AN311" s="488"/>
      <c r="AO311" s="488"/>
      <c r="AP311" s="488"/>
      <c r="AQ311" s="488"/>
      <c r="AR311" s="488"/>
      <c r="AS311" s="488"/>
      <c r="AT311" s="488"/>
      <c r="AU311" s="488"/>
      <c r="AV311" s="488"/>
      <c r="AW311" s="488"/>
      <c r="AX311" s="488"/>
      <c r="AY311" s="488"/>
      <c r="AZ311" s="488"/>
      <c r="BA311" s="488"/>
      <c r="BB311" s="488"/>
      <c r="BC311" s="488"/>
      <c r="BD311" s="488"/>
    </row>
    <row r="312" spans="3:56">
      <c r="C312" s="488"/>
      <c r="D312" s="488"/>
      <c r="E312" s="488"/>
      <c r="F312" s="488"/>
      <c r="G312" s="488"/>
      <c r="H312" s="488"/>
      <c r="I312" s="488"/>
      <c r="J312" s="488"/>
      <c r="K312" s="488"/>
      <c r="L312" s="488"/>
      <c r="M312" s="488"/>
      <c r="N312" s="488"/>
      <c r="O312" s="488"/>
      <c r="P312" s="488"/>
      <c r="Q312" s="488"/>
      <c r="R312" s="488"/>
      <c r="S312" s="488"/>
      <c r="T312" s="488"/>
      <c r="U312" s="488"/>
      <c r="V312" s="488"/>
      <c r="W312" s="488"/>
      <c r="X312" s="488"/>
      <c r="Y312" s="488"/>
      <c r="Z312" s="488"/>
      <c r="AA312" s="488"/>
      <c r="AB312" s="488"/>
      <c r="AC312" s="488"/>
      <c r="AD312" s="488"/>
      <c r="AE312" s="488"/>
      <c r="AF312" s="488"/>
      <c r="AG312" s="488"/>
      <c r="AH312" s="488"/>
      <c r="AI312" s="488"/>
      <c r="AJ312" s="488"/>
      <c r="AK312" s="488"/>
      <c r="AL312" s="488"/>
      <c r="AM312" s="488"/>
      <c r="AN312" s="488"/>
      <c r="AO312" s="488"/>
      <c r="AP312" s="488"/>
      <c r="AQ312" s="488"/>
      <c r="AR312" s="488"/>
      <c r="AS312" s="488"/>
      <c r="AT312" s="488"/>
      <c r="AU312" s="488"/>
      <c r="AV312" s="488"/>
      <c r="AW312" s="488"/>
      <c r="AX312" s="488"/>
      <c r="AY312" s="488"/>
      <c r="AZ312" s="488"/>
      <c r="BA312" s="488"/>
      <c r="BB312" s="488"/>
      <c r="BC312" s="488"/>
      <c r="BD312" s="488"/>
    </row>
    <row r="313" spans="3:56">
      <c r="C313" s="488"/>
      <c r="D313" s="488"/>
      <c r="E313" s="488"/>
      <c r="F313" s="488"/>
      <c r="G313" s="488"/>
      <c r="H313" s="488"/>
      <c r="I313" s="488"/>
      <c r="J313" s="488"/>
      <c r="K313" s="488"/>
      <c r="L313" s="488"/>
      <c r="M313" s="488"/>
      <c r="N313" s="488"/>
      <c r="O313" s="488"/>
      <c r="P313" s="488"/>
      <c r="Q313" s="488"/>
      <c r="R313" s="488"/>
      <c r="S313" s="488"/>
      <c r="T313" s="488"/>
      <c r="U313" s="488"/>
      <c r="V313" s="488"/>
      <c r="W313" s="488"/>
      <c r="X313" s="488"/>
      <c r="Y313" s="488"/>
      <c r="Z313" s="488"/>
      <c r="AA313" s="488"/>
      <c r="AB313" s="488"/>
      <c r="AC313" s="488"/>
      <c r="AD313" s="488"/>
      <c r="AE313" s="488"/>
      <c r="AF313" s="488"/>
      <c r="AG313" s="488"/>
      <c r="AH313" s="488"/>
      <c r="AI313" s="488"/>
      <c r="AJ313" s="488"/>
      <c r="AK313" s="488"/>
      <c r="AL313" s="488"/>
      <c r="AM313" s="488"/>
      <c r="AN313" s="488"/>
      <c r="AO313" s="488"/>
      <c r="AP313" s="488"/>
      <c r="AQ313" s="488"/>
      <c r="AR313" s="488"/>
      <c r="AS313" s="488"/>
      <c r="AT313" s="488"/>
      <c r="AU313" s="488"/>
      <c r="AV313" s="488"/>
      <c r="AW313" s="488"/>
      <c r="AX313" s="488"/>
      <c r="AY313" s="488"/>
      <c r="AZ313" s="488"/>
      <c r="BA313" s="488"/>
      <c r="BB313" s="488"/>
      <c r="BC313" s="488"/>
      <c r="BD313" s="488"/>
    </row>
    <row r="314" spans="3:56">
      <c r="C314" s="488"/>
      <c r="D314" s="488"/>
      <c r="E314" s="488"/>
      <c r="F314" s="488"/>
      <c r="G314" s="488"/>
      <c r="H314" s="488"/>
      <c r="I314" s="488"/>
      <c r="J314" s="488"/>
      <c r="K314" s="488"/>
      <c r="L314" s="488"/>
      <c r="M314" s="488"/>
      <c r="N314" s="488"/>
      <c r="O314" s="488"/>
      <c r="P314" s="488"/>
      <c r="Q314" s="488"/>
      <c r="R314" s="488"/>
      <c r="S314" s="488"/>
      <c r="T314" s="488"/>
      <c r="U314" s="488"/>
      <c r="V314" s="488"/>
      <c r="W314" s="488"/>
      <c r="X314" s="488"/>
      <c r="Y314" s="488"/>
      <c r="Z314" s="488"/>
      <c r="AA314" s="488"/>
      <c r="AB314" s="488"/>
      <c r="AC314" s="488"/>
      <c r="AD314" s="488"/>
      <c r="AE314" s="488"/>
      <c r="AF314" s="488"/>
      <c r="AG314" s="488"/>
      <c r="AH314" s="488"/>
      <c r="AI314" s="488"/>
      <c r="AJ314" s="488"/>
      <c r="AK314" s="488"/>
      <c r="AL314" s="488"/>
      <c r="AM314" s="488"/>
      <c r="AN314" s="488"/>
      <c r="AO314" s="488"/>
      <c r="AP314" s="488"/>
      <c r="AQ314" s="488"/>
      <c r="AR314" s="488"/>
      <c r="AS314" s="488"/>
      <c r="AT314" s="488"/>
      <c r="AU314" s="488"/>
      <c r="AV314" s="488"/>
      <c r="AW314" s="488"/>
      <c r="AX314" s="488"/>
      <c r="AY314" s="488"/>
      <c r="AZ314" s="488"/>
      <c r="BA314" s="488"/>
      <c r="BB314" s="488"/>
      <c r="BC314" s="488"/>
      <c r="BD314" s="488"/>
    </row>
    <row r="315" spans="3:56">
      <c r="C315" s="488"/>
      <c r="D315" s="488"/>
      <c r="E315" s="488"/>
      <c r="F315" s="488"/>
      <c r="G315" s="488"/>
      <c r="H315" s="488"/>
      <c r="I315" s="488"/>
      <c r="J315" s="488"/>
      <c r="K315" s="488"/>
      <c r="L315" s="488"/>
      <c r="M315" s="488"/>
      <c r="N315" s="488"/>
      <c r="O315" s="488"/>
      <c r="P315" s="488"/>
      <c r="Q315" s="488"/>
      <c r="R315" s="488"/>
      <c r="S315" s="488"/>
      <c r="T315" s="488"/>
      <c r="U315" s="488"/>
      <c r="V315" s="488"/>
      <c r="W315" s="488"/>
      <c r="X315" s="488"/>
      <c r="Y315" s="488"/>
      <c r="Z315" s="488"/>
      <c r="AA315" s="488"/>
      <c r="AB315" s="488"/>
      <c r="AC315" s="488"/>
      <c r="AD315" s="488"/>
      <c r="AE315" s="488"/>
      <c r="AF315" s="488"/>
      <c r="AG315" s="488"/>
      <c r="AH315" s="488"/>
      <c r="AI315" s="488"/>
      <c r="AJ315" s="488"/>
      <c r="AK315" s="488"/>
      <c r="AL315" s="488"/>
      <c r="AM315" s="488"/>
      <c r="AN315" s="488"/>
      <c r="AO315" s="488"/>
      <c r="AP315" s="488"/>
      <c r="AQ315" s="488"/>
      <c r="AR315" s="488"/>
      <c r="AS315" s="488"/>
      <c r="AT315" s="488"/>
      <c r="AU315" s="488"/>
      <c r="AV315" s="488"/>
      <c r="AW315" s="488"/>
      <c r="AX315" s="488"/>
      <c r="AY315" s="488"/>
      <c r="AZ315" s="488"/>
      <c r="BA315" s="488"/>
      <c r="BB315" s="488"/>
      <c r="BC315" s="488"/>
      <c r="BD315" s="488"/>
    </row>
    <row r="316" spans="3:56">
      <c r="C316" s="488"/>
      <c r="D316" s="488"/>
      <c r="E316" s="488"/>
      <c r="F316" s="488"/>
      <c r="G316" s="488"/>
      <c r="H316" s="488"/>
      <c r="I316" s="488"/>
      <c r="J316" s="488"/>
      <c r="K316" s="488"/>
      <c r="L316" s="488"/>
      <c r="M316" s="488"/>
      <c r="N316" s="488"/>
      <c r="O316" s="488"/>
      <c r="P316" s="488"/>
      <c r="Q316" s="488"/>
      <c r="R316" s="488"/>
      <c r="S316" s="488"/>
      <c r="T316" s="488"/>
      <c r="U316" s="488"/>
      <c r="V316" s="488"/>
      <c r="W316" s="488"/>
      <c r="X316" s="488"/>
      <c r="Y316" s="488"/>
      <c r="Z316" s="488"/>
      <c r="AA316" s="488"/>
      <c r="AB316" s="488"/>
      <c r="AC316" s="488"/>
      <c r="AD316" s="488"/>
      <c r="AE316" s="488"/>
      <c r="AF316" s="488"/>
      <c r="AG316" s="488"/>
      <c r="AH316" s="488"/>
      <c r="AI316" s="488"/>
      <c r="AJ316" s="488"/>
      <c r="AK316" s="488"/>
      <c r="AL316" s="488"/>
      <c r="AM316" s="488"/>
      <c r="AN316" s="488"/>
      <c r="AO316" s="488"/>
      <c r="AP316" s="488"/>
      <c r="AQ316" s="488"/>
      <c r="AR316" s="488"/>
      <c r="AS316" s="488"/>
      <c r="AT316" s="488"/>
      <c r="AU316" s="488"/>
      <c r="AV316" s="488"/>
      <c r="AW316" s="488"/>
      <c r="AX316" s="488"/>
      <c r="AY316" s="488"/>
      <c r="AZ316" s="488"/>
      <c r="BA316" s="488"/>
      <c r="BB316" s="488"/>
      <c r="BC316" s="488"/>
      <c r="BD316" s="488"/>
    </row>
    <row r="317" spans="3:56">
      <c r="C317" s="488"/>
      <c r="D317" s="488"/>
      <c r="E317" s="488"/>
      <c r="F317" s="488"/>
      <c r="G317" s="488"/>
      <c r="H317" s="488"/>
      <c r="I317" s="488"/>
      <c r="J317" s="488"/>
      <c r="K317" s="488"/>
      <c r="L317" s="488"/>
      <c r="M317" s="488"/>
      <c r="N317" s="488"/>
      <c r="O317" s="488"/>
      <c r="P317" s="488"/>
      <c r="Q317" s="488"/>
      <c r="R317" s="488"/>
      <c r="S317" s="488"/>
      <c r="T317" s="488"/>
      <c r="U317" s="488"/>
      <c r="V317" s="488"/>
      <c r="W317" s="488"/>
      <c r="X317" s="488"/>
      <c r="Y317" s="488"/>
      <c r="Z317" s="488"/>
      <c r="AA317" s="488"/>
      <c r="AB317" s="488"/>
      <c r="AC317" s="488"/>
      <c r="AD317" s="488"/>
      <c r="AE317" s="488"/>
      <c r="AF317" s="488"/>
      <c r="AG317" s="488"/>
      <c r="AH317" s="488"/>
      <c r="AI317" s="488"/>
      <c r="AJ317" s="488"/>
      <c r="AK317" s="488"/>
      <c r="AL317" s="488"/>
      <c r="AM317" s="488"/>
      <c r="AN317" s="488"/>
      <c r="AO317" s="488"/>
      <c r="AP317" s="488"/>
      <c r="AQ317" s="488"/>
      <c r="AR317" s="488"/>
      <c r="AS317" s="488"/>
      <c r="AT317" s="488"/>
      <c r="AU317" s="488"/>
      <c r="AV317" s="488"/>
      <c r="AW317" s="488"/>
      <c r="AX317" s="488"/>
      <c r="AY317" s="488"/>
      <c r="AZ317" s="488"/>
      <c r="BA317" s="488"/>
      <c r="BB317" s="488"/>
      <c r="BC317" s="488"/>
      <c r="BD317" s="488"/>
    </row>
    <row r="318" spans="3:56">
      <c r="C318" s="488"/>
      <c r="D318" s="488"/>
      <c r="E318" s="488"/>
      <c r="F318" s="488"/>
      <c r="G318" s="488"/>
      <c r="H318" s="488"/>
      <c r="I318" s="488"/>
      <c r="J318" s="488"/>
      <c r="K318" s="488"/>
      <c r="L318" s="488"/>
      <c r="M318" s="488"/>
      <c r="N318" s="488"/>
      <c r="O318" s="488"/>
      <c r="P318" s="488"/>
      <c r="Q318" s="488"/>
      <c r="R318" s="488"/>
      <c r="S318" s="488"/>
      <c r="T318" s="488"/>
      <c r="U318" s="488"/>
      <c r="V318" s="488"/>
      <c r="W318" s="488"/>
      <c r="X318" s="488"/>
      <c r="Y318" s="488"/>
      <c r="Z318" s="488"/>
      <c r="AA318" s="488"/>
      <c r="AB318" s="488"/>
      <c r="AC318" s="488"/>
      <c r="AD318" s="488"/>
      <c r="AE318" s="488"/>
      <c r="AF318" s="488"/>
      <c r="AG318" s="488"/>
      <c r="AH318" s="488"/>
      <c r="AI318" s="488"/>
      <c r="AJ318" s="488"/>
      <c r="AK318" s="488"/>
      <c r="AL318" s="488"/>
      <c r="AM318" s="488"/>
      <c r="AN318" s="488"/>
      <c r="AO318" s="488"/>
      <c r="AP318" s="488"/>
      <c r="AQ318" s="488"/>
      <c r="AR318" s="488"/>
      <c r="AS318" s="488"/>
      <c r="AT318" s="488"/>
      <c r="AU318" s="488"/>
      <c r="AV318" s="488"/>
      <c r="AW318" s="488"/>
      <c r="AX318" s="488"/>
      <c r="AY318" s="488"/>
      <c r="AZ318" s="488"/>
      <c r="BA318" s="488"/>
      <c r="BB318" s="488"/>
      <c r="BC318" s="488"/>
      <c r="BD318" s="488"/>
    </row>
    <row r="319" spans="3:56">
      <c r="C319" s="488"/>
      <c r="D319" s="488"/>
      <c r="E319" s="488"/>
      <c r="F319" s="488"/>
      <c r="G319" s="488"/>
      <c r="H319" s="488"/>
      <c r="I319" s="488"/>
      <c r="J319" s="488"/>
      <c r="K319" s="488"/>
      <c r="L319" s="488"/>
      <c r="M319" s="488"/>
      <c r="N319" s="488"/>
      <c r="O319" s="488"/>
      <c r="P319" s="488"/>
      <c r="Q319" s="488"/>
      <c r="R319" s="488"/>
      <c r="S319" s="488"/>
      <c r="T319" s="488"/>
      <c r="U319" s="488"/>
      <c r="V319" s="488"/>
      <c r="W319" s="488"/>
      <c r="X319" s="488"/>
      <c r="Y319" s="488"/>
      <c r="Z319" s="488"/>
      <c r="AA319" s="488"/>
      <c r="AB319" s="488"/>
      <c r="AC319" s="488"/>
      <c r="AD319" s="488"/>
      <c r="AE319" s="488"/>
      <c r="AF319" s="488"/>
      <c r="AG319" s="488"/>
      <c r="AH319" s="488"/>
      <c r="AI319" s="488"/>
      <c r="AJ319" s="488"/>
      <c r="AK319" s="488"/>
      <c r="AL319" s="488"/>
      <c r="AM319" s="488"/>
      <c r="AN319" s="488"/>
      <c r="AO319" s="488"/>
      <c r="AP319" s="488"/>
      <c r="AQ319" s="488"/>
      <c r="AR319" s="488"/>
      <c r="AS319" s="488"/>
      <c r="AT319" s="488"/>
      <c r="AU319" s="488"/>
      <c r="AV319" s="488"/>
      <c r="AW319" s="488"/>
      <c r="AX319" s="488"/>
      <c r="AY319" s="488"/>
      <c r="AZ319" s="488"/>
      <c r="BA319" s="488"/>
      <c r="BB319" s="488"/>
      <c r="BC319" s="488"/>
      <c r="BD319" s="488"/>
    </row>
    <row r="320" spans="3:56">
      <c r="C320" s="488"/>
      <c r="D320" s="488"/>
      <c r="E320" s="488"/>
      <c r="F320" s="488"/>
      <c r="G320" s="488"/>
      <c r="H320" s="488"/>
      <c r="I320" s="488"/>
      <c r="J320" s="488"/>
      <c r="K320" s="488"/>
      <c r="L320" s="488"/>
      <c r="M320" s="488"/>
      <c r="N320" s="488"/>
      <c r="O320" s="488"/>
      <c r="P320" s="488"/>
      <c r="Q320" s="488"/>
      <c r="R320" s="488"/>
      <c r="S320" s="488"/>
      <c r="T320" s="488"/>
      <c r="U320" s="488"/>
      <c r="V320" s="488"/>
      <c r="W320" s="488"/>
      <c r="X320" s="488"/>
      <c r="Y320" s="488"/>
      <c r="Z320" s="488"/>
      <c r="AA320" s="488"/>
      <c r="AB320" s="488"/>
      <c r="AC320" s="488"/>
      <c r="AD320" s="488"/>
      <c r="AE320" s="488"/>
      <c r="AF320" s="488"/>
      <c r="AG320" s="488"/>
      <c r="AH320" s="488"/>
      <c r="AI320" s="488"/>
      <c r="AJ320" s="488"/>
      <c r="AK320" s="488"/>
      <c r="AL320" s="488"/>
      <c r="AM320" s="488"/>
      <c r="AN320" s="488"/>
      <c r="AO320" s="488"/>
      <c r="AP320" s="488"/>
      <c r="AQ320" s="488"/>
      <c r="AR320" s="488"/>
      <c r="AS320" s="488"/>
      <c r="AT320" s="488"/>
      <c r="AU320" s="488"/>
      <c r="AV320" s="488"/>
      <c r="AW320" s="488"/>
      <c r="AX320" s="488"/>
      <c r="AY320" s="488"/>
      <c r="AZ320" s="488"/>
      <c r="BA320" s="488"/>
      <c r="BB320" s="488"/>
      <c r="BC320" s="488"/>
      <c r="BD320" s="488"/>
    </row>
    <row r="321" spans="3:56">
      <c r="C321" s="488"/>
      <c r="D321" s="488"/>
      <c r="E321" s="488"/>
      <c r="F321" s="488"/>
      <c r="G321" s="488"/>
      <c r="H321" s="488"/>
      <c r="I321" s="488"/>
      <c r="J321" s="488"/>
      <c r="K321" s="488"/>
      <c r="L321" s="488"/>
      <c r="M321" s="488"/>
      <c r="N321" s="488"/>
      <c r="O321" s="488"/>
      <c r="P321" s="488"/>
      <c r="Q321" s="488"/>
      <c r="R321" s="488"/>
      <c r="S321" s="488"/>
      <c r="T321" s="488"/>
      <c r="U321" s="488"/>
      <c r="V321" s="488"/>
      <c r="W321" s="488"/>
      <c r="X321" s="488"/>
      <c r="Y321" s="488"/>
      <c r="Z321" s="488"/>
      <c r="AA321" s="488"/>
      <c r="AB321" s="488"/>
      <c r="AC321" s="488"/>
      <c r="AD321" s="488"/>
      <c r="AE321" s="488"/>
      <c r="AF321" s="488"/>
      <c r="AG321" s="488"/>
      <c r="AH321" s="488"/>
      <c r="AI321" s="488"/>
      <c r="AJ321" s="488"/>
      <c r="AK321" s="488"/>
      <c r="AL321" s="488"/>
      <c r="AM321" s="488"/>
      <c r="AN321" s="488"/>
      <c r="AO321" s="488"/>
      <c r="AP321" s="488"/>
      <c r="AQ321" s="488"/>
      <c r="AR321" s="488"/>
      <c r="AS321" s="488"/>
      <c r="AT321" s="488"/>
      <c r="AU321" s="488"/>
      <c r="AV321" s="488"/>
      <c r="AW321" s="488"/>
      <c r="AX321" s="488"/>
      <c r="AY321" s="488"/>
      <c r="AZ321" s="488"/>
      <c r="BA321" s="488"/>
      <c r="BB321" s="488"/>
      <c r="BC321" s="488"/>
      <c r="BD321" s="488"/>
    </row>
    <row r="322" spans="3:56">
      <c r="C322" s="488"/>
      <c r="D322" s="488"/>
      <c r="E322" s="488"/>
      <c r="F322" s="488"/>
      <c r="G322" s="488"/>
      <c r="H322" s="488"/>
      <c r="I322" s="488"/>
      <c r="J322" s="488"/>
      <c r="K322" s="488"/>
      <c r="L322" s="488"/>
      <c r="M322" s="488"/>
      <c r="N322" s="488"/>
      <c r="O322" s="488"/>
      <c r="P322" s="488"/>
      <c r="Q322" s="488"/>
      <c r="R322" s="488"/>
      <c r="S322" s="488"/>
      <c r="T322" s="488"/>
      <c r="U322" s="488"/>
      <c r="V322" s="488"/>
      <c r="W322" s="488"/>
      <c r="X322" s="488"/>
      <c r="Y322" s="488"/>
      <c r="Z322" s="488"/>
      <c r="AA322" s="488"/>
      <c r="AB322" s="488"/>
      <c r="AC322" s="488"/>
      <c r="AD322" s="488"/>
      <c r="AE322" s="488"/>
      <c r="AF322" s="488"/>
      <c r="AG322" s="488"/>
      <c r="AH322" s="488"/>
      <c r="AI322" s="488"/>
      <c r="AJ322" s="488"/>
      <c r="AK322" s="488"/>
      <c r="AL322" s="488"/>
      <c r="AM322" s="488"/>
      <c r="AN322" s="488"/>
      <c r="AO322" s="488"/>
      <c r="AP322" s="488"/>
      <c r="AQ322" s="488"/>
      <c r="AR322" s="488"/>
      <c r="AS322" s="488"/>
      <c r="AT322" s="488"/>
      <c r="AU322" s="488"/>
      <c r="AV322" s="488"/>
      <c r="AW322" s="488"/>
      <c r="AX322" s="488"/>
      <c r="AY322" s="488"/>
      <c r="AZ322" s="488"/>
      <c r="BA322" s="488"/>
      <c r="BB322" s="488"/>
      <c r="BC322" s="488"/>
      <c r="BD322" s="488"/>
    </row>
    <row r="323" spans="3:56">
      <c r="C323" s="488"/>
      <c r="D323" s="488"/>
      <c r="E323" s="488"/>
      <c r="F323" s="488"/>
      <c r="G323" s="488"/>
      <c r="H323" s="488"/>
      <c r="I323" s="488"/>
      <c r="J323" s="488"/>
      <c r="K323" s="488"/>
      <c r="L323" s="488"/>
      <c r="M323" s="488"/>
      <c r="N323" s="488"/>
      <c r="O323" s="488"/>
      <c r="P323" s="488"/>
      <c r="Q323" s="488"/>
      <c r="R323" s="488"/>
      <c r="S323" s="488"/>
      <c r="T323" s="488"/>
      <c r="U323" s="488"/>
      <c r="V323" s="488"/>
      <c r="W323" s="488"/>
      <c r="X323" s="488"/>
      <c r="Y323" s="488"/>
      <c r="Z323" s="488"/>
      <c r="AA323" s="488"/>
      <c r="AB323" s="488"/>
      <c r="AC323" s="488"/>
      <c r="AD323" s="488"/>
      <c r="AE323" s="488"/>
      <c r="AF323" s="488"/>
      <c r="AG323" s="488"/>
      <c r="AH323" s="488"/>
      <c r="AI323" s="488"/>
      <c r="AJ323" s="488"/>
      <c r="AK323" s="488"/>
      <c r="AL323" s="488"/>
      <c r="AM323" s="488"/>
      <c r="AN323" s="488"/>
      <c r="AO323" s="488"/>
      <c r="AP323" s="488"/>
      <c r="AQ323" s="488"/>
      <c r="AR323" s="488"/>
      <c r="AS323" s="488"/>
      <c r="AT323" s="488"/>
      <c r="AU323" s="488"/>
      <c r="AV323" s="488"/>
      <c r="AW323" s="488"/>
      <c r="AX323" s="488"/>
      <c r="AY323" s="488"/>
      <c r="AZ323" s="488"/>
      <c r="BA323" s="488"/>
      <c r="BB323" s="488"/>
      <c r="BC323" s="488"/>
      <c r="BD323" s="488"/>
    </row>
    <row r="324" spans="3:56">
      <c r="C324" s="488"/>
      <c r="D324" s="488"/>
      <c r="E324" s="488"/>
      <c r="F324" s="488"/>
      <c r="G324" s="488"/>
      <c r="H324" s="488"/>
      <c r="I324" s="488"/>
      <c r="J324" s="488"/>
      <c r="K324" s="488"/>
      <c r="L324" s="488"/>
      <c r="M324" s="488"/>
      <c r="N324" s="488"/>
      <c r="O324" s="488"/>
      <c r="P324" s="488"/>
      <c r="Q324" s="488"/>
      <c r="R324" s="488"/>
      <c r="S324" s="488"/>
      <c r="T324" s="488"/>
      <c r="U324" s="488"/>
      <c r="V324" s="488"/>
      <c r="W324" s="488"/>
      <c r="X324" s="488"/>
      <c r="Y324" s="488"/>
      <c r="Z324" s="488"/>
      <c r="AA324" s="488"/>
      <c r="AB324" s="488"/>
      <c r="AC324" s="488"/>
      <c r="AD324" s="488"/>
      <c r="AE324" s="488"/>
      <c r="AF324" s="488"/>
      <c r="AG324" s="488"/>
      <c r="AH324" s="488"/>
      <c r="AI324" s="488"/>
      <c r="AJ324" s="488"/>
      <c r="AK324" s="488"/>
      <c r="AL324" s="488"/>
      <c r="AM324" s="488"/>
      <c r="AN324" s="488"/>
      <c r="AO324" s="488"/>
      <c r="AP324" s="488"/>
      <c r="AQ324" s="488"/>
      <c r="AR324" s="488"/>
      <c r="AS324" s="488"/>
      <c r="AT324" s="488"/>
      <c r="AU324" s="488"/>
      <c r="AV324" s="488"/>
      <c r="AW324" s="488"/>
      <c r="AX324" s="488"/>
      <c r="AY324" s="488"/>
      <c r="AZ324" s="488"/>
      <c r="BA324" s="488"/>
      <c r="BB324" s="488"/>
      <c r="BC324" s="488"/>
      <c r="BD324" s="488"/>
    </row>
    <row r="325" spans="3:56">
      <c r="C325" s="488"/>
      <c r="D325" s="488"/>
      <c r="E325" s="488"/>
      <c r="F325" s="488"/>
      <c r="G325" s="488"/>
      <c r="H325" s="488"/>
      <c r="I325" s="488"/>
      <c r="J325" s="488"/>
      <c r="K325" s="488"/>
      <c r="L325" s="488"/>
      <c r="M325" s="488"/>
      <c r="N325" s="488"/>
      <c r="O325" s="488"/>
      <c r="P325" s="488"/>
      <c r="Q325" s="488"/>
      <c r="R325" s="488"/>
      <c r="S325" s="488"/>
      <c r="T325" s="488"/>
      <c r="U325" s="488"/>
      <c r="V325" s="488"/>
      <c r="W325" s="488"/>
      <c r="X325" s="488"/>
      <c r="Y325" s="488"/>
      <c r="Z325" s="488"/>
      <c r="AA325" s="488"/>
      <c r="AB325" s="488"/>
      <c r="AC325" s="488"/>
      <c r="AD325" s="488"/>
      <c r="AE325" s="488"/>
      <c r="AF325" s="488"/>
      <c r="AG325" s="488"/>
      <c r="AH325" s="488"/>
      <c r="AI325" s="488"/>
      <c r="AJ325" s="488"/>
      <c r="AK325" s="488"/>
      <c r="AL325" s="488"/>
      <c r="AM325" s="488"/>
      <c r="AN325" s="488"/>
      <c r="AO325" s="488"/>
      <c r="AP325" s="488"/>
      <c r="AQ325" s="488"/>
      <c r="AR325" s="488"/>
      <c r="AS325" s="488"/>
      <c r="AT325" s="488"/>
      <c r="AU325" s="488"/>
      <c r="AV325" s="488"/>
      <c r="AW325" s="488"/>
      <c r="AX325" s="488"/>
      <c r="AY325" s="488"/>
      <c r="AZ325" s="488"/>
      <c r="BA325" s="488"/>
      <c r="BB325" s="488"/>
      <c r="BC325" s="488"/>
      <c r="BD325" s="488"/>
    </row>
    <row r="326" spans="3:56">
      <c r="C326" s="488"/>
      <c r="D326" s="488"/>
      <c r="E326" s="488"/>
      <c r="F326" s="488"/>
      <c r="G326" s="488"/>
      <c r="H326" s="488"/>
      <c r="I326" s="488"/>
      <c r="J326" s="488"/>
      <c r="K326" s="488"/>
      <c r="L326" s="488"/>
      <c r="M326" s="488"/>
      <c r="N326" s="488"/>
      <c r="O326" s="488"/>
      <c r="P326" s="488"/>
      <c r="Q326" s="488"/>
      <c r="R326" s="488"/>
      <c r="S326" s="488"/>
      <c r="T326" s="488"/>
      <c r="U326" s="488"/>
      <c r="V326" s="488"/>
      <c r="W326" s="488"/>
      <c r="X326" s="488"/>
      <c r="Y326" s="488"/>
      <c r="Z326" s="488"/>
      <c r="AA326" s="488"/>
      <c r="AB326" s="488"/>
      <c r="AC326" s="488"/>
      <c r="AD326" s="488"/>
      <c r="AE326" s="488"/>
      <c r="AF326" s="488"/>
      <c r="AG326" s="488"/>
      <c r="AH326" s="488"/>
      <c r="AI326" s="488"/>
      <c r="AJ326" s="488"/>
      <c r="AK326" s="488"/>
      <c r="AL326" s="488"/>
      <c r="AM326" s="488"/>
      <c r="AN326" s="488"/>
      <c r="AO326" s="488"/>
      <c r="AP326" s="488"/>
      <c r="AQ326" s="488"/>
      <c r="AR326" s="488"/>
      <c r="AS326" s="488"/>
      <c r="AT326" s="488"/>
      <c r="AU326" s="488"/>
      <c r="AV326" s="488"/>
      <c r="AW326" s="488"/>
      <c r="AX326" s="488"/>
      <c r="AY326" s="488"/>
      <c r="AZ326" s="488"/>
      <c r="BA326" s="488"/>
      <c r="BB326" s="488"/>
      <c r="BC326" s="488"/>
      <c r="BD326" s="488"/>
    </row>
    <row r="327" spans="3:56">
      <c r="C327" s="488"/>
      <c r="D327" s="488"/>
      <c r="E327" s="488"/>
      <c r="F327" s="488"/>
      <c r="G327" s="488"/>
      <c r="H327" s="488"/>
      <c r="I327" s="488"/>
      <c r="J327" s="488"/>
      <c r="K327" s="488"/>
      <c r="L327" s="488"/>
      <c r="M327" s="488"/>
      <c r="N327" s="488"/>
      <c r="O327" s="488"/>
      <c r="P327" s="488"/>
      <c r="Q327" s="488"/>
      <c r="R327" s="488"/>
      <c r="S327" s="488"/>
      <c r="T327" s="488"/>
      <c r="U327" s="488"/>
      <c r="V327" s="488"/>
      <c r="W327" s="488"/>
      <c r="X327" s="488"/>
      <c r="Y327" s="488"/>
      <c r="Z327" s="488"/>
      <c r="AA327" s="488"/>
      <c r="AB327" s="488"/>
      <c r="AC327" s="488"/>
      <c r="AD327" s="488"/>
      <c r="AE327" s="488"/>
      <c r="AF327" s="488"/>
      <c r="AG327" s="488"/>
      <c r="AH327" s="488"/>
      <c r="AI327" s="488"/>
      <c r="AJ327" s="488"/>
      <c r="AK327" s="488"/>
      <c r="AL327" s="488"/>
      <c r="AM327" s="488"/>
      <c r="AN327" s="488"/>
      <c r="AO327" s="488"/>
      <c r="AP327" s="488"/>
      <c r="AQ327" s="488"/>
      <c r="AR327" s="488"/>
      <c r="AS327" s="488"/>
      <c r="AT327" s="488"/>
      <c r="AU327" s="488"/>
      <c r="AV327" s="488"/>
      <c r="AW327" s="488"/>
      <c r="AX327" s="488"/>
      <c r="AY327" s="488"/>
      <c r="AZ327" s="488"/>
      <c r="BA327" s="488"/>
      <c r="BB327" s="488"/>
      <c r="BC327" s="488"/>
      <c r="BD327" s="488"/>
    </row>
    <row r="328" spans="3:56">
      <c r="C328" s="488"/>
      <c r="D328" s="488"/>
      <c r="E328" s="488"/>
      <c r="F328" s="488"/>
      <c r="G328" s="488"/>
      <c r="H328" s="488"/>
      <c r="I328" s="488"/>
      <c r="J328" s="488"/>
      <c r="K328" s="488"/>
      <c r="L328" s="488"/>
      <c r="M328" s="488"/>
      <c r="N328" s="488"/>
      <c r="O328" s="488"/>
      <c r="P328" s="488"/>
      <c r="Q328" s="488"/>
      <c r="R328" s="488"/>
      <c r="S328" s="488"/>
      <c r="T328" s="488"/>
      <c r="U328" s="488"/>
      <c r="V328" s="488"/>
      <c r="W328" s="488"/>
      <c r="X328" s="488"/>
      <c r="Y328" s="488"/>
      <c r="Z328" s="488"/>
      <c r="AA328" s="488"/>
      <c r="AB328" s="488"/>
      <c r="AC328" s="488"/>
      <c r="AD328" s="488"/>
      <c r="AE328" s="488"/>
      <c r="AF328" s="488"/>
      <c r="AG328" s="488"/>
      <c r="AH328" s="488"/>
      <c r="AI328" s="488"/>
      <c r="AJ328" s="488"/>
      <c r="AK328" s="488"/>
      <c r="AL328" s="488"/>
      <c r="AM328" s="488"/>
      <c r="AN328" s="488"/>
      <c r="AO328" s="488"/>
      <c r="AP328" s="488"/>
      <c r="AQ328" s="488"/>
      <c r="AR328" s="488"/>
      <c r="AS328" s="488"/>
      <c r="AT328" s="488"/>
      <c r="AU328" s="488"/>
      <c r="AV328" s="488"/>
      <c r="AW328" s="488"/>
      <c r="AX328" s="488"/>
      <c r="AY328" s="488"/>
      <c r="AZ328" s="488"/>
      <c r="BA328" s="488"/>
      <c r="BB328" s="488"/>
      <c r="BC328" s="488"/>
      <c r="BD328" s="488"/>
    </row>
    <row r="329" spans="3:56">
      <c r="C329" s="488"/>
      <c r="D329" s="488"/>
      <c r="E329" s="488"/>
      <c r="F329" s="488"/>
      <c r="G329" s="488"/>
      <c r="H329" s="488"/>
      <c r="I329" s="488"/>
      <c r="J329" s="488"/>
      <c r="K329" s="488"/>
      <c r="L329" s="488"/>
      <c r="M329" s="488"/>
      <c r="N329" s="488"/>
      <c r="O329" s="488"/>
      <c r="P329" s="488"/>
      <c r="Q329" s="488"/>
      <c r="R329" s="488"/>
      <c r="S329" s="488"/>
      <c r="T329" s="488"/>
      <c r="U329" s="488"/>
      <c r="V329" s="488"/>
      <c r="W329" s="488"/>
      <c r="X329" s="488"/>
      <c r="Y329" s="488"/>
      <c r="Z329" s="488"/>
      <c r="AA329" s="488"/>
      <c r="AB329" s="488"/>
      <c r="AC329" s="488"/>
      <c r="AD329" s="488"/>
      <c r="AE329" s="488"/>
      <c r="AF329" s="488"/>
      <c r="AG329" s="488"/>
      <c r="AH329" s="488"/>
      <c r="AI329" s="488"/>
      <c r="AJ329" s="488"/>
      <c r="AK329" s="488"/>
      <c r="AL329" s="488"/>
      <c r="AM329" s="488"/>
      <c r="AN329" s="488"/>
      <c r="AO329" s="488"/>
      <c r="AP329" s="488"/>
      <c r="AQ329" s="488"/>
      <c r="AR329" s="488"/>
      <c r="AS329" s="488"/>
      <c r="AT329" s="488"/>
      <c r="AU329" s="488"/>
      <c r="AV329" s="488"/>
      <c r="AW329" s="488"/>
      <c r="AX329" s="488"/>
      <c r="AY329" s="488"/>
      <c r="AZ329" s="488"/>
      <c r="BA329" s="488"/>
      <c r="BB329" s="488"/>
      <c r="BC329" s="488"/>
      <c r="BD329" s="488"/>
    </row>
    <row r="330" spans="3:56">
      <c r="C330" s="488"/>
      <c r="D330" s="488"/>
      <c r="E330" s="488"/>
      <c r="F330" s="488"/>
      <c r="G330" s="488"/>
      <c r="H330" s="488"/>
      <c r="I330" s="488"/>
      <c r="J330" s="488"/>
      <c r="K330" s="488"/>
      <c r="L330" s="488"/>
      <c r="M330" s="488"/>
      <c r="N330" s="488"/>
      <c r="O330" s="488"/>
      <c r="P330" s="488"/>
      <c r="Q330" s="488"/>
      <c r="R330" s="488"/>
      <c r="S330" s="488"/>
      <c r="T330" s="488"/>
      <c r="U330" s="488"/>
      <c r="V330" s="488"/>
      <c r="W330" s="488"/>
      <c r="X330" s="488"/>
      <c r="Y330" s="488"/>
      <c r="Z330" s="488"/>
      <c r="AA330" s="488"/>
      <c r="AB330" s="488"/>
      <c r="AC330" s="488"/>
      <c r="AD330" s="488"/>
      <c r="AE330" s="488"/>
      <c r="AF330" s="488"/>
      <c r="AG330" s="488"/>
      <c r="AH330" s="488"/>
      <c r="AI330" s="488"/>
      <c r="AJ330" s="488"/>
      <c r="AK330" s="488"/>
      <c r="AL330" s="488"/>
      <c r="AM330" s="488"/>
      <c r="AN330" s="488"/>
      <c r="AO330" s="488"/>
      <c r="AP330" s="488"/>
      <c r="AQ330" s="488"/>
      <c r="AR330" s="488"/>
      <c r="AS330" s="488"/>
      <c r="AT330" s="488"/>
      <c r="AU330" s="488"/>
      <c r="AV330" s="488"/>
      <c r="AW330" s="488"/>
      <c r="AX330" s="488"/>
      <c r="AY330" s="488"/>
      <c r="AZ330" s="488"/>
      <c r="BA330" s="488"/>
      <c r="BB330" s="488"/>
      <c r="BC330" s="488"/>
      <c r="BD330" s="488"/>
    </row>
    <row r="331" spans="3:56">
      <c r="C331" s="488"/>
      <c r="D331" s="488"/>
      <c r="E331" s="488"/>
      <c r="F331" s="488"/>
      <c r="G331" s="488"/>
      <c r="H331" s="488"/>
      <c r="I331" s="488"/>
      <c r="J331" s="488"/>
      <c r="K331" s="488"/>
      <c r="L331" s="488"/>
      <c r="M331" s="488"/>
      <c r="N331" s="488"/>
      <c r="O331" s="488"/>
      <c r="P331" s="488"/>
      <c r="Q331" s="488"/>
      <c r="R331" s="488"/>
      <c r="S331" s="488"/>
      <c r="T331" s="488"/>
      <c r="U331" s="488"/>
      <c r="V331" s="488"/>
      <c r="W331" s="488"/>
      <c r="X331" s="488"/>
      <c r="Y331" s="488"/>
      <c r="Z331" s="488"/>
      <c r="AA331" s="488"/>
      <c r="AB331" s="488"/>
      <c r="AC331" s="488"/>
      <c r="AD331" s="488"/>
      <c r="AE331" s="488"/>
      <c r="AF331" s="488"/>
      <c r="AG331" s="488"/>
      <c r="AH331" s="488"/>
      <c r="AI331" s="488"/>
      <c r="AJ331" s="488"/>
      <c r="AK331" s="488"/>
      <c r="AL331" s="488"/>
      <c r="AM331" s="488"/>
      <c r="AN331" s="488"/>
      <c r="AO331" s="488"/>
      <c r="AP331" s="488"/>
      <c r="AQ331" s="488"/>
      <c r="AR331" s="488"/>
      <c r="AS331" s="488"/>
      <c r="AT331" s="488"/>
      <c r="AU331" s="488"/>
      <c r="AV331" s="488"/>
      <c r="AW331" s="488"/>
      <c r="AX331" s="488"/>
      <c r="AY331" s="488"/>
      <c r="AZ331" s="488"/>
      <c r="BA331" s="488"/>
      <c r="BB331" s="488"/>
      <c r="BC331" s="488"/>
      <c r="BD331" s="488"/>
    </row>
    <row r="332" spans="3:56">
      <c r="C332" s="488"/>
      <c r="D332" s="488"/>
      <c r="E332" s="488"/>
      <c r="F332" s="488"/>
      <c r="G332" s="488"/>
      <c r="H332" s="488"/>
      <c r="I332" s="488"/>
      <c r="J332" s="488"/>
      <c r="K332" s="488"/>
      <c r="L332" s="488"/>
      <c r="M332" s="488"/>
      <c r="N332" s="488"/>
      <c r="O332" s="488"/>
      <c r="P332" s="488"/>
      <c r="Q332" s="488"/>
      <c r="R332" s="488"/>
      <c r="S332" s="488"/>
      <c r="T332" s="488"/>
      <c r="U332" s="488"/>
      <c r="V332" s="488"/>
      <c r="W332" s="488"/>
      <c r="X332" s="488"/>
      <c r="Y332" s="488"/>
      <c r="Z332" s="488"/>
      <c r="AA332" s="488"/>
      <c r="AB332" s="488"/>
      <c r="AC332" s="488"/>
      <c r="AD332" s="488"/>
      <c r="AE332" s="488"/>
      <c r="AF332" s="488"/>
      <c r="AG332" s="488"/>
      <c r="AH332" s="488"/>
      <c r="AI332" s="488"/>
      <c r="AJ332" s="488"/>
      <c r="AK332" s="488"/>
      <c r="AL332" s="488"/>
      <c r="AM332" s="488"/>
      <c r="AN332" s="488"/>
      <c r="AO332" s="488"/>
      <c r="AP332" s="488"/>
      <c r="AQ332" s="488"/>
      <c r="AR332" s="488"/>
      <c r="AS332" s="488"/>
      <c r="AT332" s="488"/>
      <c r="AU332" s="488"/>
      <c r="AV332" s="488"/>
      <c r="AW332" s="488"/>
      <c r="AX332" s="488"/>
      <c r="AY332" s="488"/>
      <c r="AZ332" s="488"/>
      <c r="BA332" s="488"/>
      <c r="BB332" s="488"/>
      <c r="BC332" s="488"/>
      <c r="BD332" s="488"/>
    </row>
    <row r="333" spans="3:56">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row>
    <row r="334" spans="3:56">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row>
    <row r="335" spans="3:56">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row>
    <row r="336" spans="3:56">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row>
    <row r="337" spans="3:56">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row>
    <row r="338" spans="3:56">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row>
    <row r="339" spans="3:56">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row>
    <row r="340" spans="3:56">
      <c r="C340" s="488"/>
      <c r="D340" s="488"/>
      <c r="E340" s="488"/>
      <c r="F340" s="488"/>
      <c r="G340" s="488"/>
      <c r="H340" s="488"/>
      <c r="I340" s="488"/>
      <c r="J340" s="488"/>
      <c r="K340" s="488"/>
      <c r="L340" s="488"/>
      <c r="M340" s="488"/>
      <c r="N340" s="488"/>
      <c r="O340" s="488"/>
      <c r="P340" s="488"/>
      <c r="Q340" s="488"/>
      <c r="R340" s="488"/>
      <c r="S340" s="488"/>
      <c r="T340" s="488"/>
      <c r="U340" s="488"/>
      <c r="V340" s="488"/>
      <c r="W340" s="488"/>
      <c r="X340" s="488"/>
      <c r="Y340" s="488"/>
      <c r="Z340" s="488"/>
      <c r="AA340" s="488"/>
      <c r="AB340" s="488"/>
      <c r="AC340" s="488"/>
      <c r="AD340" s="488"/>
      <c r="AE340" s="488"/>
      <c r="AF340" s="488"/>
      <c r="AG340" s="488"/>
      <c r="AH340" s="488"/>
      <c r="AI340" s="488"/>
      <c r="AJ340" s="488"/>
      <c r="AK340" s="488"/>
      <c r="AL340" s="488"/>
      <c r="AM340" s="488"/>
      <c r="AN340" s="488"/>
      <c r="AO340" s="488"/>
      <c r="AP340" s="488"/>
      <c r="AQ340" s="488"/>
      <c r="AR340" s="488"/>
      <c r="AS340" s="488"/>
      <c r="AT340" s="488"/>
      <c r="AU340" s="488"/>
      <c r="AV340" s="488"/>
      <c r="AW340" s="488"/>
      <c r="AX340" s="488"/>
      <c r="AY340" s="488"/>
      <c r="AZ340" s="488"/>
      <c r="BA340" s="488"/>
      <c r="BB340" s="488"/>
      <c r="BC340" s="488"/>
      <c r="BD340" s="488"/>
    </row>
    <row r="341" spans="3:56">
      <c r="C341" s="488"/>
      <c r="D341" s="488"/>
      <c r="E341" s="488"/>
      <c r="F341" s="488"/>
      <c r="G341" s="488"/>
      <c r="H341" s="488"/>
      <c r="I341" s="488"/>
      <c r="J341" s="488"/>
      <c r="K341" s="488"/>
      <c r="L341" s="488"/>
      <c r="M341" s="488"/>
      <c r="N341" s="488"/>
      <c r="O341" s="488"/>
      <c r="P341" s="488"/>
      <c r="Q341" s="488"/>
      <c r="R341" s="488"/>
      <c r="S341" s="488"/>
      <c r="T341" s="488"/>
      <c r="U341" s="488"/>
      <c r="V341" s="488"/>
      <c r="W341" s="488"/>
      <c r="X341" s="488"/>
      <c r="Y341" s="488"/>
      <c r="Z341" s="488"/>
      <c r="AA341" s="488"/>
      <c r="AB341" s="488"/>
      <c r="AC341" s="488"/>
      <c r="AD341" s="488"/>
      <c r="AE341" s="488"/>
      <c r="AF341" s="488"/>
      <c r="AG341" s="488"/>
      <c r="AH341" s="488"/>
      <c r="AI341" s="488"/>
      <c r="AJ341" s="488"/>
      <c r="AK341" s="488"/>
      <c r="AL341" s="488"/>
      <c r="AM341" s="488"/>
      <c r="AN341" s="488"/>
      <c r="AO341" s="488"/>
      <c r="AP341" s="488"/>
      <c r="AQ341" s="488"/>
      <c r="AR341" s="488"/>
      <c r="AS341" s="488"/>
      <c r="AT341" s="488"/>
      <c r="AU341" s="488"/>
      <c r="AV341" s="488"/>
      <c r="AW341" s="488"/>
      <c r="AX341" s="488"/>
      <c r="AY341" s="488"/>
      <c r="AZ341" s="488"/>
      <c r="BA341" s="488"/>
      <c r="BB341" s="488"/>
      <c r="BC341" s="488"/>
      <c r="BD341" s="488"/>
    </row>
    <row r="342" spans="3:56">
      <c r="C342" s="488"/>
      <c r="D342" s="488"/>
      <c r="E342" s="488"/>
      <c r="F342" s="488"/>
      <c r="G342" s="488"/>
      <c r="H342" s="488"/>
      <c r="I342" s="488"/>
      <c r="J342" s="488"/>
      <c r="K342" s="488"/>
      <c r="L342" s="488"/>
      <c r="M342" s="488"/>
      <c r="N342" s="488"/>
      <c r="O342" s="488"/>
      <c r="P342" s="488"/>
      <c r="Q342" s="488"/>
      <c r="R342" s="488"/>
      <c r="S342" s="488"/>
      <c r="T342" s="488"/>
      <c r="U342" s="488"/>
      <c r="V342" s="488"/>
      <c r="W342" s="488"/>
      <c r="X342" s="488"/>
      <c r="Y342" s="488"/>
      <c r="Z342" s="488"/>
      <c r="AA342" s="488"/>
      <c r="AB342" s="488"/>
      <c r="AC342" s="488"/>
      <c r="AD342" s="488"/>
      <c r="AE342" s="488"/>
      <c r="AF342" s="488"/>
      <c r="AG342" s="488"/>
      <c r="AH342" s="488"/>
      <c r="AI342" s="488"/>
      <c r="AJ342" s="488"/>
      <c r="AK342" s="488"/>
      <c r="AL342" s="488"/>
      <c r="AM342" s="488"/>
      <c r="AN342" s="488"/>
      <c r="AO342" s="488"/>
      <c r="AP342" s="488"/>
      <c r="AQ342" s="488"/>
      <c r="AR342" s="488"/>
      <c r="AS342" s="488"/>
      <c r="AT342" s="488"/>
      <c r="AU342" s="488"/>
      <c r="AV342" s="488"/>
      <c r="AW342" s="488"/>
      <c r="AX342" s="488"/>
      <c r="AY342" s="488"/>
      <c r="AZ342" s="488"/>
      <c r="BA342" s="488"/>
      <c r="BB342" s="488"/>
      <c r="BC342" s="488"/>
      <c r="BD342" s="488"/>
    </row>
    <row r="343" spans="3:56">
      <c r="C343" s="488"/>
      <c r="D343" s="488"/>
      <c r="E343" s="488"/>
      <c r="F343" s="488"/>
      <c r="G343" s="488"/>
      <c r="H343" s="488"/>
      <c r="I343" s="488"/>
      <c r="J343" s="488"/>
      <c r="K343" s="488"/>
      <c r="L343" s="488"/>
      <c r="M343" s="488"/>
      <c r="N343" s="488"/>
      <c r="O343" s="488"/>
      <c r="P343" s="488"/>
      <c r="Q343" s="488"/>
      <c r="R343" s="488"/>
      <c r="S343" s="488"/>
      <c r="T343" s="488"/>
      <c r="U343" s="488"/>
      <c r="V343" s="488"/>
      <c r="W343" s="488"/>
      <c r="X343" s="488"/>
      <c r="Y343" s="488"/>
      <c r="Z343" s="488"/>
      <c r="AA343" s="488"/>
      <c r="AB343" s="488"/>
      <c r="AC343" s="488"/>
      <c r="AD343" s="488"/>
      <c r="AE343" s="488"/>
      <c r="AF343" s="488"/>
      <c r="AG343" s="488"/>
      <c r="AH343" s="488"/>
      <c r="AI343" s="488"/>
      <c r="AJ343" s="488"/>
      <c r="AK343" s="488"/>
      <c r="AL343" s="488"/>
      <c r="AM343" s="488"/>
      <c r="AN343" s="488"/>
      <c r="AO343" s="488"/>
      <c r="AP343" s="488"/>
      <c r="AQ343" s="488"/>
      <c r="AR343" s="488"/>
      <c r="AS343" s="488"/>
      <c r="AT343" s="488"/>
      <c r="AU343" s="488"/>
      <c r="AV343" s="488"/>
      <c r="AW343" s="488"/>
      <c r="AX343" s="488"/>
      <c r="AY343" s="488"/>
      <c r="AZ343" s="488"/>
      <c r="BA343" s="488"/>
      <c r="BB343" s="488"/>
      <c r="BC343" s="488"/>
      <c r="BD343" s="488"/>
    </row>
    <row r="344" spans="3:56">
      <c r="C344" s="488"/>
      <c r="D344" s="488"/>
      <c r="E344" s="488"/>
      <c r="F344" s="488"/>
      <c r="G344" s="488"/>
      <c r="H344" s="488"/>
      <c r="I344" s="488"/>
      <c r="J344" s="488"/>
      <c r="K344" s="488"/>
      <c r="L344" s="488"/>
      <c r="M344" s="488"/>
      <c r="N344" s="488"/>
      <c r="O344" s="488"/>
      <c r="P344" s="488"/>
      <c r="Q344" s="488"/>
      <c r="R344" s="488"/>
      <c r="S344" s="488"/>
      <c r="T344" s="488"/>
      <c r="U344" s="488"/>
      <c r="V344" s="488"/>
      <c r="W344" s="488"/>
      <c r="X344" s="488"/>
      <c r="Y344" s="488"/>
      <c r="Z344" s="488"/>
      <c r="AA344" s="488"/>
      <c r="AB344" s="488"/>
      <c r="AC344" s="488"/>
      <c r="AD344" s="488"/>
      <c r="AE344" s="488"/>
      <c r="AF344" s="488"/>
      <c r="AG344" s="488"/>
      <c r="AH344" s="488"/>
      <c r="AI344" s="488"/>
      <c r="AJ344" s="488"/>
      <c r="AK344" s="488"/>
      <c r="AL344" s="488"/>
      <c r="AM344" s="488"/>
      <c r="AN344" s="488"/>
      <c r="AO344" s="488"/>
      <c r="AP344" s="488"/>
      <c r="AQ344" s="488"/>
      <c r="AR344" s="488"/>
      <c r="AS344" s="488"/>
      <c r="AT344" s="488"/>
      <c r="AU344" s="488"/>
      <c r="AV344" s="488"/>
      <c r="AW344" s="488"/>
      <c r="AX344" s="488"/>
      <c r="AY344" s="488"/>
      <c r="AZ344" s="488"/>
      <c r="BA344" s="488"/>
      <c r="BB344" s="488"/>
      <c r="BC344" s="488"/>
      <c r="BD344" s="488"/>
    </row>
    <row r="345" spans="3:56">
      <c r="C345" s="488"/>
      <c r="D345" s="488"/>
      <c r="E345" s="488"/>
      <c r="F345" s="488"/>
      <c r="G345" s="488"/>
      <c r="H345" s="488"/>
      <c r="I345" s="488"/>
      <c r="J345" s="488"/>
      <c r="K345" s="488"/>
      <c r="L345" s="488"/>
      <c r="M345" s="488"/>
      <c r="N345" s="488"/>
      <c r="O345" s="488"/>
      <c r="P345" s="488"/>
      <c r="Q345" s="488"/>
      <c r="R345" s="488"/>
      <c r="S345" s="488"/>
      <c r="T345" s="488"/>
      <c r="U345" s="488"/>
      <c r="V345" s="488"/>
      <c r="W345" s="488"/>
      <c r="X345" s="488"/>
      <c r="Y345" s="488"/>
      <c r="Z345" s="488"/>
      <c r="AA345" s="488"/>
      <c r="AB345" s="488"/>
      <c r="AC345" s="488"/>
      <c r="AD345" s="488"/>
      <c r="AE345" s="488"/>
      <c r="AF345" s="488"/>
      <c r="AG345" s="488"/>
      <c r="AH345" s="488"/>
      <c r="AI345" s="488"/>
      <c r="AJ345" s="488"/>
      <c r="AK345" s="488"/>
      <c r="AL345" s="488"/>
      <c r="AM345" s="488"/>
      <c r="AN345" s="488"/>
      <c r="AO345" s="488"/>
      <c r="AP345" s="488"/>
      <c r="AQ345" s="488"/>
      <c r="AR345" s="488"/>
      <c r="AS345" s="488"/>
      <c r="AT345" s="488"/>
      <c r="AU345" s="488"/>
      <c r="AV345" s="488"/>
      <c r="AW345" s="488"/>
      <c r="AX345" s="488"/>
      <c r="AY345" s="488"/>
      <c r="AZ345" s="488"/>
      <c r="BA345" s="488"/>
      <c r="BB345" s="488"/>
      <c r="BC345" s="488"/>
      <c r="BD345" s="488"/>
    </row>
    <row r="346" spans="3:56">
      <c r="C346" s="488"/>
      <c r="D346" s="488"/>
      <c r="E346" s="488"/>
      <c r="F346" s="488"/>
      <c r="G346" s="488"/>
      <c r="H346" s="488"/>
      <c r="I346" s="488"/>
      <c r="J346" s="488"/>
      <c r="K346" s="488"/>
      <c r="L346" s="488"/>
      <c r="M346" s="488"/>
      <c r="N346" s="488"/>
      <c r="O346" s="488"/>
      <c r="P346" s="488"/>
      <c r="Q346" s="488"/>
      <c r="R346" s="488"/>
      <c r="S346" s="488"/>
      <c r="T346" s="488"/>
      <c r="U346" s="488"/>
      <c r="V346" s="488"/>
      <c r="W346" s="488"/>
      <c r="X346" s="488"/>
      <c r="Y346" s="488"/>
      <c r="Z346" s="488"/>
      <c r="AA346" s="488"/>
      <c r="AB346" s="488"/>
      <c r="AC346" s="488"/>
      <c r="AD346" s="488"/>
      <c r="AE346" s="488"/>
      <c r="AF346" s="488"/>
      <c r="AG346" s="488"/>
      <c r="AH346" s="488"/>
      <c r="AI346" s="488"/>
      <c r="AJ346" s="488"/>
      <c r="AK346" s="488"/>
      <c r="AL346" s="488"/>
      <c r="AM346" s="488"/>
      <c r="AN346" s="488"/>
      <c r="AO346" s="488"/>
      <c r="AP346" s="488"/>
      <c r="AQ346" s="488"/>
      <c r="AR346" s="488"/>
      <c r="AS346" s="488"/>
      <c r="AT346" s="488"/>
      <c r="AU346" s="488"/>
      <c r="AV346" s="488"/>
      <c r="AW346" s="488"/>
      <c r="AX346" s="488"/>
      <c r="AY346" s="488"/>
      <c r="AZ346" s="488"/>
      <c r="BA346" s="488"/>
      <c r="BB346" s="488"/>
      <c r="BC346" s="488"/>
      <c r="BD346" s="488"/>
    </row>
    <row r="347" spans="3:56">
      <c r="C347" s="488"/>
      <c r="D347" s="488"/>
      <c r="E347" s="488"/>
      <c r="F347" s="488"/>
      <c r="G347" s="488"/>
      <c r="H347" s="488"/>
      <c r="I347" s="488"/>
      <c r="J347" s="488"/>
      <c r="K347" s="488"/>
      <c r="L347" s="488"/>
      <c r="M347" s="488"/>
      <c r="N347" s="488"/>
      <c r="O347" s="488"/>
      <c r="P347" s="488"/>
      <c r="Q347" s="488"/>
      <c r="R347" s="488"/>
      <c r="S347" s="488"/>
      <c r="T347" s="488"/>
      <c r="U347" s="488"/>
      <c r="V347" s="488"/>
      <c r="W347" s="488"/>
      <c r="X347" s="488"/>
      <c r="Y347" s="488"/>
      <c r="Z347" s="488"/>
      <c r="AA347" s="488"/>
      <c r="AB347" s="488"/>
      <c r="AC347" s="488"/>
      <c r="AD347" s="488"/>
      <c r="AE347" s="488"/>
      <c r="AF347" s="488"/>
      <c r="AG347" s="488"/>
      <c r="AH347" s="488"/>
      <c r="AI347" s="488"/>
      <c r="AJ347" s="488"/>
      <c r="AK347" s="488"/>
      <c r="AL347" s="488"/>
      <c r="AM347" s="488"/>
      <c r="AN347" s="488"/>
      <c r="AO347" s="488"/>
      <c r="AP347" s="488"/>
      <c r="AQ347" s="488"/>
      <c r="AR347" s="488"/>
      <c r="AS347" s="488"/>
      <c r="AT347" s="488"/>
      <c r="AU347" s="488"/>
      <c r="AV347" s="488"/>
      <c r="AW347" s="488"/>
      <c r="AX347" s="488"/>
      <c r="AY347" s="488"/>
      <c r="AZ347" s="488"/>
      <c r="BA347" s="488"/>
      <c r="BB347" s="488"/>
      <c r="BC347" s="488"/>
      <c r="BD347" s="488"/>
    </row>
    <row r="348" spans="3:56">
      <c r="C348" s="488"/>
      <c r="D348" s="488"/>
      <c r="E348" s="488"/>
      <c r="F348" s="488"/>
      <c r="G348" s="488"/>
      <c r="H348" s="488"/>
      <c r="I348" s="488"/>
      <c r="J348" s="488"/>
      <c r="K348" s="488"/>
      <c r="L348" s="488"/>
      <c r="M348" s="488"/>
      <c r="N348" s="488"/>
      <c r="O348" s="488"/>
      <c r="P348" s="488"/>
      <c r="Q348" s="488"/>
      <c r="R348" s="488"/>
      <c r="S348" s="488"/>
      <c r="T348" s="488"/>
      <c r="U348" s="488"/>
      <c r="V348" s="488"/>
      <c r="W348" s="488"/>
      <c r="X348" s="488"/>
      <c r="Y348" s="488"/>
      <c r="Z348" s="488"/>
      <c r="AA348" s="488"/>
      <c r="AB348" s="488"/>
      <c r="AC348" s="488"/>
      <c r="AD348" s="488"/>
      <c r="AE348" s="488"/>
      <c r="AF348" s="488"/>
      <c r="AG348" s="488"/>
      <c r="AH348" s="488"/>
      <c r="AI348" s="488"/>
      <c r="AJ348" s="488"/>
      <c r="AK348" s="488"/>
      <c r="AL348" s="488"/>
      <c r="AM348" s="488"/>
      <c r="AN348" s="488"/>
      <c r="AO348" s="488"/>
      <c r="AP348" s="488"/>
      <c r="AQ348" s="488"/>
      <c r="AR348" s="488"/>
      <c r="AS348" s="488"/>
      <c r="AT348" s="488"/>
      <c r="AU348" s="488"/>
      <c r="AV348" s="488"/>
      <c r="AW348" s="488"/>
      <c r="AX348" s="488"/>
      <c r="AY348" s="488"/>
      <c r="AZ348" s="488"/>
      <c r="BA348" s="488"/>
      <c r="BB348" s="488"/>
      <c r="BC348" s="488"/>
      <c r="BD348" s="488"/>
    </row>
    <row r="349" spans="3:56">
      <c r="C349" s="488"/>
      <c r="D349" s="488"/>
      <c r="E349" s="488"/>
      <c r="F349" s="488"/>
      <c r="G349" s="488"/>
      <c r="H349" s="488"/>
      <c r="I349" s="488"/>
      <c r="J349" s="488"/>
      <c r="K349" s="488"/>
      <c r="L349" s="488"/>
      <c r="M349" s="488"/>
      <c r="N349" s="488"/>
      <c r="O349" s="488"/>
      <c r="P349" s="488"/>
      <c r="Q349" s="488"/>
      <c r="R349" s="488"/>
      <c r="S349" s="488"/>
      <c r="T349" s="488"/>
      <c r="U349" s="488"/>
      <c r="V349" s="488"/>
      <c r="W349" s="488"/>
      <c r="X349" s="488"/>
      <c r="Y349" s="488"/>
      <c r="Z349" s="488"/>
      <c r="AA349" s="488"/>
      <c r="AB349" s="488"/>
      <c r="AC349" s="488"/>
      <c r="AD349" s="488"/>
      <c r="AE349" s="488"/>
      <c r="AF349" s="488"/>
      <c r="AG349" s="488"/>
      <c r="AH349" s="488"/>
      <c r="AI349" s="488"/>
      <c r="AJ349" s="488"/>
      <c r="AK349" s="488"/>
      <c r="AL349" s="488"/>
      <c r="AM349" s="488"/>
      <c r="AN349" s="488"/>
      <c r="AO349" s="488"/>
      <c r="AP349" s="488"/>
      <c r="AQ349" s="488"/>
      <c r="AR349" s="488"/>
      <c r="AS349" s="488"/>
      <c r="AT349" s="488"/>
      <c r="AU349" s="488"/>
      <c r="AV349" s="488"/>
      <c r="AW349" s="488"/>
      <c r="AX349" s="488"/>
      <c r="AY349" s="488"/>
      <c r="AZ349" s="488"/>
      <c r="BA349" s="488"/>
      <c r="BB349" s="488"/>
      <c r="BC349" s="488"/>
      <c r="BD349" s="488"/>
    </row>
    <row r="350" spans="3:56">
      <c r="C350" s="488"/>
      <c r="D350" s="488"/>
      <c r="E350" s="488"/>
      <c r="F350" s="488"/>
      <c r="G350" s="488"/>
      <c r="H350" s="488"/>
      <c r="I350" s="488"/>
      <c r="J350" s="488"/>
      <c r="K350" s="488"/>
      <c r="L350" s="488"/>
      <c r="M350" s="488"/>
      <c r="N350" s="488"/>
      <c r="O350" s="488"/>
      <c r="P350" s="488"/>
      <c r="Q350" s="488"/>
      <c r="R350" s="488"/>
      <c r="S350" s="488"/>
      <c r="T350" s="488"/>
      <c r="U350" s="488"/>
      <c r="V350" s="488"/>
      <c r="W350" s="488"/>
      <c r="X350" s="488"/>
      <c r="Y350" s="488"/>
      <c r="Z350" s="488"/>
      <c r="AA350" s="488"/>
      <c r="AB350" s="488"/>
      <c r="AC350" s="488"/>
      <c r="AD350" s="488"/>
      <c r="AE350" s="488"/>
      <c r="AF350" s="488"/>
      <c r="AG350" s="488"/>
      <c r="AH350" s="488"/>
      <c r="AI350" s="488"/>
      <c r="AJ350" s="488"/>
      <c r="AK350" s="488"/>
      <c r="AL350" s="488"/>
      <c r="AM350" s="488"/>
      <c r="AN350" s="488"/>
      <c r="AO350" s="488"/>
      <c r="AP350" s="488"/>
      <c r="AQ350" s="488"/>
      <c r="AR350" s="488"/>
      <c r="AS350" s="488"/>
      <c r="AT350" s="488"/>
      <c r="AU350" s="488"/>
      <c r="AV350" s="488"/>
      <c r="AW350" s="488"/>
      <c r="AX350" s="488"/>
      <c r="AY350" s="488"/>
      <c r="AZ350" s="488"/>
      <c r="BA350" s="488"/>
      <c r="BB350" s="488"/>
      <c r="BC350" s="488"/>
      <c r="BD350" s="488"/>
    </row>
    <row r="351" spans="3:56">
      <c r="C351" s="488"/>
      <c r="D351" s="488"/>
      <c r="E351" s="488"/>
      <c r="F351" s="488"/>
      <c r="G351" s="488"/>
      <c r="H351" s="488"/>
      <c r="I351" s="488"/>
      <c r="J351" s="488"/>
      <c r="K351" s="488"/>
      <c r="L351" s="488"/>
      <c r="M351" s="488"/>
      <c r="N351" s="488"/>
      <c r="O351" s="488"/>
      <c r="P351" s="488"/>
      <c r="Q351" s="488"/>
      <c r="R351" s="488"/>
      <c r="S351" s="488"/>
      <c r="T351" s="488"/>
      <c r="U351" s="488"/>
      <c r="V351" s="488"/>
      <c r="W351" s="488"/>
      <c r="X351" s="488"/>
      <c r="Y351" s="488"/>
      <c r="Z351" s="488"/>
      <c r="AA351" s="488"/>
      <c r="AB351" s="488"/>
      <c r="AC351" s="488"/>
      <c r="AD351" s="488"/>
      <c r="AE351" s="488"/>
      <c r="AF351" s="488"/>
      <c r="AG351" s="488"/>
      <c r="AH351" s="488"/>
      <c r="AI351" s="488"/>
      <c r="AJ351" s="488"/>
      <c r="AK351" s="488"/>
      <c r="AL351" s="488"/>
      <c r="AM351" s="488"/>
      <c r="AN351" s="488"/>
      <c r="AO351" s="488"/>
      <c r="AP351" s="488"/>
      <c r="AQ351" s="488"/>
      <c r="AR351" s="488"/>
      <c r="AS351" s="488"/>
      <c r="AT351" s="488"/>
      <c r="AU351" s="488"/>
      <c r="AV351" s="488"/>
      <c r="AW351" s="488"/>
      <c r="AX351" s="488"/>
      <c r="AY351" s="488"/>
      <c r="AZ351" s="488"/>
      <c r="BA351" s="488"/>
      <c r="BB351" s="488"/>
      <c r="BC351" s="488"/>
      <c r="BD351" s="488"/>
    </row>
    <row r="352" spans="3:56">
      <c r="C352" s="488"/>
      <c r="D352" s="488"/>
      <c r="E352" s="488"/>
      <c r="F352" s="488"/>
      <c r="G352" s="488"/>
      <c r="H352" s="488"/>
      <c r="I352" s="488"/>
      <c r="J352" s="488"/>
      <c r="K352" s="488"/>
      <c r="L352" s="488"/>
      <c r="M352" s="488"/>
      <c r="N352" s="488"/>
      <c r="O352" s="488"/>
      <c r="P352" s="488"/>
      <c r="Q352" s="488"/>
      <c r="R352" s="488"/>
      <c r="S352" s="488"/>
      <c r="T352" s="488"/>
      <c r="U352" s="488"/>
      <c r="V352" s="488"/>
      <c r="W352" s="488"/>
      <c r="X352" s="488"/>
      <c r="Y352" s="488"/>
      <c r="Z352" s="488"/>
      <c r="AA352" s="488"/>
      <c r="AB352" s="488"/>
      <c r="AC352" s="488"/>
      <c r="AD352" s="488"/>
      <c r="AE352" s="488"/>
      <c r="AF352" s="488"/>
      <c r="AG352" s="488"/>
      <c r="AH352" s="488"/>
      <c r="AI352" s="488"/>
      <c r="AJ352" s="488"/>
      <c r="AK352" s="488"/>
      <c r="AL352" s="488"/>
      <c r="AM352" s="488"/>
      <c r="AN352" s="488"/>
      <c r="AO352" s="488"/>
      <c r="AP352" s="488"/>
      <c r="AQ352" s="488"/>
      <c r="AR352" s="488"/>
      <c r="AS352" s="488"/>
      <c r="AT352" s="488"/>
      <c r="AU352" s="488"/>
      <c r="AV352" s="488"/>
      <c r="AW352" s="488"/>
      <c r="AX352" s="488"/>
      <c r="AY352" s="488"/>
      <c r="AZ352" s="488"/>
      <c r="BA352" s="488"/>
      <c r="BB352" s="488"/>
      <c r="BC352" s="488"/>
      <c r="BD352" s="488"/>
    </row>
    <row r="353" spans="3:56">
      <c r="C353" s="488"/>
      <c r="D353" s="488"/>
      <c r="E353" s="488"/>
      <c r="F353" s="488"/>
      <c r="G353" s="488"/>
      <c r="H353" s="488"/>
      <c r="I353" s="488"/>
      <c r="J353" s="488"/>
      <c r="K353" s="488"/>
      <c r="L353" s="488"/>
      <c r="M353" s="488"/>
      <c r="N353" s="488"/>
      <c r="O353" s="488"/>
      <c r="P353" s="488"/>
      <c r="Q353" s="488"/>
      <c r="R353" s="488"/>
      <c r="S353" s="488"/>
      <c r="T353" s="488"/>
      <c r="U353" s="488"/>
      <c r="V353" s="488"/>
      <c r="W353" s="488"/>
      <c r="X353" s="488"/>
      <c r="Y353" s="488"/>
      <c r="Z353" s="488"/>
      <c r="AA353" s="488"/>
      <c r="AB353" s="488"/>
      <c r="AC353" s="488"/>
      <c r="AD353" s="488"/>
      <c r="AE353" s="488"/>
      <c r="AF353" s="488"/>
      <c r="AG353" s="488"/>
      <c r="AH353" s="488"/>
      <c r="AI353" s="488"/>
      <c r="AJ353" s="488"/>
      <c r="AK353" s="488"/>
      <c r="AL353" s="488"/>
      <c r="AM353" s="488"/>
      <c r="AN353" s="488"/>
      <c r="AO353" s="488"/>
      <c r="AP353" s="488"/>
      <c r="AQ353" s="488"/>
      <c r="AR353" s="488"/>
      <c r="AS353" s="488"/>
      <c r="AT353" s="488"/>
      <c r="AU353" s="488"/>
      <c r="AV353" s="488"/>
      <c r="AW353" s="488"/>
      <c r="AX353" s="488"/>
      <c r="AY353" s="488"/>
      <c r="AZ353" s="488"/>
      <c r="BA353" s="488"/>
      <c r="BB353" s="488"/>
      <c r="BC353" s="488"/>
      <c r="BD353" s="488"/>
    </row>
    <row r="354" spans="3:56">
      <c r="C354" s="488"/>
      <c r="D354" s="488"/>
      <c r="E354" s="488"/>
      <c r="F354" s="488"/>
      <c r="G354" s="488"/>
      <c r="H354" s="488"/>
      <c r="I354" s="488"/>
      <c r="J354" s="488"/>
      <c r="K354" s="488"/>
      <c r="L354" s="488"/>
      <c r="M354" s="488"/>
      <c r="N354" s="488"/>
      <c r="O354" s="488"/>
      <c r="P354" s="488"/>
      <c r="Q354" s="488"/>
      <c r="R354" s="488"/>
      <c r="S354" s="488"/>
      <c r="T354" s="488"/>
      <c r="U354" s="488"/>
      <c r="V354" s="488"/>
      <c r="W354" s="488"/>
      <c r="X354" s="488"/>
      <c r="Y354" s="488"/>
      <c r="Z354" s="488"/>
      <c r="AA354" s="488"/>
      <c r="AB354" s="488"/>
      <c r="AC354" s="488"/>
      <c r="AD354" s="488"/>
      <c r="AE354" s="488"/>
      <c r="AF354" s="488"/>
      <c r="AG354" s="488"/>
      <c r="AH354" s="488"/>
      <c r="AI354" s="488"/>
      <c r="AJ354" s="488"/>
      <c r="AK354" s="488"/>
      <c r="AL354" s="488"/>
      <c r="AM354" s="488"/>
      <c r="AN354" s="488"/>
      <c r="AO354" s="488"/>
      <c r="AP354" s="488"/>
      <c r="AQ354" s="488"/>
      <c r="AR354" s="488"/>
      <c r="AS354" s="488"/>
      <c r="AT354" s="488"/>
      <c r="AU354" s="488"/>
      <c r="AV354" s="488"/>
      <c r="AW354" s="488"/>
      <c r="AX354" s="488"/>
      <c r="AY354" s="488"/>
      <c r="AZ354" s="488"/>
      <c r="BA354" s="488"/>
      <c r="BB354" s="488"/>
      <c r="BC354" s="488"/>
      <c r="BD354" s="488"/>
    </row>
    <row r="355" spans="3:56">
      <c r="C355" s="488"/>
      <c r="D355" s="488"/>
      <c r="E355" s="488"/>
      <c r="F355" s="488"/>
      <c r="G355" s="488"/>
      <c r="H355" s="488"/>
      <c r="I355" s="488"/>
      <c r="J355" s="488"/>
      <c r="K355" s="488"/>
      <c r="L355" s="488"/>
      <c r="M355" s="488"/>
      <c r="N355" s="488"/>
      <c r="O355" s="488"/>
      <c r="P355" s="488"/>
      <c r="Q355" s="488"/>
      <c r="R355" s="488"/>
      <c r="S355" s="488"/>
      <c r="T355" s="488"/>
      <c r="U355" s="488"/>
      <c r="V355" s="488"/>
      <c r="W355" s="488"/>
      <c r="X355" s="488"/>
      <c r="Y355" s="488"/>
      <c r="Z355" s="488"/>
      <c r="AA355" s="488"/>
      <c r="AB355" s="488"/>
      <c r="AC355" s="488"/>
      <c r="AD355" s="488"/>
      <c r="AE355" s="488"/>
      <c r="AF355" s="488"/>
      <c r="AG355" s="488"/>
      <c r="AH355" s="488"/>
      <c r="AI355" s="488"/>
      <c r="AJ355" s="488"/>
      <c r="AK355" s="488"/>
      <c r="AL355" s="488"/>
      <c r="AM355" s="488"/>
      <c r="AN355" s="488"/>
      <c r="AO355" s="488"/>
      <c r="AP355" s="488"/>
      <c r="AQ355" s="488"/>
      <c r="AR355" s="488"/>
      <c r="AS355" s="488"/>
      <c r="AT355" s="488"/>
      <c r="AU355" s="488"/>
      <c r="AV355" s="488"/>
      <c r="AW355" s="488"/>
      <c r="AX355" s="488"/>
      <c r="AY355" s="488"/>
      <c r="AZ355" s="488"/>
      <c r="BA355" s="488"/>
      <c r="BB355" s="488"/>
      <c r="BC355" s="488"/>
      <c r="BD355" s="488"/>
    </row>
    <row r="356" spans="3:56">
      <c r="C356" s="488"/>
      <c r="D356" s="488"/>
      <c r="E356" s="488"/>
      <c r="F356" s="488"/>
      <c r="G356" s="488"/>
      <c r="H356" s="488"/>
      <c r="I356" s="488"/>
      <c r="J356" s="488"/>
      <c r="K356" s="488"/>
      <c r="L356" s="488"/>
      <c r="M356" s="488"/>
      <c r="N356" s="488"/>
      <c r="O356" s="488"/>
      <c r="P356" s="488"/>
      <c r="Q356" s="488"/>
      <c r="R356" s="488"/>
      <c r="S356" s="488"/>
      <c r="T356" s="488"/>
      <c r="U356" s="488"/>
      <c r="V356" s="488"/>
      <c r="W356" s="488"/>
      <c r="X356" s="488"/>
      <c r="Y356" s="488"/>
      <c r="Z356" s="488"/>
      <c r="AA356" s="488"/>
      <c r="AB356" s="488"/>
      <c r="AC356" s="488"/>
      <c r="AD356" s="488"/>
      <c r="AE356" s="488"/>
      <c r="AF356" s="488"/>
      <c r="AG356" s="488"/>
      <c r="AH356" s="488"/>
      <c r="AI356" s="488"/>
      <c r="AJ356" s="488"/>
      <c r="AK356" s="488"/>
      <c r="AL356" s="488"/>
      <c r="AM356" s="488"/>
      <c r="AN356" s="488"/>
      <c r="AO356" s="488"/>
      <c r="AP356" s="488"/>
      <c r="AQ356" s="488"/>
      <c r="AR356" s="488"/>
      <c r="AS356" s="488"/>
      <c r="AT356" s="488"/>
      <c r="AU356" s="488"/>
      <c r="AV356" s="488"/>
      <c r="AW356" s="488"/>
      <c r="AX356" s="488"/>
      <c r="AY356" s="488"/>
      <c r="AZ356" s="488"/>
      <c r="BA356" s="488"/>
      <c r="BB356" s="488"/>
      <c r="BC356" s="488"/>
      <c r="BD356" s="488"/>
    </row>
    <row r="357" spans="3:56">
      <c r="C357" s="488"/>
      <c r="D357" s="488"/>
      <c r="E357" s="488"/>
      <c r="F357" s="488"/>
      <c r="G357" s="488"/>
      <c r="H357" s="488"/>
      <c r="I357" s="488"/>
      <c r="J357" s="488"/>
      <c r="K357" s="488"/>
      <c r="L357" s="488"/>
      <c r="M357" s="488"/>
      <c r="N357" s="488"/>
      <c r="O357" s="488"/>
      <c r="P357" s="488"/>
      <c r="Q357" s="488"/>
      <c r="R357" s="488"/>
      <c r="S357" s="488"/>
      <c r="T357" s="488"/>
      <c r="U357" s="488"/>
      <c r="V357" s="488"/>
      <c r="W357" s="488"/>
      <c r="X357" s="488"/>
      <c r="Y357" s="488"/>
      <c r="Z357" s="488"/>
      <c r="AA357" s="488"/>
      <c r="AB357" s="488"/>
      <c r="AC357" s="488"/>
      <c r="AD357" s="488"/>
      <c r="AE357" s="488"/>
      <c r="AF357" s="488"/>
      <c r="AG357" s="488"/>
      <c r="AH357" s="488"/>
      <c r="AI357" s="488"/>
      <c r="AJ357" s="488"/>
      <c r="AK357" s="488"/>
      <c r="AL357" s="488"/>
      <c r="AM357" s="488"/>
      <c r="AN357" s="488"/>
      <c r="AO357" s="488"/>
      <c r="AP357" s="488"/>
      <c r="AQ357" s="488"/>
      <c r="AR357" s="488"/>
      <c r="AS357" s="488"/>
      <c r="AT357" s="488"/>
      <c r="AU357" s="488"/>
      <c r="AV357" s="488"/>
      <c r="AW357" s="488"/>
      <c r="AX357" s="488"/>
      <c r="AY357" s="488"/>
      <c r="AZ357" s="488"/>
      <c r="BA357" s="488"/>
      <c r="BB357" s="488"/>
      <c r="BC357" s="488"/>
      <c r="BD357" s="488"/>
    </row>
    <row r="358" spans="3:56">
      <c r="C358" s="488"/>
      <c r="D358" s="488"/>
      <c r="E358" s="488"/>
      <c r="F358" s="488"/>
      <c r="G358" s="488"/>
      <c r="H358" s="488"/>
      <c r="I358" s="488"/>
      <c r="J358" s="488"/>
      <c r="K358" s="488"/>
      <c r="L358" s="488"/>
      <c r="M358" s="488"/>
      <c r="N358" s="488"/>
      <c r="O358" s="488"/>
      <c r="P358" s="488"/>
      <c r="Q358" s="488"/>
      <c r="R358" s="488"/>
      <c r="S358" s="488"/>
      <c r="T358" s="488"/>
      <c r="U358" s="488"/>
      <c r="V358" s="488"/>
      <c r="W358" s="488"/>
      <c r="X358" s="488"/>
      <c r="Y358" s="488"/>
      <c r="Z358" s="488"/>
      <c r="AA358" s="488"/>
      <c r="AB358" s="488"/>
      <c r="AC358" s="488"/>
      <c r="AD358" s="488"/>
      <c r="AE358" s="488"/>
      <c r="AF358" s="488"/>
      <c r="AG358" s="488"/>
      <c r="AH358" s="488"/>
      <c r="AI358" s="488"/>
      <c r="AJ358" s="488"/>
      <c r="AK358" s="488"/>
      <c r="AL358" s="488"/>
      <c r="AM358" s="488"/>
      <c r="AN358" s="488"/>
      <c r="AO358" s="488"/>
      <c r="AP358" s="488"/>
      <c r="AQ358" s="488"/>
      <c r="AR358" s="488"/>
      <c r="AS358" s="488"/>
      <c r="AT358" s="488"/>
      <c r="AU358" s="488"/>
      <c r="AV358" s="488"/>
      <c r="AW358" s="488"/>
      <c r="AX358" s="488"/>
      <c r="AY358" s="488"/>
      <c r="AZ358" s="488"/>
      <c r="BA358" s="488"/>
      <c r="BB358" s="488"/>
      <c r="BC358" s="488"/>
      <c r="BD358" s="488"/>
    </row>
    <row r="359" spans="3:56">
      <c r="C359" s="488"/>
      <c r="D359" s="488"/>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c r="AL359" s="488"/>
      <c r="AM359" s="488"/>
      <c r="AN359" s="488"/>
      <c r="AO359" s="488"/>
      <c r="AP359" s="488"/>
      <c r="AQ359" s="488"/>
      <c r="AR359" s="488"/>
      <c r="AS359" s="488"/>
      <c r="AT359" s="488"/>
      <c r="AU359" s="488"/>
      <c r="AV359" s="488"/>
      <c r="AW359" s="488"/>
      <c r="AX359" s="488"/>
      <c r="AY359" s="488"/>
      <c r="AZ359" s="488"/>
      <c r="BA359" s="488"/>
      <c r="BB359" s="488"/>
      <c r="BC359" s="488"/>
      <c r="BD359" s="488"/>
    </row>
    <row r="360" spans="3:56">
      <c r="C360" s="488"/>
      <c r="D360" s="488"/>
      <c r="E360" s="488"/>
      <c r="F360" s="488"/>
      <c r="G360" s="488"/>
      <c r="H360" s="488"/>
      <c r="I360" s="488"/>
      <c r="J360" s="488"/>
      <c r="K360" s="488"/>
      <c r="L360" s="488"/>
      <c r="M360" s="488"/>
      <c r="N360" s="488"/>
      <c r="O360" s="488"/>
      <c r="P360" s="488"/>
      <c r="Q360" s="488"/>
      <c r="R360" s="488"/>
      <c r="S360" s="488"/>
      <c r="T360" s="488"/>
      <c r="U360" s="488"/>
      <c r="V360" s="488"/>
      <c r="W360" s="488"/>
      <c r="X360" s="488"/>
      <c r="Y360" s="488"/>
      <c r="Z360" s="488"/>
      <c r="AA360" s="488"/>
      <c r="AB360" s="488"/>
      <c r="AC360" s="488"/>
      <c r="AD360" s="488"/>
      <c r="AE360" s="488"/>
      <c r="AF360" s="488"/>
      <c r="AG360" s="488"/>
      <c r="AH360" s="488"/>
      <c r="AI360" s="488"/>
      <c r="AJ360" s="488"/>
      <c r="AK360" s="488"/>
      <c r="AL360" s="488"/>
      <c r="AM360" s="488"/>
      <c r="AN360" s="488"/>
      <c r="AO360" s="488"/>
      <c r="AP360" s="488"/>
      <c r="AQ360" s="488"/>
      <c r="AR360" s="488"/>
      <c r="AS360" s="488"/>
      <c r="AT360" s="488"/>
      <c r="AU360" s="488"/>
      <c r="AV360" s="488"/>
      <c r="AW360" s="488"/>
      <c r="AX360" s="488"/>
      <c r="AY360" s="488"/>
      <c r="AZ360" s="488"/>
      <c r="BA360" s="488"/>
      <c r="BB360" s="488"/>
      <c r="BC360" s="488"/>
      <c r="BD360" s="488"/>
    </row>
    <row r="361" spans="3:56">
      <c r="C361" s="488"/>
      <c r="D361" s="488"/>
      <c r="E361" s="488"/>
      <c r="F361" s="488"/>
      <c r="G361" s="488"/>
      <c r="H361" s="488"/>
      <c r="I361" s="488"/>
      <c r="J361" s="488"/>
      <c r="K361" s="488"/>
      <c r="L361" s="488"/>
      <c r="M361" s="488"/>
      <c r="N361" s="488"/>
      <c r="O361" s="488"/>
      <c r="P361" s="488"/>
      <c r="Q361" s="488"/>
      <c r="R361" s="488"/>
      <c r="S361" s="488"/>
      <c r="T361" s="488"/>
      <c r="U361" s="488"/>
      <c r="V361" s="488"/>
      <c r="W361" s="488"/>
      <c r="X361" s="488"/>
      <c r="Y361" s="488"/>
      <c r="Z361" s="488"/>
      <c r="AA361" s="488"/>
      <c r="AB361" s="488"/>
      <c r="AC361" s="488"/>
      <c r="AD361" s="488"/>
      <c r="AE361" s="488"/>
      <c r="AF361" s="488"/>
      <c r="AG361" s="488"/>
      <c r="AH361" s="488"/>
      <c r="AI361" s="488"/>
      <c r="AJ361" s="488"/>
      <c r="AK361" s="488"/>
      <c r="AL361" s="488"/>
      <c r="AM361" s="488"/>
      <c r="AN361" s="488"/>
      <c r="AO361" s="488"/>
      <c r="AP361" s="488"/>
      <c r="AQ361" s="488"/>
      <c r="AR361" s="488"/>
      <c r="AS361" s="488"/>
      <c r="AT361" s="488"/>
      <c r="AU361" s="488"/>
      <c r="AV361" s="488"/>
      <c r="AW361" s="488"/>
      <c r="AX361" s="488"/>
      <c r="AY361" s="488"/>
      <c r="AZ361" s="488"/>
      <c r="BA361" s="488"/>
      <c r="BB361" s="488"/>
      <c r="BC361" s="488"/>
      <c r="BD361" s="488"/>
    </row>
    <row r="362" spans="3:56">
      <c r="C362" s="488"/>
      <c r="D362" s="488"/>
      <c r="E362" s="488"/>
      <c r="F362" s="488"/>
      <c r="G362" s="488"/>
      <c r="H362" s="488"/>
      <c r="I362" s="488"/>
      <c r="J362" s="488"/>
      <c r="K362" s="488"/>
      <c r="L362" s="488"/>
      <c r="M362" s="488"/>
      <c r="N362" s="488"/>
      <c r="O362" s="488"/>
      <c r="P362" s="488"/>
      <c r="Q362" s="488"/>
      <c r="R362" s="488"/>
      <c r="S362" s="488"/>
      <c r="T362" s="488"/>
      <c r="U362" s="488"/>
      <c r="V362" s="488"/>
      <c r="W362" s="488"/>
      <c r="X362" s="488"/>
      <c r="Y362" s="488"/>
      <c r="Z362" s="488"/>
      <c r="AA362" s="488"/>
      <c r="AB362" s="488"/>
      <c r="AC362" s="488"/>
      <c r="AD362" s="488"/>
      <c r="AE362" s="488"/>
      <c r="AF362" s="488"/>
      <c r="AG362" s="488"/>
      <c r="AH362" s="488"/>
      <c r="AI362" s="488"/>
      <c r="AJ362" s="488"/>
      <c r="AK362" s="488"/>
      <c r="AL362" s="488"/>
      <c r="AM362" s="488"/>
      <c r="AN362" s="488"/>
      <c r="AO362" s="488"/>
      <c r="AP362" s="488"/>
      <c r="AQ362" s="488"/>
      <c r="AR362" s="488"/>
      <c r="AS362" s="488"/>
      <c r="AT362" s="488"/>
      <c r="AU362" s="488"/>
      <c r="AV362" s="488"/>
      <c r="AW362" s="488"/>
      <c r="AX362" s="488"/>
      <c r="AY362" s="488"/>
      <c r="AZ362" s="488"/>
      <c r="BA362" s="488"/>
      <c r="BB362" s="488"/>
      <c r="BC362" s="488"/>
      <c r="BD362" s="488"/>
    </row>
    <row r="363" spans="3:56">
      <c r="C363" s="488"/>
      <c r="D363" s="488"/>
      <c r="E363" s="488"/>
      <c r="F363" s="488"/>
      <c r="G363" s="488"/>
      <c r="H363" s="488"/>
      <c r="I363" s="488"/>
      <c r="J363" s="488"/>
      <c r="K363" s="488"/>
      <c r="L363" s="488"/>
      <c r="M363" s="488"/>
      <c r="N363" s="488"/>
      <c r="O363" s="488"/>
      <c r="P363" s="488"/>
      <c r="Q363" s="488"/>
      <c r="R363" s="488"/>
      <c r="S363" s="488"/>
      <c r="T363" s="488"/>
      <c r="U363" s="488"/>
      <c r="V363" s="488"/>
      <c r="W363" s="488"/>
      <c r="X363" s="488"/>
      <c r="Y363" s="488"/>
      <c r="Z363" s="488"/>
      <c r="AA363" s="488"/>
      <c r="AB363" s="488"/>
      <c r="AC363" s="488"/>
      <c r="AD363" s="488"/>
      <c r="AE363" s="488"/>
      <c r="AF363" s="488"/>
      <c r="AG363" s="488"/>
      <c r="AH363" s="488"/>
      <c r="AI363" s="488"/>
      <c r="AJ363" s="488"/>
      <c r="AK363" s="488"/>
      <c r="AL363" s="488"/>
      <c r="AM363" s="488"/>
      <c r="AN363" s="488"/>
      <c r="AO363" s="488"/>
      <c r="AP363" s="488"/>
      <c r="AQ363" s="488"/>
      <c r="AR363" s="488"/>
      <c r="AS363" s="488"/>
      <c r="AT363" s="488"/>
      <c r="AU363" s="488"/>
      <c r="AV363" s="488"/>
      <c r="AW363" s="488"/>
      <c r="AX363" s="488"/>
      <c r="AY363" s="488"/>
      <c r="AZ363" s="488"/>
      <c r="BA363" s="488"/>
      <c r="BB363" s="488"/>
      <c r="BC363" s="488"/>
      <c r="BD363" s="488"/>
    </row>
    <row r="364" spans="3:56">
      <c r="C364" s="488"/>
      <c r="D364" s="488"/>
      <c r="E364" s="488"/>
      <c r="F364" s="488"/>
      <c r="G364" s="488"/>
      <c r="H364" s="488"/>
      <c r="I364" s="488"/>
      <c r="J364" s="488"/>
      <c r="K364" s="488"/>
      <c r="L364" s="488"/>
      <c r="M364" s="488"/>
      <c r="N364" s="488"/>
      <c r="O364" s="488"/>
      <c r="P364" s="488"/>
      <c r="Q364" s="488"/>
      <c r="R364" s="488"/>
      <c r="S364" s="488"/>
      <c r="T364" s="488"/>
      <c r="U364" s="488"/>
      <c r="V364" s="488"/>
      <c r="W364" s="488"/>
      <c r="X364" s="488"/>
      <c r="Y364" s="488"/>
      <c r="Z364" s="488"/>
      <c r="AA364" s="488"/>
      <c r="AB364" s="488"/>
      <c r="AC364" s="488"/>
      <c r="AD364" s="488"/>
      <c r="AE364" s="488"/>
      <c r="AF364" s="488"/>
      <c r="AG364" s="488"/>
      <c r="AH364" s="488"/>
      <c r="AI364" s="488"/>
      <c r="AJ364" s="488"/>
      <c r="AK364" s="488"/>
      <c r="AL364" s="488"/>
      <c r="AM364" s="488"/>
      <c r="AN364" s="488"/>
      <c r="AO364" s="488"/>
      <c r="AP364" s="488"/>
      <c r="AQ364" s="488"/>
      <c r="AR364" s="488"/>
      <c r="AS364" s="488"/>
      <c r="AT364" s="488"/>
      <c r="AU364" s="488"/>
      <c r="AV364" s="488"/>
      <c r="AW364" s="488"/>
      <c r="AX364" s="488"/>
      <c r="AY364" s="488"/>
      <c r="AZ364" s="488"/>
      <c r="BA364" s="488"/>
      <c r="BB364" s="488"/>
      <c r="BC364" s="488"/>
      <c r="BD364" s="488"/>
    </row>
    <row r="365" spans="3:56">
      <c r="C365" s="488"/>
      <c r="D365" s="488"/>
      <c r="E365" s="488"/>
      <c r="F365" s="488"/>
      <c r="G365" s="488"/>
      <c r="H365" s="488"/>
      <c r="I365" s="488"/>
      <c r="J365" s="488"/>
      <c r="K365" s="488"/>
      <c r="L365" s="488"/>
      <c r="M365" s="488"/>
      <c r="N365" s="488"/>
      <c r="O365" s="488"/>
      <c r="P365" s="488"/>
      <c r="Q365" s="488"/>
      <c r="R365" s="488"/>
      <c r="S365" s="488"/>
      <c r="T365" s="488"/>
      <c r="U365" s="488"/>
      <c r="V365" s="488"/>
      <c r="W365" s="488"/>
      <c r="X365" s="488"/>
      <c r="Y365" s="488"/>
      <c r="Z365" s="488"/>
      <c r="AA365" s="488"/>
      <c r="AB365" s="488"/>
      <c r="AC365" s="488"/>
      <c r="AD365" s="488"/>
      <c r="AE365" s="488"/>
      <c r="AF365" s="488"/>
      <c r="AG365" s="488"/>
      <c r="AH365" s="488"/>
      <c r="AI365" s="488"/>
      <c r="AJ365" s="488"/>
      <c r="AK365" s="488"/>
      <c r="AL365" s="488"/>
      <c r="AM365" s="488"/>
      <c r="AN365" s="488"/>
      <c r="AO365" s="488"/>
      <c r="AP365" s="488"/>
      <c r="AQ365" s="488"/>
      <c r="AR365" s="488"/>
      <c r="AS365" s="488"/>
      <c r="AT365" s="488"/>
      <c r="AU365" s="488"/>
      <c r="AV365" s="488"/>
      <c r="AW365" s="488"/>
      <c r="AX365" s="488"/>
      <c r="AY365" s="488"/>
      <c r="AZ365" s="488"/>
      <c r="BA365" s="488"/>
      <c r="BB365" s="488"/>
      <c r="BC365" s="488"/>
      <c r="BD365" s="488"/>
    </row>
    <row r="366" spans="3:56">
      <c r="C366" s="488"/>
      <c r="D366" s="488"/>
      <c r="E366" s="488"/>
      <c r="F366" s="488"/>
      <c r="G366" s="488"/>
      <c r="H366" s="488"/>
      <c r="I366" s="488"/>
      <c r="J366" s="488"/>
      <c r="K366" s="488"/>
      <c r="L366" s="488"/>
      <c r="M366" s="488"/>
      <c r="N366" s="488"/>
      <c r="O366" s="488"/>
      <c r="P366" s="488"/>
      <c r="Q366" s="488"/>
      <c r="R366" s="488"/>
      <c r="S366" s="488"/>
      <c r="T366" s="488"/>
      <c r="U366" s="488"/>
      <c r="V366" s="488"/>
      <c r="W366" s="488"/>
      <c r="X366" s="488"/>
      <c r="Y366" s="488"/>
      <c r="Z366" s="488"/>
      <c r="AA366" s="488"/>
      <c r="AB366" s="488"/>
      <c r="AC366" s="488"/>
      <c r="AD366" s="488"/>
      <c r="AE366" s="488"/>
      <c r="AF366" s="488"/>
      <c r="AG366" s="488"/>
      <c r="AH366" s="488"/>
      <c r="AI366" s="488"/>
      <c r="AJ366" s="488"/>
      <c r="AK366" s="488"/>
      <c r="AL366" s="488"/>
      <c r="AM366" s="488"/>
      <c r="AN366" s="488"/>
      <c r="AO366" s="488"/>
      <c r="AP366" s="488"/>
      <c r="AQ366" s="488"/>
      <c r="AR366" s="488"/>
      <c r="AS366" s="488"/>
      <c r="AT366" s="488"/>
      <c r="AU366" s="488"/>
      <c r="AV366" s="488"/>
      <c r="AW366" s="488"/>
      <c r="AX366" s="488"/>
      <c r="AY366" s="488"/>
      <c r="AZ366" s="488"/>
      <c r="BA366" s="488"/>
      <c r="BB366" s="488"/>
      <c r="BC366" s="488"/>
      <c r="BD366" s="488"/>
    </row>
    <row r="367" spans="3:56">
      <c r="C367" s="488"/>
      <c r="D367" s="488"/>
      <c r="E367" s="488"/>
      <c r="F367" s="488"/>
      <c r="G367" s="488"/>
      <c r="H367" s="488"/>
      <c r="I367" s="488"/>
      <c r="J367" s="488"/>
      <c r="K367" s="488"/>
      <c r="L367" s="488"/>
      <c r="M367" s="488"/>
      <c r="N367" s="488"/>
      <c r="O367" s="488"/>
      <c r="P367" s="488"/>
      <c r="Q367" s="488"/>
      <c r="R367" s="488"/>
      <c r="S367" s="488"/>
      <c r="T367" s="488"/>
      <c r="U367" s="488"/>
      <c r="V367" s="488"/>
      <c r="W367" s="488"/>
      <c r="X367" s="488"/>
      <c r="Y367" s="488"/>
      <c r="Z367" s="488"/>
      <c r="AA367" s="488"/>
      <c r="AB367" s="488"/>
      <c r="AC367" s="488"/>
      <c r="AD367" s="488"/>
      <c r="AE367" s="488"/>
      <c r="AF367" s="488"/>
      <c r="AG367" s="488"/>
      <c r="AH367" s="488"/>
      <c r="AI367" s="488"/>
      <c r="AJ367" s="488"/>
      <c r="AK367" s="488"/>
      <c r="AL367" s="488"/>
      <c r="AM367" s="488"/>
      <c r="AN367" s="488"/>
      <c r="AO367" s="488"/>
      <c r="AP367" s="488"/>
      <c r="AQ367" s="488"/>
      <c r="AR367" s="488"/>
      <c r="AS367" s="488"/>
      <c r="AT367" s="488"/>
      <c r="AU367" s="488"/>
      <c r="AV367" s="488"/>
      <c r="AW367" s="488"/>
      <c r="AX367" s="488"/>
      <c r="AY367" s="488"/>
      <c r="AZ367" s="488"/>
      <c r="BA367" s="488"/>
      <c r="BB367" s="488"/>
      <c r="BC367" s="488"/>
      <c r="BD367" s="488"/>
    </row>
    <row r="368" spans="3:56">
      <c r="C368" s="488"/>
      <c r="D368" s="488"/>
      <c r="E368" s="488"/>
      <c r="F368" s="488"/>
      <c r="G368" s="488"/>
      <c r="H368" s="488"/>
      <c r="I368" s="488"/>
      <c r="J368" s="488"/>
      <c r="K368" s="488"/>
      <c r="L368" s="488"/>
      <c r="M368" s="488"/>
      <c r="N368" s="488"/>
      <c r="O368" s="488"/>
      <c r="P368" s="488"/>
      <c r="Q368" s="488"/>
      <c r="R368" s="488"/>
      <c r="S368" s="488"/>
      <c r="T368" s="488"/>
      <c r="U368" s="488"/>
      <c r="V368" s="488"/>
      <c r="W368" s="488"/>
      <c r="X368" s="488"/>
      <c r="Y368" s="488"/>
      <c r="Z368" s="488"/>
      <c r="AA368" s="488"/>
      <c r="AB368" s="488"/>
      <c r="AC368" s="488"/>
      <c r="AD368" s="488"/>
      <c r="AE368" s="488"/>
      <c r="AF368" s="488"/>
      <c r="AG368" s="488"/>
      <c r="AH368" s="488"/>
      <c r="AI368" s="488"/>
      <c r="AJ368" s="488"/>
      <c r="AK368" s="488"/>
      <c r="AL368" s="488"/>
      <c r="AM368" s="488"/>
      <c r="AN368" s="488"/>
      <c r="AO368" s="488"/>
      <c r="AP368" s="488"/>
      <c r="AQ368" s="488"/>
      <c r="AR368" s="488"/>
      <c r="AS368" s="488"/>
      <c r="AT368" s="488"/>
      <c r="AU368" s="488"/>
      <c r="AV368" s="488"/>
      <c r="AW368" s="488"/>
      <c r="AX368" s="488"/>
      <c r="AY368" s="488"/>
      <c r="AZ368" s="488"/>
      <c r="BA368" s="488"/>
      <c r="BB368" s="488"/>
      <c r="BC368" s="488"/>
      <c r="BD368" s="488"/>
    </row>
    <row r="369" spans="3:56">
      <c r="C369" s="488"/>
      <c r="D369" s="488"/>
      <c r="E369" s="488"/>
      <c r="F369" s="488"/>
      <c r="G369" s="488"/>
      <c r="H369" s="488"/>
      <c r="I369" s="488"/>
      <c r="J369" s="488"/>
      <c r="K369" s="488"/>
      <c r="L369" s="488"/>
      <c r="M369" s="488"/>
      <c r="N369" s="488"/>
      <c r="O369" s="488"/>
      <c r="P369" s="488"/>
      <c r="Q369" s="488"/>
      <c r="R369" s="488"/>
      <c r="S369" s="488"/>
      <c r="T369" s="488"/>
      <c r="U369" s="488"/>
      <c r="V369" s="488"/>
      <c r="W369" s="488"/>
      <c r="X369" s="488"/>
      <c r="Y369" s="488"/>
      <c r="Z369" s="488"/>
      <c r="AA369" s="488"/>
      <c r="AB369" s="488"/>
      <c r="AC369" s="488"/>
      <c r="AD369" s="488"/>
      <c r="AE369" s="488"/>
      <c r="AF369" s="488"/>
      <c r="AG369" s="488"/>
      <c r="AH369" s="488"/>
      <c r="AI369" s="488"/>
      <c r="AJ369" s="488"/>
      <c r="AK369" s="488"/>
      <c r="AL369" s="488"/>
      <c r="AM369" s="488"/>
      <c r="AN369" s="488"/>
      <c r="AO369" s="488"/>
      <c r="AP369" s="488"/>
      <c r="AQ369" s="488"/>
      <c r="AR369" s="488"/>
      <c r="AS369" s="488"/>
      <c r="AT369" s="488"/>
      <c r="AU369" s="488"/>
      <c r="AV369" s="488"/>
      <c r="AW369" s="488"/>
      <c r="AX369" s="488"/>
      <c r="AY369" s="488"/>
      <c r="AZ369" s="488"/>
      <c r="BA369" s="488"/>
      <c r="BB369" s="488"/>
      <c r="BC369" s="488"/>
      <c r="BD369" s="488"/>
    </row>
    <row r="370" spans="3:56">
      <c r="C370" s="488"/>
      <c r="D370" s="488"/>
      <c r="E370" s="488"/>
      <c r="F370" s="488"/>
      <c r="G370" s="488"/>
      <c r="H370" s="488"/>
      <c r="I370" s="488"/>
      <c r="J370" s="488"/>
      <c r="K370" s="488"/>
      <c r="L370" s="488"/>
      <c r="M370" s="488"/>
      <c r="N370" s="488"/>
      <c r="O370" s="488"/>
      <c r="P370" s="488"/>
      <c r="Q370" s="488"/>
      <c r="R370" s="488"/>
      <c r="S370" s="488"/>
      <c r="T370" s="488"/>
      <c r="U370" s="488"/>
      <c r="V370" s="488"/>
      <c r="W370" s="488"/>
      <c r="X370" s="488"/>
      <c r="Y370" s="488"/>
      <c r="Z370" s="488"/>
      <c r="AA370" s="488"/>
      <c r="AB370" s="488"/>
      <c r="AC370" s="488"/>
      <c r="AD370" s="488"/>
      <c r="AE370" s="488"/>
      <c r="AF370" s="488"/>
      <c r="AG370" s="488"/>
      <c r="AH370" s="488"/>
      <c r="AI370" s="488"/>
      <c r="AJ370" s="488"/>
      <c r="AK370" s="488"/>
      <c r="AL370" s="488"/>
      <c r="AM370" s="488"/>
      <c r="AN370" s="488"/>
      <c r="AO370" s="488"/>
      <c r="AP370" s="488"/>
      <c r="AQ370" s="488"/>
      <c r="AR370" s="488"/>
      <c r="AS370" s="488"/>
      <c r="AT370" s="488"/>
      <c r="AU370" s="488"/>
      <c r="AV370" s="488"/>
      <c r="AW370" s="488"/>
      <c r="AX370" s="488"/>
      <c r="AY370" s="488"/>
      <c r="AZ370" s="488"/>
      <c r="BA370" s="488"/>
      <c r="BB370" s="488"/>
      <c r="BC370" s="488"/>
      <c r="BD370" s="488"/>
    </row>
    <row r="371" spans="3:56">
      <c r="C371" s="488"/>
      <c r="D371" s="488"/>
      <c r="E371" s="488"/>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c r="AL371" s="488"/>
      <c r="AM371" s="488"/>
      <c r="AN371" s="488"/>
      <c r="AO371" s="488"/>
      <c r="AP371" s="488"/>
      <c r="AQ371" s="488"/>
      <c r="AR371" s="488"/>
      <c r="AS371" s="488"/>
      <c r="AT371" s="488"/>
      <c r="AU371" s="488"/>
      <c r="AV371" s="488"/>
      <c r="AW371" s="488"/>
      <c r="AX371" s="488"/>
      <c r="AY371" s="488"/>
      <c r="AZ371" s="488"/>
      <c r="BA371" s="488"/>
      <c r="BB371" s="488"/>
      <c r="BC371" s="488"/>
      <c r="BD371" s="488"/>
    </row>
    <row r="372" spans="3:56">
      <c r="C372" s="488"/>
      <c r="D372" s="488"/>
      <c r="E372" s="488"/>
      <c r="F372" s="488"/>
      <c r="G372" s="488"/>
      <c r="H372" s="488"/>
      <c r="I372" s="488"/>
      <c r="J372" s="488"/>
      <c r="K372" s="488"/>
      <c r="L372" s="488"/>
      <c r="M372" s="488"/>
      <c r="N372" s="488"/>
      <c r="O372" s="488"/>
      <c r="P372" s="488"/>
      <c r="Q372" s="488"/>
      <c r="R372" s="488"/>
      <c r="S372" s="488"/>
      <c r="T372" s="488"/>
      <c r="U372" s="488"/>
      <c r="V372" s="488"/>
      <c r="W372" s="488"/>
      <c r="X372" s="488"/>
      <c r="Y372" s="488"/>
      <c r="Z372" s="488"/>
      <c r="AA372" s="488"/>
      <c r="AB372" s="488"/>
      <c r="AC372" s="488"/>
      <c r="AD372" s="488"/>
      <c r="AE372" s="488"/>
      <c r="AF372" s="488"/>
      <c r="AG372" s="488"/>
      <c r="AH372" s="488"/>
      <c r="AI372" s="488"/>
      <c r="AJ372" s="488"/>
      <c r="AK372" s="488"/>
      <c r="AL372" s="488"/>
      <c r="AM372" s="488"/>
      <c r="AN372" s="488"/>
      <c r="AO372" s="488"/>
      <c r="AP372" s="488"/>
      <c r="AQ372" s="488"/>
      <c r="AR372" s="488"/>
      <c r="AS372" s="488"/>
      <c r="AT372" s="488"/>
      <c r="AU372" s="488"/>
      <c r="AV372" s="488"/>
      <c r="AW372" s="488"/>
      <c r="AX372" s="488"/>
      <c r="AY372" s="488"/>
      <c r="AZ372" s="488"/>
      <c r="BA372" s="488"/>
      <c r="BB372" s="488"/>
      <c r="BC372" s="488"/>
      <c r="BD372" s="488"/>
    </row>
    <row r="373" spans="3:56">
      <c r="C373" s="488"/>
      <c r="D373" s="488"/>
      <c r="E373" s="488"/>
      <c r="F373" s="488"/>
      <c r="G373" s="488"/>
      <c r="H373" s="488"/>
      <c r="I373" s="488"/>
      <c r="J373" s="488"/>
      <c r="K373" s="488"/>
      <c r="L373" s="488"/>
      <c r="M373" s="488"/>
      <c r="N373" s="488"/>
      <c r="O373" s="488"/>
      <c r="P373" s="488"/>
      <c r="Q373" s="488"/>
      <c r="R373" s="488"/>
      <c r="S373" s="488"/>
      <c r="T373" s="488"/>
      <c r="U373" s="488"/>
      <c r="V373" s="488"/>
      <c r="W373" s="488"/>
      <c r="X373" s="488"/>
      <c r="Y373" s="488"/>
      <c r="Z373" s="488"/>
      <c r="AA373" s="488"/>
      <c r="AB373" s="488"/>
      <c r="AC373" s="488"/>
      <c r="AD373" s="488"/>
      <c r="AE373" s="488"/>
      <c r="AF373" s="488"/>
      <c r="AG373" s="488"/>
      <c r="AH373" s="488"/>
      <c r="AI373" s="488"/>
      <c r="AJ373" s="488"/>
      <c r="AK373" s="488"/>
      <c r="AL373" s="488"/>
      <c r="AM373" s="488"/>
      <c r="AN373" s="488"/>
      <c r="AO373" s="488"/>
      <c r="AP373" s="488"/>
      <c r="AQ373" s="488"/>
      <c r="AR373" s="488"/>
      <c r="AS373" s="488"/>
      <c r="AT373" s="488"/>
      <c r="AU373" s="488"/>
      <c r="AV373" s="488"/>
      <c r="AW373" s="488"/>
      <c r="AX373" s="488"/>
      <c r="AY373" s="488"/>
      <c r="AZ373" s="488"/>
      <c r="BA373" s="488"/>
      <c r="BB373" s="488"/>
      <c r="BC373" s="488"/>
      <c r="BD373" s="488"/>
    </row>
    <row r="374" spans="3:56">
      <c r="C374" s="488"/>
      <c r="D374" s="488"/>
      <c r="E374" s="488"/>
      <c r="F374" s="488"/>
      <c r="G374" s="488"/>
      <c r="H374" s="488"/>
      <c r="I374" s="488"/>
      <c r="J374" s="488"/>
      <c r="K374" s="488"/>
      <c r="L374" s="488"/>
      <c r="M374" s="488"/>
      <c r="N374" s="488"/>
      <c r="O374" s="488"/>
      <c r="P374" s="488"/>
      <c r="Q374" s="488"/>
      <c r="R374" s="488"/>
      <c r="S374" s="488"/>
      <c r="T374" s="488"/>
      <c r="U374" s="488"/>
      <c r="V374" s="488"/>
      <c r="W374" s="488"/>
      <c r="X374" s="488"/>
      <c r="Y374" s="488"/>
      <c r="Z374" s="488"/>
      <c r="AA374" s="488"/>
      <c r="AB374" s="488"/>
      <c r="AC374" s="488"/>
      <c r="AD374" s="488"/>
      <c r="AE374" s="488"/>
      <c r="AF374" s="488"/>
      <c r="AG374" s="488"/>
      <c r="AH374" s="488"/>
      <c r="AI374" s="488"/>
      <c r="AJ374" s="488"/>
      <c r="AK374" s="488"/>
      <c r="AL374" s="488"/>
      <c r="AM374" s="488"/>
      <c r="AN374" s="488"/>
      <c r="AO374" s="488"/>
      <c r="AP374" s="488"/>
      <c r="AQ374" s="488"/>
      <c r="AR374" s="488"/>
      <c r="AS374" s="488"/>
      <c r="AT374" s="488"/>
      <c r="AU374" s="488"/>
      <c r="AV374" s="488"/>
      <c r="AW374" s="488"/>
      <c r="AX374" s="488"/>
      <c r="AY374" s="488"/>
      <c r="AZ374" s="488"/>
      <c r="BA374" s="488"/>
      <c r="BB374" s="488"/>
      <c r="BC374" s="488"/>
      <c r="BD374" s="488"/>
    </row>
    <row r="375" spans="3:56">
      <c r="C375" s="488"/>
      <c r="D375" s="488"/>
      <c r="E375" s="488"/>
      <c r="F375" s="488"/>
      <c r="G375" s="488"/>
      <c r="H375" s="488"/>
      <c r="I375" s="488"/>
      <c r="J375" s="488"/>
      <c r="K375" s="488"/>
      <c r="L375" s="488"/>
      <c r="M375" s="488"/>
      <c r="N375" s="488"/>
      <c r="O375" s="488"/>
      <c r="P375" s="488"/>
      <c r="Q375" s="488"/>
      <c r="R375" s="488"/>
      <c r="S375" s="488"/>
      <c r="T375" s="488"/>
      <c r="U375" s="488"/>
      <c r="V375" s="488"/>
      <c r="W375" s="488"/>
      <c r="X375" s="488"/>
      <c r="Y375" s="488"/>
      <c r="Z375" s="488"/>
      <c r="AA375" s="488"/>
      <c r="AB375" s="488"/>
      <c r="AC375" s="488"/>
      <c r="AD375" s="488"/>
      <c r="AE375" s="488"/>
      <c r="AF375" s="488"/>
      <c r="AG375" s="488"/>
      <c r="AH375" s="488"/>
      <c r="AI375" s="488"/>
      <c r="AJ375" s="488"/>
      <c r="AK375" s="488"/>
      <c r="AL375" s="488"/>
      <c r="AM375" s="488"/>
      <c r="AN375" s="488"/>
      <c r="AO375" s="488"/>
      <c r="AP375" s="488"/>
      <c r="AQ375" s="488"/>
      <c r="AR375" s="488"/>
      <c r="AS375" s="488"/>
      <c r="AT375" s="488"/>
      <c r="AU375" s="488"/>
      <c r="AV375" s="488"/>
      <c r="AW375" s="488"/>
      <c r="AX375" s="488"/>
      <c r="AY375" s="488"/>
      <c r="AZ375" s="488"/>
      <c r="BA375" s="488"/>
      <c r="BB375" s="488"/>
      <c r="BC375" s="488"/>
      <c r="BD375" s="488"/>
    </row>
    <row r="376" spans="3:56">
      <c r="C376" s="488"/>
      <c r="D376" s="488"/>
      <c r="E376" s="488"/>
      <c r="F376" s="488"/>
      <c r="G376" s="488"/>
      <c r="H376" s="488"/>
      <c r="I376" s="488"/>
      <c r="J376" s="488"/>
      <c r="K376" s="488"/>
      <c r="L376" s="488"/>
      <c r="M376" s="488"/>
      <c r="N376" s="488"/>
      <c r="O376" s="488"/>
      <c r="P376" s="488"/>
      <c r="Q376" s="488"/>
      <c r="R376" s="488"/>
      <c r="S376" s="488"/>
      <c r="T376" s="488"/>
      <c r="U376" s="488"/>
      <c r="V376" s="488"/>
      <c r="W376" s="488"/>
      <c r="X376" s="488"/>
      <c r="Y376" s="488"/>
      <c r="Z376" s="488"/>
      <c r="AA376" s="488"/>
      <c r="AB376" s="488"/>
      <c r="AC376" s="488"/>
      <c r="AD376" s="488"/>
      <c r="AE376" s="488"/>
      <c r="AF376" s="488"/>
      <c r="AG376" s="488"/>
      <c r="AH376" s="488"/>
      <c r="AI376" s="488"/>
      <c r="AJ376" s="488"/>
      <c r="AK376" s="488"/>
      <c r="AL376" s="488"/>
      <c r="AM376" s="488"/>
      <c r="AN376" s="488"/>
      <c r="AO376" s="488"/>
      <c r="AP376" s="488"/>
      <c r="AQ376" s="488"/>
      <c r="AR376" s="488"/>
      <c r="AS376" s="488"/>
      <c r="AT376" s="488"/>
      <c r="AU376" s="488"/>
      <c r="AV376" s="488"/>
      <c r="AW376" s="488"/>
      <c r="AX376" s="488"/>
      <c r="AY376" s="488"/>
      <c r="AZ376" s="488"/>
      <c r="BA376" s="488"/>
      <c r="BB376" s="488"/>
      <c r="BC376" s="488"/>
      <c r="BD376" s="488"/>
    </row>
    <row r="377" spans="3:56">
      <c r="C377" s="488"/>
      <c r="D377" s="488"/>
      <c r="E377" s="488"/>
      <c r="F377" s="488"/>
      <c r="G377" s="488"/>
      <c r="H377" s="488"/>
      <c r="I377" s="488"/>
      <c r="J377" s="488"/>
      <c r="K377" s="488"/>
      <c r="L377" s="488"/>
      <c r="M377" s="488"/>
      <c r="N377" s="488"/>
      <c r="O377" s="488"/>
      <c r="P377" s="488"/>
      <c r="Q377" s="488"/>
      <c r="R377" s="488"/>
      <c r="S377" s="488"/>
      <c r="T377" s="488"/>
      <c r="U377" s="488"/>
      <c r="V377" s="488"/>
      <c r="W377" s="488"/>
      <c r="X377" s="488"/>
      <c r="Y377" s="488"/>
      <c r="Z377" s="488"/>
      <c r="AA377" s="488"/>
      <c r="AB377" s="488"/>
      <c r="AC377" s="488"/>
      <c r="AD377" s="488"/>
      <c r="AE377" s="488"/>
      <c r="AF377" s="488"/>
      <c r="AG377" s="488"/>
      <c r="AH377" s="488"/>
      <c r="AI377" s="488"/>
      <c r="AJ377" s="488"/>
      <c r="AK377" s="488"/>
      <c r="AL377" s="488"/>
      <c r="AM377" s="488"/>
      <c r="AN377" s="488"/>
      <c r="AO377" s="488"/>
      <c r="AP377" s="488"/>
      <c r="AQ377" s="488"/>
      <c r="AR377" s="488"/>
      <c r="AS377" s="488"/>
      <c r="AT377" s="488"/>
      <c r="AU377" s="488"/>
      <c r="AV377" s="488"/>
      <c r="AW377" s="488"/>
      <c r="AX377" s="488"/>
      <c r="AY377" s="488"/>
      <c r="AZ377" s="488"/>
      <c r="BA377" s="488"/>
      <c r="BB377" s="488"/>
      <c r="BC377" s="488"/>
      <c r="BD377" s="488"/>
    </row>
    <row r="378" spans="3:56">
      <c r="C378" s="488"/>
      <c r="D378" s="488"/>
      <c r="E378" s="488"/>
      <c r="F378" s="488"/>
      <c r="G378" s="488"/>
      <c r="H378" s="488"/>
      <c r="I378" s="488"/>
      <c r="J378" s="488"/>
      <c r="K378" s="488"/>
      <c r="L378" s="488"/>
      <c r="M378" s="488"/>
      <c r="N378" s="488"/>
      <c r="O378" s="488"/>
      <c r="P378" s="488"/>
      <c r="Q378" s="488"/>
      <c r="R378" s="488"/>
      <c r="S378" s="488"/>
      <c r="T378" s="488"/>
      <c r="U378" s="488"/>
      <c r="V378" s="488"/>
      <c r="W378" s="488"/>
      <c r="X378" s="488"/>
      <c r="Y378" s="488"/>
      <c r="Z378" s="488"/>
      <c r="AA378" s="488"/>
      <c r="AB378" s="488"/>
      <c r="AC378" s="488"/>
      <c r="AD378" s="488"/>
      <c r="AE378" s="488"/>
      <c r="AF378" s="488"/>
      <c r="AG378" s="488"/>
      <c r="AH378" s="488"/>
      <c r="AI378" s="488"/>
      <c r="AJ378" s="488"/>
      <c r="AK378" s="488"/>
      <c r="AL378" s="488"/>
      <c r="AM378" s="488"/>
      <c r="AN378" s="488"/>
      <c r="AO378" s="488"/>
      <c r="AP378" s="488"/>
      <c r="AQ378" s="488"/>
      <c r="AR378" s="488"/>
      <c r="AS378" s="488"/>
      <c r="AT378" s="488"/>
      <c r="AU378" s="488"/>
      <c r="AV378" s="488"/>
      <c r="AW378" s="488"/>
      <c r="AX378" s="488"/>
      <c r="AY378" s="488"/>
      <c r="AZ378" s="488"/>
      <c r="BA378" s="488"/>
      <c r="BB378" s="488"/>
      <c r="BC378" s="488"/>
      <c r="BD378" s="488"/>
    </row>
    <row r="379" spans="3:56">
      <c r="C379" s="488"/>
      <c r="D379" s="488"/>
      <c r="E379" s="488"/>
      <c r="F379" s="488"/>
      <c r="G379" s="488"/>
      <c r="H379" s="488"/>
      <c r="I379" s="488"/>
      <c r="J379" s="488"/>
      <c r="K379" s="488"/>
      <c r="L379" s="488"/>
      <c r="M379" s="488"/>
      <c r="N379" s="488"/>
      <c r="O379" s="488"/>
      <c r="P379" s="488"/>
      <c r="Q379" s="488"/>
      <c r="R379" s="488"/>
      <c r="S379" s="488"/>
      <c r="T379" s="488"/>
      <c r="U379" s="488"/>
      <c r="V379" s="488"/>
      <c r="W379" s="488"/>
      <c r="X379" s="488"/>
      <c r="Y379" s="488"/>
      <c r="Z379" s="488"/>
      <c r="AA379" s="488"/>
      <c r="AB379" s="488"/>
      <c r="AC379" s="488"/>
      <c r="AD379" s="488"/>
      <c r="AE379" s="488"/>
      <c r="AF379" s="488"/>
      <c r="AG379" s="488"/>
      <c r="AH379" s="488"/>
      <c r="AI379" s="488"/>
      <c r="AJ379" s="488"/>
      <c r="AK379" s="488"/>
      <c r="AL379" s="488"/>
      <c r="AM379" s="488"/>
      <c r="AN379" s="488"/>
      <c r="AO379" s="488"/>
      <c r="AP379" s="488"/>
      <c r="AQ379" s="488"/>
      <c r="AR379" s="488"/>
      <c r="AS379" s="488"/>
      <c r="AT379" s="488"/>
      <c r="AU379" s="488"/>
      <c r="AV379" s="488"/>
      <c r="AW379" s="488"/>
      <c r="AX379" s="488"/>
      <c r="AY379" s="488"/>
      <c r="AZ379" s="488"/>
      <c r="BA379" s="488"/>
      <c r="BB379" s="488"/>
      <c r="BC379" s="488"/>
      <c r="BD379" s="488"/>
    </row>
    <row r="380" spans="3:56">
      <c r="C380" s="488"/>
      <c r="D380" s="488"/>
      <c r="E380" s="488"/>
      <c r="F380" s="488"/>
      <c r="G380" s="488"/>
      <c r="H380" s="488"/>
      <c r="I380" s="488"/>
      <c r="J380" s="488"/>
      <c r="K380" s="488"/>
      <c r="L380" s="488"/>
      <c r="M380" s="488"/>
      <c r="N380" s="488"/>
      <c r="O380" s="488"/>
      <c r="P380" s="488"/>
      <c r="Q380" s="488"/>
      <c r="R380" s="488"/>
      <c r="S380" s="488"/>
      <c r="T380" s="488"/>
      <c r="U380" s="488"/>
      <c r="V380" s="488"/>
      <c r="W380" s="488"/>
      <c r="X380" s="488"/>
      <c r="Y380" s="488"/>
      <c r="Z380" s="488"/>
      <c r="AA380" s="488"/>
      <c r="AB380" s="488"/>
      <c r="AC380" s="488"/>
      <c r="AD380" s="488"/>
      <c r="AE380" s="488"/>
      <c r="AF380" s="488"/>
      <c r="AG380" s="488"/>
      <c r="AH380" s="488"/>
      <c r="AI380" s="488"/>
      <c r="AJ380" s="488"/>
      <c r="AK380" s="488"/>
      <c r="AL380" s="488"/>
      <c r="AM380" s="488"/>
      <c r="AN380" s="488"/>
      <c r="AO380" s="488"/>
      <c r="AP380" s="488"/>
      <c r="AQ380" s="488"/>
      <c r="AR380" s="488"/>
      <c r="AS380" s="488"/>
      <c r="AT380" s="488"/>
      <c r="AU380" s="488"/>
      <c r="AV380" s="488"/>
      <c r="AW380" s="488"/>
      <c r="AX380" s="488"/>
      <c r="AY380" s="488"/>
      <c r="AZ380" s="488"/>
      <c r="BA380" s="488"/>
      <c r="BB380" s="488"/>
      <c r="BC380" s="488"/>
      <c r="BD380" s="488"/>
    </row>
    <row r="381" spans="3:56">
      <c r="C381" s="488"/>
      <c r="D381" s="488"/>
      <c r="E381" s="488"/>
      <c r="F381" s="488"/>
      <c r="G381" s="488"/>
      <c r="H381" s="488"/>
      <c r="I381" s="488"/>
      <c r="J381" s="488"/>
      <c r="K381" s="488"/>
      <c r="L381" s="488"/>
      <c r="M381" s="488"/>
      <c r="N381" s="488"/>
      <c r="O381" s="488"/>
      <c r="P381" s="488"/>
      <c r="Q381" s="488"/>
      <c r="R381" s="488"/>
      <c r="S381" s="488"/>
      <c r="T381" s="488"/>
      <c r="U381" s="488"/>
      <c r="V381" s="488"/>
      <c r="W381" s="488"/>
      <c r="X381" s="488"/>
      <c r="Y381" s="488"/>
      <c r="Z381" s="488"/>
      <c r="AA381" s="488"/>
      <c r="AB381" s="488"/>
      <c r="AC381" s="488"/>
      <c r="AD381" s="488"/>
      <c r="AE381" s="488"/>
      <c r="AF381" s="488"/>
      <c r="AG381" s="488"/>
      <c r="AH381" s="488"/>
      <c r="AI381" s="488"/>
      <c r="AJ381" s="488"/>
      <c r="AK381" s="488"/>
      <c r="AL381" s="488"/>
      <c r="AM381" s="488"/>
      <c r="AN381" s="488"/>
      <c r="AO381" s="488"/>
      <c r="AP381" s="488"/>
      <c r="AQ381" s="488"/>
      <c r="AR381" s="488"/>
      <c r="AS381" s="488"/>
      <c r="AT381" s="488"/>
      <c r="AU381" s="488"/>
      <c r="AV381" s="488"/>
      <c r="AW381" s="488"/>
      <c r="AX381" s="488"/>
      <c r="AY381" s="488"/>
      <c r="AZ381" s="488"/>
      <c r="BA381" s="488"/>
      <c r="BB381" s="488"/>
      <c r="BC381" s="488"/>
      <c r="BD381" s="488"/>
    </row>
    <row r="382" spans="3:56">
      <c r="C382" s="488"/>
      <c r="D382" s="488"/>
      <c r="E382" s="488"/>
      <c r="F382" s="488"/>
      <c r="G382" s="488"/>
      <c r="H382" s="488"/>
      <c r="I382" s="488"/>
      <c r="J382" s="488"/>
      <c r="K382" s="488"/>
      <c r="L382" s="488"/>
      <c r="M382" s="488"/>
      <c r="N382" s="488"/>
      <c r="O382" s="488"/>
      <c r="P382" s="488"/>
      <c r="Q382" s="488"/>
      <c r="R382" s="488"/>
      <c r="S382" s="488"/>
      <c r="T382" s="488"/>
      <c r="U382" s="488"/>
      <c r="V382" s="488"/>
      <c r="W382" s="488"/>
      <c r="X382" s="488"/>
      <c r="Y382" s="488"/>
      <c r="Z382" s="488"/>
      <c r="AA382" s="488"/>
      <c r="AB382" s="488"/>
      <c r="AC382" s="488"/>
      <c r="AD382" s="488"/>
      <c r="AE382" s="488"/>
      <c r="AF382" s="488"/>
      <c r="AG382" s="488"/>
      <c r="AH382" s="488"/>
      <c r="AI382" s="488"/>
      <c r="AJ382" s="488"/>
      <c r="AK382" s="488"/>
      <c r="AL382" s="488"/>
      <c r="AM382" s="488"/>
      <c r="AN382" s="488"/>
      <c r="AO382" s="488"/>
      <c r="AP382" s="488"/>
      <c r="AQ382" s="488"/>
      <c r="AR382" s="488"/>
      <c r="AS382" s="488"/>
      <c r="AT382" s="488"/>
      <c r="AU382" s="488"/>
      <c r="AV382" s="488"/>
      <c r="AW382" s="488"/>
      <c r="AX382" s="488"/>
      <c r="AY382" s="488"/>
      <c r="AZ382" s="488"/>
      <c r="BA382" s="488"/>
      <c r="BB382" s="488"/>
      <c r="BC382" s="488"/>
      <c r="BD382" s="488"/>
    </row>
    <row r="383" spans="3:56">
      <c r="C383" s="488"/>
      <c r="D383" s="488"/>
      <c r="E383" s="488"/>
      <c r="F383" s="488"/>
      <c r="G383" s="488"/>
      <c r="H383" s="488"/>
      <c r="I383" s="488"/>
      <c r="J383" s="488"/>
      <c r="K383" s="488"/>
      <c r="L383" s="488"/>
      <c r="M383" s="488"/>
      <c r="N383" s="488"/>
      <c r="O383" s="488"/>
      <c r="P383" s="488"/>
      <c r="Q383" s="488"/>
      <c r="R383" s="488"/>
      <c r="S383" s="488"/>
      <c r="T383" s="488"/>
      <c r="U383" s="488"/>
      <c r="V383" s="488"/>
      <c r="W383" s="488"/>
      <c r="X383" s="488"/>
      <c r="Y383" s="488"/>
      <c r="Z383" s="488"/>
      <c r="AA383" s="488"/>
      <c r="AB383" s="488"/>
      <c r="AC383" s="488"/>
      <c r="AD383" s="488"/>
      <c r="AE383" s="488"/>
      <c r="AF383" s="488"/>
      <c r="AG383" s="488"/>
      <c r="AH383" s="488"/>
      <c r="AI383" s="488"/>
      <c r="AJ383" s="488"/>
      <c r="AK383" s="488"/>
      <c r="AL383" s="488"/>
      <c r="AM383" s="488"/>
      <c r="AN383" s="488"/>
      <c r="AO383" s="488"/>
      <c r="AP383" s="488"/>
      <c r="AQ383" s="488"/>
      <c r="AR383" s="488"/>
      <c r="AS383" s="488"/>
      <c r="AT383" s="488"/>
      <c r="AU383" s="488"/>
      <c r="AV383" s="488"/>
      <c r="AW383" s="488"/>
      <c r="AX383" s="488"/>
      <c r="AY383" s="488"/>
      <c r="AZ383" s="488"/>
      <c r="BA383" s="488"/>
      <c r="BB383" s="488"/>
      <c r="BC383" s="488"/>
      <c r="BD383" s="488"/>
    </row>
    <row r="384" spans="3:56">
      <c r="C384" s="488"/>
      <c r="D384" s="488"/>
      <c r="E384" s="488"/>
      <c r="F384" s="488"/>
      <c r="G384" s="488"/>
      <c r="H384" s="488"/>
      <c r="I384" s="488"/>
      <c r="J384" s="488"/>
      <c r="K384" s="488"/>
      <c r="L384" s="488"/>
      <c r="M384" s="488"/>
      <c r="N384" s="488"/>
      <c r="O384" s="488"/>
      <c r="P384" s="488"/>
      <c r="Q384" s="488"/>
      <c r="R384" s="488"/>
      <c r="S384" s="488"/>
      <c r="T384" s="488"/>
      <c r="U384" s="488"/>
      <c r="V384" s="488"/>
      <c r="W384" s="488"/>
      <c r="X384" s="488"/>
      <c r="Y384" s="488"/>
      <c r="Z384" s="488"/>
      <c r="AA384" s="488"/>
      <c r="AB384" s="488"/>
      <c r="AC384" s="488"/>
      <c r="AD384" s="488"/>
      <c r="AE384" s="488"/>
      <c r="AF384" s="488"/>
      <c r="AG384" s="488"/>
      <c r="AH384" s="488"/>
      <c r="AI384" s="488"/>
      <c r="AJ384" s="488"/>
      <c r="AK384" s="488"/>
      <c r="AL384" s="488"/>
      <c r="AM384" s="488"/>
      <c r="AN384" s="488"/>
      <c r="AO384" s="488"/>
      <c r="AP384" s="488"/>
      <c r="AQ384" s="488"/>
      <c r="AR384" s="488"/>
      <c r="AS384" s="488"/>
      <c r="AT384" s="488"/>
      <c r="AU384" s="488"/>
      <c r="AV384" s="488"/>
      <c r="AW384" s="488"/>
      <c r="AX384" s="488"/>
      <c r="AY384" s="488"/>
      <c r="AZ384" s="488"/>
      <c r="BA384" s="488"/>
      <c r="BB384" s="488"/>
      <c r="BC384" s="488"/>
      <c r="BD384" s="488"/>
    </row>
    <row r="385" spans="3:56">
      <c r="C385" s="488"/>
      <c r="D385" s="488"/>
      <c r="E385" s="488"/>
      <c r="F385" s="488"/>
      <c r="G385" s="488"/>
      <c r="H385" s="488"/>
      <c r="I385" s="488"/>
      <c r="J385" s="488"/>
      <c r="K385" s="488"/>
      <c r="L385" s="488"/>
      <c r="M385" s="488"/>
      <c r="N385" s="488"/>
      <c r="O385" s="488"/>
      <c r="P385" s="488"/>
      <c r="Q385" s="488"/>
      <c r="R385" s="488"/>
      <c r="S385" s="488"/>
      <c r="T385" s="488"/>
      <c r="U385" s="488"/>
      <c r="V385" s="488"/>
      <c r="W385" s="488"/>
      <c r="X385" s="488"/>
      <c r="Y385" s="488"/>
      <c r="Z385" s="488"/>
      <c r="AA385" s="488"/>
      <c r="AB385" s="488"/>
      <c r="AC385" s="488"/>
      <c r="AD385" s="488"/>
      <c r="AE385" s="488"/>
      <c r="AF385" s="488"/>
      <c r="AG385" s="488"/>
      <c r="AH385" s="488"/>
      <c r="AI385" s="488"/>
      <c r="AJ385" s="488"/>
      <c r="AK385" s="488"/>
      <c r="AL385" s="488"/>
      <c r="AM385" s="488"/>
      <c r="AN385" s="488"/>
      <c r="AO385" s="488"/>
      <c r="AP385" s="488"/>
      <c r="AQ385" s="488"/>
      <c r="AR385" s="488"/>
      <c r="AS385" s="488"/>
      <c r="AT385" s="488"/>
      <c r="AU385" s="488"/>
      <c r="AV385" s="488"/>
      <c r="AW385" s="488"/>
      <c r="AX385" s="488"/>
      <c r="AY385" s="488"/>
      <c r="AZ385" s="488"/>
      <c r="BA385" s="488"/>
      <c r="BB385" s="488"/>
      <c r="BC385" s="488"/>
      <c r="BD385" s="488"/>
    </row>
    <row r="386" spans="3:56">
      <c r="C386" s="488"/>
      <c r="D386" s="488"/>
      <c r="E386" s="488"/>
      <c r="F386" s="488"/>
      <c r="G386" s="488"/>
      <c r="H386" s="488"/>
      <c r="I386" s="488"/>
      <c r="J386" s="488"/>
      <c r="K386" s="488"/>
      <c r="L386" s="488"/>
      <c r="M386" s="488"/>
      <c r="N386" s="488"/>
      <c r="O386" s="488"/>
      <c r="P386" s="488"/>
      <c r="Q386" s="488"/>
      <c r="R386" s="488"/>
      <c r="S386" s="488"/>
      <c r="T386" s="488"/>
      <c r="U386" s="488"/>
      <c r="V386" s="488"/>
      <c r="W386" s="488"/>
      <c r="X386" s="488"/>
      <c r="Y386" s="488"/>
      <c r="Z386" s="488"/>
      <c r="AA386" s="488"/>
      <c r="AB386" s="488"/>
      <c r="AC386" s="488"/>
      <c r="AD386" s="488"/>
      <c r="AE386" s="488"/>
      <c r="AF386" s="488"/>
      <c r="AG386" s="488"/>
      <c r="AH386" s="488"/>
      <c r="AI386" s="488"/>
      <c r="AJ386" s="488"/>
      <c r="AK386" s="488"/>
      <c r="AL386" s="488"/>
      <c r="AM386" s="488"/>
      <c r="AN386" s="488"/>
      <c r="AO386" s="488"/>
      <c r="AP386" s="488"/>
      <c r="AQ386" s="488"/>
      <c r="AR386" s="488"/>
      <c r="AS386" s="488"/>
      <c r="AT386" s="488"/>
      <c r="AU386" s="488"/>
      <c r="AV386" s="488"/>
      <c r="AW386" s="488"/>
      <c r="AX386" s="488"/>
      <c r="AY386" s="488"/>
      <c r="AZ386" s="488"/>
      <c r="BA386" s="488"/>
      <c r="BB386" s="488"/>
      <c r="BC386" s="488"/>
      <c r="BD386" s="488"/>
    </row>
    <row r="387" spans="3:56">
      <c r="C387" s="488"/>
      <c r="D387" s="488"/>
      <c r="E387" s="488"/>
      <c r="F387" s="488"/>
      <c r="G387" s="488"/>
      <c r="H387" s="488"/>
      <c r="I387" s="488"/>
      <c r="J387" s="488"/>
      <c r="K387" s="488"/>
      <c r="L387" s="488"/>
      <c r="M387" s="488"/>
      <c r="N387" s="488"/>
      <c r="O387" s="488"/>
      <c r="P387" s="488"/>
      <c r="Q387" s="488"/>
      <c r="R387" s="488"/>
      <c r="S387" s="488"/>
      <c r="T387" s="488"/>
      <c r="U387" s="488"/>
      <c r="V387" s="488"/>
      <c r="W387" s="488"/>
      <c r="X387" s="488"/>
      <c r="Y387" s="488"/>
      <c r="Z387" s="488"/>
      <c r="AA387" s="488"/>
      <c r="AB387" s="488"/>
      <c r="AC387" s="488"/>
      <c r="AD387" s="488"/>
      <c r="AE387" s="488"/>
      <c r="AF387" s="488"/>
      <c r="AG387" s="488"/>
      <c r="AH387" s="488"/>
      <c r="AI387" s="488"/>
      <c r="AJ387" s="488"/>
      <c r="AK387" s="488"/>
      <c r="AL387" s="488"/>
      <c r="AM387" s="488"/>
      <c r="AN387" s="488"/>
      <c r="AO387" s="488"/>
      <c r="AP387" s="488"/>
      <c r="AQ387" s="488"/>
      <c r="AR387" s="488"/>
      <c r="AS387" s="488"/>
      <c r="AT387" s="488"/>
      <c r="AU387" s="488"/>
      <c r="AV387" s="488"/>
      <c r="AW387" s="488"/>
      <c r="AX387" s="488"/>
      <c r="AY387" s="488"/>
      <c r="AZ387" s="488"/>
      <c r="BA387" s="488"/>
      <c r="BB387" s="488"/>
      <c r="BC387" s="488"/>
      <c r="BD387" s="488"/>
    </row>
    <row r="388" spans="3:56">
      <c r="C388" s="488"/>
      <c r="D388" s="488"/>
      <c r="E388" s="488"/>
      <c r="F388" s="488"/>
      <c r="G388" s="488"/>
      <c r="H388" s="488"/>
      <c r="I388" s="488"/>
      <c r="J388" s="488"/>
      <c r="K388" s="488"/>
      <c r="L388" s="488"/>
      <c r="M388" s="488"/>
      <c r="N388" s="488"/>
      <c r="O388" s="488"/>
      <c r="P388" s="488"/>
      <c r="Q388" s="488"/>
      <c r="R388" s="488"/>
      <c r="S388" s="488"/>
      <c r="T388" s="488"/>
      <c r="U388" s="488"/>
      <c r="V388" s="488"/>
      <c r="W388" s="488"/>
      <c r="X388" s="488"/>
      <c r="Y388" s="488"/>
      <c r="Z388" s="488"/>
      <c r="AA388" s="488"/>
      <c r="AB388" s="488"/>
      <c r="AC388" s="488"/>
      <c r="AD388" s="488"/>
      <c r="AE388" s="488"/>
      <c r="AF388" s="488"/>
      <c r="AG388" s="488"/>
      <c r="AH388" s="488"/>
      <c r="AI388" s="488"/>
      <c r="AJ388" s="488"/>
      <c r="AK388" s="488"/>
      <c r="AL388" s="488"/>
      <c r="AM388" s="488"/>
      <c r="AN388" s="488"/>
      <c r="AO388" s="488"/>
      <c r="AP388" s="488"/>
      <c r="AQ388" s="488"/>
      <c r="AR388" s="488"/>
      <c r="AS388" s="488"/>
      <c r="AT388" s="488"/>
      <c r="AU388" s="488"/>
      <c r="AV388" s="488"/>
      <c r="AW388" s="488"/>
      <c r="AX388" s="488"/>
      <c r="AY388" s="488"/>
      <c r="AZ388" s="488"/>
      <c r="BA388" s="488"/>
      <c r="BB388" s="488"/>
      <c r="BC388" s="488"/>
      <c r="BD388" s="488"/>
    </row>
    <row r="389" spans="3:56">
      <c r="C389" s="488"/>
      <c r="D389" s="488"/>
      <c r="E389" s="488"/>
      <c r="F389" s="488"/>
      <c r="G389" s="488"/>
      <c r="H389" s="488"/>
      <c r="I389" s="488"/>
      <c r="J389" s="488"/>
      <c r="K389" s="488"/>
      <c r="L389" s="488"/>
      <c r="M389" s="488"/>
      <c r="N389" s="488"/>
      <c r="O389" s="488"/>
      <c r="P389" s="488"/>
      <c r="Q389" s="488"/>
      <c r="R389" s="488"/>
      <c r="S389" s="488"/>
      <c r="T389" s="488"/>
      <c r="U389" s="488"/>
      <c r="V389" s="488"/>
      <c r="W389" s="488"/>
      <c r="X389" s="488"/>
      <c r="Y389" s="488"/>
      <c r="Z389" s="488"/>
      <c r="AA389" s="488"/>
      <c r="AB389" s="488"/>
      <c r="AC389" s="488"/>
      <c r="AD389" s="488"/>
      <c r="AE389" s="488"/>
      <c r="AF389" s="488"/>
      <c r="AG389" s="488"/>
      <c r="AH389" s="488"/>
      <c r="AI389" s="488"/>
      <c r="AJ389" s="488"/>
      <c r="AK389" s="488"/>
      <c r="AL389" s="488"/>
      <c r="AM389" s="488"/>
      <c r="AN389" s="488"/>
      <c r="AO389" s="488"/>
      <c r="AP389" s="488"/>
      <c r="AQ389" s="488"/>
      <c r="AR389" s="488"/>
      <c r="AS389" s="488"/>
      <c r="AT389" s="488"/>
      <c r="AU389" s="488"/>
      <c r="AV389" s="488"/>
      <c r="AW389" s="488"/>
      <c r="AX389" s="488"/>
      <c r="AY389" s="488"/>
      <c r="AZ389" s="488"/>
      <c r="BA389" s="488"/>
      <c r="BB389" s="488"/>
      <c r="BC389" s="488"/>
      <c r="BD389" s="488"/>
    </row>
    <row r="390" spans="3:56">
      <c r="C390" s="488"/>
      <c r="D390" s="488"/>
      <c r="E390" s="488"/>
      <c r="F390" s="488"/>
      <c r="G390" s="488"/>
      <c r="H390" s="488"/>
      <c r="I390" s="488"/>
      <c r="J390" s="488"/>
      <c r="K390" s="488"/>
      <c r="L390" s="488"/>
      <c r="M390" s="488"/>
      <c r="N390" s="488"/>
      <c r="O390" s="488"/>
      <c r="P390" s="488"/>
      <c r="Q390" s="488"/>
      <c r="R390" s="488"/>
      <c r="S390" s="488"/>
      <c r="T390" s="488"/>
      <c r="U390" s="488"/>
      <c r="V390" s="488"/>
      <c r="W390" s="488"/>
      <c r="X390" s="488"/>
      <c r="Y390" s="488"/>
      <c r="Z390" s="488"/>
      <c r="AA390" s="488"/>
      <c r="AB390" s="488"/>
      <c r="AC390" s="488"/>
      <c r="AD390" s="488"/>
      <c r="AE390" s="488"/>
      <c r="AF390" s="488"/>
      <c r="AG390" s="488"/>
      <c r="AH390" s="488"/>
      <c r="AI390" s="488"/>
      <c r="AJ390" s="488"/>
      <c r="AK390" s="488"/>
      <c r="AL390" s="488"/>
      <c r="AM390" s="488"/>
      <c r="AN390" s="488"/>
      <c r="AO390" s="488"/>
      <c r="AP390" s="488"/>
      <c r="AQ390" s="488"/>
      <c r="AR390" s="488"/>
      <c r="AS390" s="488"/>
      <c r="AT390" s="488"/>
      <c r="AU390" s="488"/>
      <c r="AV390" s="488"/>
      <c r="AW390" s="488"/>
      <c r="AX390" s="488"/>
      <c r="AY390" s="488"/>
      <c r="AZ390" s="488"/>
      <c r="BA390" s="488"/>
      <c r="BB390" s="488"/>
      <c r="BC390" s="488"/>
      <c r="BD390" s="488"/>
    </row>
    <row r="391" spans="3:56">
      <c r="C391" s="488"/>
      <c r="D391" s="488"/>
      <c r="E391" s="488"/>
      <c r="F391" s="488"/>
      <c r="G391" s="488"/>
      <c r="H391" s="488"/>
      <c r="I391" s="488"/>
      <c r="J391" s="488"/>
      <c r="K391" s="488"/>
      <c r="L391" s="488"/>
      <c r="M391" s="488"/>
      <c r="N391" s="488"/>
      <c r="O391" s="488"/>
      <c r="P391" s="488"/>
      <c r="Q391" s="488"/>
      <c r="R391" s="488"/>
      <c r="S391" s="488"/>
      <c r="T391" s="488"/>
      <c r="U391" s="488"/>
      <c r="V391" s="488"/>
      <c r="W391" s="488"/>
      <c r="X391" s="488"/>
      <c r="Y391" s="488"/>
      <c r="Z391" s="488"/>
      <c r="AA391" s="488"/>
      <c r="AB391" s="488"/>
      <c r="AC391" s="488"/>
      <c r="AD391" s="488"/>
      <c r="AE391" s="488"/>
      <c r="AF391" s="488"/>
      <c r="AG391" s="488"/>
      <c r="AH391" s="488"/>
      <c r="AI391" s="488"/>
      <c r="AJ391" s="488"/>
      <c r="AK391" s="488"/>
      <c r="AL391" s="488"/>
      <c r="AM391" s="488"/>
      <c r="AN391" s="488"/>
      <c r="AO391" s="488"/>
      <c r="AP391" s="488"/>
      <c r="AQ391" s="488"/>
      <c r="AR391" s="488"/>
      <c r="AS391" s="488"/>
      <c r="AT391" s="488"/>
      <c r="AU391" s="488"/>
      <c r="AV391" s="488"/>
      <c r="AW391" s="488"/>
      <c r="AX391" s="488"/>
      <c r="AY391" s="488"/>
      <c r="AZ391" s="488"/>
      <c r="BA391" s="488"/>
      <c r="BB391" s="488"/>
      <c r="BC391" s="488"/>
      <c r="BD391" s="488"/>
    </row>
    <row r="392" spans="3:56">
      <c r="C392" s="488"/>
      <c r="D392" s="488"/>
      <c r="E392" s="488"/>
      <c r="F392" s="488"/>
      <c r="G392" s="488"/>
      <c r="H392" s="488"/>
      <c r="I392" s="488"/>
      <c r="J392" s="488"/>
      <c r="K392" s="488"/>
      <c r="L392" s="488"/>
      <c r="M392" s="488"/>
      <c r="N392" s="488"/>
      <c r="O392" s="488"/>
      <c r="P392" s="488"/>
      <c r="Q392" s="488"/>
      <c r="R392" s="488"/>
      <c r="S392" s="488"/>
      <c r="T392" s="488"/>
      <c r="U392" s="488"/>
      <c r="V392" s="488"/>
      <c r="W392" s="488"/>
      <c r="X392" s="488"/>
      <c r="Y392" s="488"/>
      <c r="Z392" s="488"/>
      <c r="AA392" s="488"/>
      <c r="AB392" s="488"/>
      <c r="AC392" s="488"/>
      <c r="AD392" s="488"/>
      <c r="AE392" s="488"/>
      <c r="AF392" s="488"/>
      <c r="AG392" s="488"/>
      <c r="AH392" s="488"/>
      <c r="AI392" s="488"/>
      <c r="AJ392" s="488"/>
      <c r="AK392" s="488"/>
      <c r="AL392" s="488"/>
      <c r="AM392" s="488"/>
      <c r="AN392" s="488"/>
      <c r="AO392" s="488"/>
      <c r="AP392" s="488"/>
      <c r="AQ392" s="488"/>
      <c r="AR392" s="488"/>
      <c r="AS392" s="488"/>
      <c r="AT392" s="488"/>
      <c r="AU392" s="488"/>
      <c r="AV392" s="488"/>
      <c r="AW392" s="488"/>
      <c r="AX392" s="488"/>
      <c r="AY392" s="488"/>
      <c r="AZ392" s="488"/>
      <c r="BA392" s="488"/>
      <c r="BB392" s="488"/>
      <c r="BC392" s="488"/>
      <c r="BD392" s="488"/>
    </row>
    <row r="393" spans="3:56">
      <c r="C393" s="488"/>
      <c r="D393" s="488"/>
      <c r="E393" s="488"/>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c r="AL393" s="488"/>
      <c r="AM393" s="488"/>
      <c r="AN393" s="488"/>
      <c r="AO393" s="488"/>
      <c r="AP393" s="488"/>
      <c r="AQ393" s="488"/>
      <c r="AR393" s="488"/>
      <c r="AS393" s="488"/>
      <c r="AT393" s="488"/>
      <c r="AU393" s="488"/>
      <c r="AV393" s="488"/>
      <c r="AW393" s="488"/>
      <c r="AX393" s="488"/>
      <c r="AY393" s="488"/>
      <c r="AZ393" s="488"/>
      <c r="BA393" s="488"/>
      <c r="BB393" s="488"/>
      <c r="BC393" s="488"/>
      <c r="BD393" s="488"/>
    </row>
    <row r="394" spans="3:56">
      <c r="C394" s="488"/>
      <c r="D394" s="488"/>
      <c r="E394" s="488"/>
      <c r="F394" s="488"/>
      <c r="G394" s="488"/>
      <c r="H394" s="488"/>
      <c r="I394" s="488"/>
      <c r="J394" s="488"/>
      <c r="K394" s="488"/>
      <c r="L394" s="488"/>
      <c r="M394" s="488"/>
      <c r="N394" s="488"/>
      <c r="O394" s="488"/>
      <c r="P394" s="488"/>
      <c r="Q394" s="488"/>
      <c r="R394" s="488"/>
      <c r="S394" s="488"/>
      <c r="T394" s="488"/>
      <c r="U394" s="488"/>
      <c r="V394" s="488"/>
      <c r="W394" s="488"/>
      <c r="X394" s="488"/>
      <c r="Y394" s="488"/>
      <c r="Z394" s="488"/>
      <c r="AA394" s="488"/>
      <c r="AB394" s="488"/>
      <c r="AC394" s="488"/>
      <c r="AD394" s="488"/>
      <c r="AE394" s="488"/>
      <c r="AF394" s="488"/>
      <c r="AG394" s="488"/>
      <c r="AH394" s="488"/>
      <c r="AI394" s="488"/>
      <c r="AJ394" s="488"/>
      <c r="AK394" s="488"/>
      <c r="AL394" s="488"/>
      <c r="AM394" s="488"/>
      <c r="AN394" s="488"/>
      <c r="AO394" s="488"/>
      <c r="AP394" s="488"/>
      <c r="AQ394" s="488"/>
      <c r="AR394" s="488"/>
      <c r="AS394" s="488"/>
      <c r="AT394" s="488"/>
      <c r="AU394" s="488"/>
      <c r="AV394" s="488"/>
      <c r="AW394" s="488"/>
      <c r="AX394" s="488"/>
      <c r="AY394" s="488"/>
      <c r="AZ394" s="488"/>
      <c r="BA394" s="488"/>
      <c r="BB394" s="488"/>
      <c r="BC394" s="488"/>
      <c r="BD394" s="488"/>
    </row>
    <row r="395" spans="3:56">
      <c r="C395" s="488"/>
      <c r="D395" s="488"/>
      <c r="E395" s="488"/>
      <c r="F395" s="488"/>
      <c r="G395" s="488"/>
      <c r="H395" s="488"/>
      <c r="I395" s="488"/>
      <c r="J395" s="488"/>
      <c r="K395" s="488"/>
      <c r="L395" s="488"/>
      <c r="M395" s="488"/>
      <c r="N395" s="488"/>
      <c r="O395" s="488"/>
      <c r="P395" s="488"/>
      <c r="Q395" s="488"/>
      <c r="R395" s="488"/>
      <c r="S395" s="488"/>
      <c r="T395" s="488"/>
      <c r="U395" s="488"/>
      <c r="V395" s="488"/>
      <c r="W395" s="488"/>
      <c r="X395" s="488"/>
      <c r="Y395" s="488"/>
      <c r="Z395" s="488"/>
      <c r="AA395" s="488"/>
      <c r="AB395" s="488"/>
      <c r="AC395" s="488"/>
      <c r="AD395" s="488"/>
      <c r="AE395" s="488"/>
      <c r="AF395" s="488"/>
      <c r="AG395" s="488"/>
      <c r="AH395" s="488"/>
      <c r="AI395" s="488"/>
      <c r="AJ395" s="488"/>
      <c r="AK395" s="488"/>
      <c r="AL395" s="488"/>
      <c r="AM395" s="488"/>
      <c r="AN395" s="488"/>
      <c r="AO395" s="488"/>
      <c r="AP395" s="488"/>
      <c r="AQ395" s="488"/>
      <c r="AR395" s="488"/>
      <c r="AS395" s="488"/>
      <c r="AT395" s="488"/>
      <c r="AU395" s="488"/>
      <c r="AV395" s="488"/>
      <c r="AW395" s="488"/>
      <c r="AX395" s="488"/>
      <c r="AY395" s="488"/>
      <c r="AZ395" s="488"/>
      <c r="BA395" s="488"/>
      <c r="BB395" s="488"/>
      <c r="BC395" s="488"/>
      <c r="BD395" s="488"/>
    </row>
    <row r="396" spans="3:56">
      <c r="C396" s="488"/>
      <c r="D396" s="488"/>
      <c r="E396" s="488"/>
      <c r="F396" s="488"/>
      <c r="G396" s="488"/>
      <c r="H396" s="488"/>
      <c r="I396" s="488"/>
      <c r="J396" s="488"/>
      <c r="K396" s="488"/>
      <c r="L396" s="488"/>
      <c r="M396" s="488"/>
      <c r="N396" s="488"/>
      <c r="O396" s="488"/>
      <c r="P396" s="488"/>
      <c r="Q396" s="488"/>
      <c r="R396" s="488"/>
      <c r="S396" s="488"/>
      <c r="T396" s="488"/>
      <c r="U396" s="488"/>
      <c r="V396" s="488"/>
      <c r="W396" s="488"/>
      <c r="X396" s="488"/>
      <c r="Y396" s="488"/>
      <c r="Z396" s="488"/>
      <c r="AA396" s="488"/>
      <c r="AB396" s="488"/>
      <c r="AC396" s="488"/>
      <c r="AD396" s="488"/>
      <c r="AE396" s="488"/>
      <c r="AF396" s="488"/>
      <c r="AG396" s="488"/>
      <c r="AH396" s="488"/>
      <c r="AI396" s="488"/>
      <c r="AJ396" s="488"/>
      <c r="AK396" s="488"/>
      <c r="AL396" s="488"/>
      <c r="AM396" s="488"/>
      <c r="AN396" s="488"/>
      <c r="AO396" s="488"/>
      <c r="AP396" s="488"/>
      <c r="AQ396" s="488"/>
      <c r="AR396" s="488"/>
      <c r="AS396" s="488"/>
      <c r="AT396" s="488"/>
      <c r="AU396" s="488"/>
      <c r="AV396" s="488"/>
      <c r="AW396" s="488"/>
      <c r="AX396" s="488"/>
      <c r="AY396" s="488"/>
      <c r="AZ396" s="488"/>
      <c r="BA396" s="488"/>
      <c r="BB396" s="488"/>
      <c r="BC396" s="488"/>
      <c r="BD396" s="488"/>
    </row>
    <row r="397" spans="3:56">
      <c r="C397" s="488"/>
      <c r="D397" s="488"/>
      <c r="E397" s="488"/>
      <c r="F397" s="488"/>
      <c r="G397" s="488"/>
      <c r="H397" s="488"/>
      <c r="I397" s="488"/>
      <c r="J397" s="488"/>
      <c r="K397" s="488"/>
      <c r="L397" s="488"/>
      <c r="M397" s="488"/>
      <c r="N397" s="488"/>
      <c r="O397" s="488"/>
      <c r="P397" s="488"/>
      <c r="Q397" s="488"/>
      <c r="R397" s="488"/>
      <c r="S397" s="488"/>
      <c r="T397" s="488"/>
      <c r="U397" s="488"/>
      <c r="V397" s="488"/>
      <c r="W397" s="488"/>
      <c r="X397" s="488"/>
      <c r="Y397" s="488"/>
      <c r="Z397" s="488"/>
      <c r="AA397" s="488"/>
      <c r="AB397" s="488"/>
      <c r="AC397" s="488"/>
      <c r="AD397" s="488"/>
      <c r="AE397" s="488"/>
      <c r="AF397" s="488"/>
      <c r="AG397" s="488"/>
      <c r="AH397" s="488"/>
      <c r="AI397" s="488"/>
      <c r="AJ397" s="488"/>
      <c r="AK397" s="488"/>
      <c r="AL397" s="488"/>
      <c r="AM397" s="488"/>
      <c r="AN397" s="488"/>
      <c r="AO397" s="488"/>
      <c r="AP397" s="488"/>
      <c r="AQ397" s="488"/>
      <c r="AR397" s="488"/>
      <c r="AS397" s="488"/>
      <c r="AT397" s="488"/>
      <c r="AU397" s="488"/>
      <c r="AV397" s="488"/>
      <c r="AW397" s="488"/>
      <c r="AX397" s="488"/>
      <c r="AY397" s="488"/>
      <c r="AZ397" s="488"/>
      <c r="BA397" s="488"/>
      <c r="BB397" s="488"/>
      <c r="BC397" s="488"/>
      <c r="BD397" s="488"/>
    </row>
    <row r="398" spans="3:56">
      <c r="C398" s="488"/>
      <c r="D398" s="488"/>
      <c r="E398" s="488"/>
      <c r="F398" s="488"/>
      <c r="G398" s="488"/>
      <c r="H398" s="488"/>
      <c r="I398" s="488"/>
      <c r="J398" s="488"/>
      <c r="K398" s="488"/>
      <c r="L398" s="488"/>
      <c r="M398" s="488"/>
      <c r="N398" s="488"/>
      <c r="O398" s="488"/>
      <c r="P398" s="488"/>
      <c r="Q398" s="488"/>
      <c r="R398" s="488"/>
      <c r="S398" s="488"/>
      <c r="T398" s="488"/>
      <c r="U398" s="488"/>
      <c r="V398" s="488"/>
      <c r="W398" s="488"/>
      <c r="X398" s="488"/>
      <c r="Y398" s="488"/>
      <c r="Z398" s="488"/>
      <c r="AA398" s="488"/>
      <c r="AB398" s="488"/>
      <c r="AC398" s="488"/>
      <c r="AD398" s="488"/>
      <c r="AE398" s="488"/>
      <c r="AF398" s="488"/>
      <c r="AG398" s="488"/>
      <c r="AH398" s="488"/>
      <c r="AI398" s="488"/>
      <c r="AJ398" s="488"/>
      <c r="AK398" s="488"/>
      <c r="AL398" s="488"/>
      <c r="AM398" s="488"/>
      <c r="AN398" s="488"/>
      <c r="AO398" s="488"/>
      <c r="AP398" s="488"/>
      <c r="AQ398" s="488"/>
      <c r="AR398" s="488"/>
      <c r="AS398" s="488"/>
      <c r="AT398" s="488"/>
      <c r="AU398" s="488"/>
      <c r="AV398" s="488"/>
      <c r="AW398" s="488"/>
      <c r="AX398" s="488"/>
      <c r="AY398" s="488"/>
      <c r="AZ398" s="488"/>
      <c r="BA398" s="488"/>
      <c r="BB398" s="488"/>
      <c r="BC398" s="488"/>
      <c r="BD398" s="488"/>
    </row>
    <row r="399" spans="3:56">
      <c r="C399" s="488"/>
      <c r="D399" s="488"/>
      <c r="E399" s="488"/>
      <c r="F399" s="488"/>
      <c r="G399" s="488"/>
      <c r="H399" s="488"/>
      <c r="I399" s="488"/>
      <c r="J399" s="488"/>
      <c r="K399" s="488"/>
      <c r="L399" s="488"/>
      <c r="M399" s="488"/>
      <c r="N399" s="488"/>
      <c r="O399" s="488"/>
      <c r="P399" s="488"/>
      <c r="Q399" s="488"/>
      <c r="R399" s="488"/>
      <c r="S399" s="488"/>
      <c r="T399" s="488"/>
      <c r="U399" s="488"/>
      <c r="V399" s="488"/>
      <c r="W399" s="488"/>
      <c r="X399" s="488"/>
      <c r="Y399" s="488"/>
      <c r="Z399" s="488"/>
      <c r="AA399" s="488"/>
      <c r="AB399" s="488"/>
      <c r="AC399" s="488"/>
      <c r="AD399" s="488"/>
      <c r="AE399" s="488"/>
      <c r="AF399" s="488"/>
      <c r="AG399" s="488"/>
      <c r="AH399" s="488"/>
      <c r="AI399" s="488"/>
      <c r="AJ399" s="488"/>
      <c r="AK399" s="488"/>
      <c r="AL399" s="488"/>
      <c r="AM399" s="488"/>
      <c r="AN399" s="488"/>
      <c r="AO399" s="488"/>
      <c r="AP399" s="488"/>
      <c r="AQ399" s="488"/>
      <c r="AR399" s="488"/>
      <c r="AS399" s="488"/>
      <c r="AT399" s="488"/>
      <c r="AU399" s="488"/>
      <c r="AV399" s="488"/>
      <c r="AW399" s="488"/>
      <c r="AX399" s="488"/>
      <c r="AY399" s="488"/>
      <c r="AZ399" s="488"/>
      <c r="BA399" s="488"/>
      <c r="BB399" s="488"/>
      <c r="BC399" s="488"/>
      <c r="BD399" s="488"/>
    </row>
    <row r="400" spans="3:56">
      <c r="C400" s="488"/>
      <c r="D400" s="488"/>
      <c r="E400" s="488"/>
      <c r="F400" s="488"/>
      <c r="G400" s="488"/>
      <c r="H400" s="488"/>
      <c r="I400" s="488"/>
      <c r="J400" s="488"/>
      <c r="K400" s="488"/>
      <c r="L400" s="488"/>
      <c r="M400" s="488"/>
      <c r="N400" s="488"/>
      <c r="O400" s="488"/>
      <c r="P400" s="488"/>
      <c r="Q400" s="488"/>
      <c r="R400" s="488"/>
      <c r="S400" s="488"/>
      <c r="T400" s="488"/>
      <c r="U400" s="488"/>
      <c r="V400" s="488"/>
      <c r="W400" s="488"/>
      <c r="X400" s="488"/>
      <c r="Y400" s="488"/>
      <c r="Z400" s="488"/>
      <c r="AA400" s="488"/>
      <c r="AB400" s="488"/>
      <c r="AC400" s="488"/>
      <c r="AD400" s="488"/>
      <c r="AE400" s="488"/>
      <c r="AF400" s="488"/>
      <c r="AG400" s="488"/>
      <c r="AH400" s="488"/>
      <c r="AI400" s="488"/>
      <c r="AJ400" s="488"/>
      <c r="AK400" s="488"/>
      <c r="AL400" s="488"/>
      <c r="AM400" s="488"/>
      <c r="AN400" s="488"/>
      <c r="AO400" s="488"/>
      <c r="AP400" s="488"/>
      <c r="AQ400" s="488"/>
      <c r="AR400" s="488"/>
      <c r="AS400" s="488"/>
      <c r="AT400" s="488"/>
      <c r="AU400" s="488"/>
      <c r="AV400" s="488"/>
      <c r="AW400" s="488"/>
      <c r="AX400" s="488"/>
      <c r="AY400" s="488"/>
      <c r="AZ400" s="488"/>
      <c r="BA400" s="488"/>
      <c r="BB400" s="488"/>
      <c r="BC400" s="488"/>
      <c r="BD400" s="488"/>
    </row>
    <row r="401" spans="3:56">
      <c r="C401" s="488"/>
      <c r="D401" s="488"/>
      <c r="E401" s="488"/>
      <c r="F401" s="488"/>
      <c r="G401" s="488"/>
      <c r="H401" s="488"/>
      <c r="I401" s="488"/>
      <c r="J401" s="488"/>
      <c r="K401" s="488"/>
      <c r="L401" s="488"/>
      <c r="M401" s="488"/>
      <c r="N401" s="488"/>
      <c r="O401" s="488"/>
      <c r="P401" s="488"/>
      <c r="Q401" s="488"/>
      <c r="R401" s="488"/>
      <c r="S401" s="488"/>
      <c r="T401" s="488"/>
      <c r="U401" s="488"/>
      <c r="V401" s="488"/>
      <c r="W401" s="488"/>
      <c r="X401" s="488"/>
      <c r="Y401" s="488"/>
      <c r="Z401" s="488"/>
      <c r="AA401" s="488"/>
      <c r="AB401" s="488"/>
      <c r="AC401" s="488"/>
      <c r="AD401" s="488"/>
      <c r="AE401" s="488"/>
      <c r="AF401" s="488"/>
      <c r="AG401" s="488"/>
      <c r="AH401" s="488"/>
      <c r="AI401" s="488"/>
      <c r="AJ401" s="488"/>
      <c r="AK401" s="488"/>
      <c r="AL401" s="488"/>
      <c r="AM401" s="488"/>
      <c r="AN401" s="488"/>
      <c r="AO401" s="488"/>
      <c r="AP401" s="488"/>
      <c r="AQ401" s="488"/>
      <c r="AR401" s="488"/>
      <c r="AS401" s="488"/>
      <c r="AT401" s="488"/>
      <c r="AU401" s="488"/>
      <c r="AV401" s="488"/>
      <c r="AW401" s="488"/>
      <c r="AX401" s="488"/>
      <c r="AY401" s="488"/>
      <c r="AZ401" s="488"/>
      <c r="BA401" s="488"/>
      <c r="BB401" s="488"/>
      <c r="BC401" s="488"/>
      <c r="BD401" s="488"/>
    </row>
    <row r="402" spans="3:56">
      <c r="C402" s="488"/>
      <c r="D402" s="488"/>
      <c r="E402" s="488"/>
      <c r="F402" s="488"/>
      <c r="G402" s="488"/>
      <c r="H402" s="488"/>
      <c r="I402" s="488"/>
      <c r="J402" s="488"/>
      <c r="K402" s="488"/>
      <c r="L402" s="488"/>
      <c r="M402" s="488"/>
      <c r="N402" s="488"/>
      <c r="O402" s="488"/>
      <c r="P402" s="488"/>
      <c r="Q402" s="488"/>
      <c r="R402" s="488"/>
      <c r="S402" s="488"/>
      <c r="T402" s="488"/>
      <c r="U402" s="488"/>
      <c r="V402" s="488"/>
      <c r="W402" s="488"/>
      <c r="X402" s="488"/>
      <c r="Y402" s="488"/>
      <c r="Z402" s="488"/>
      <c r="AA402" s="488"/>
      <c r="AB402" s="488"/>
      <c r="AC402" s="488"/>
      <c r="AD402" s="488"/>
      <c r="AE402" s="488"/>
      <c r="AF402" s="488"/>
      <c r="AG402" s="488"/>
      <c r="AH402" s="488"/>
      <c r="AI402" s="488"/>
      <c r="AJ402" s="488"/>
      <c r="AK402" s="488"/>
      <c r="AL402" s="488"/>
      <c r="AM402" s="488"/>
      <c r="AN402" s="488"/>
      <c r="AO402" s="488"/>
      <c r="AP402" s="488"/>
      <c r="AQ402" s="488"/>
      <c r="AR402" s="488"/>
      <c r="AS402" s="488"/>
      <c r="AT402" s="488"/>
      <c r="AU402" s="488"/>
      <c r="AV402" s="488"/>
      <c r="AW402" s="488"/>
      <c r="AX402" s="488"/>
      <c r="AY402" s="488"/>
      <c r="AZ402" s="488"/>
      <c r="BA402" s="488"/>
      <c r="BB402" s="488"/>
      <c r="BC402" s="488"/>
      <c r="BD402" s="488"/>
    </row>
    <row r="403" spans="3:56">
      <c r="C403" s="488"/>
      <c r="D403" s="488"/>
      <c r="E403" s="488"/>
      <c r="F403" s="488"/>
      <c r="G403" s="488"/>
      <c r="H403" s="488"/>
      <c r="I403" s="488"/>
      <c r="J403" s="488"/>
      <c r="K403" s="488"/>
      <c r="L403" s="488"/>
      <c r="M403" s="488"/>
      <c r="N403" s="488"/>
      <c r="O403" s="488"/>
      <c r="P403" s="488"/>
      <c r="Q403" s="488"/>
      <c r="R403" s="488"/>
      <c r="S403" s="488"/>
      <c r="T403" s="488"/>
      <c r="U403" s="488"/>
      <c r="V403" s="488"/>
      <c r="W403" s="488"/>
      <c r="X403" s="488"/>
      <c r="Y403" s="488"/>
      <c r="Z403" s="488"/>
      <c r="AA403" s="488"/>
      <c r="AB403" s="488"/>
      <c r="AC403" s="488"/>
      <c r="AD403" s="488"/>
      <c r="AE403" s="488"/>
      <c r="AF403" s="488"/>
      <c r="AG403" s="488"/>
      <c r="AH403" s="488"/>
      <c r="AI403" s="488"/>
      <c r="AJ403" s="488"/>
      <c r="AK403" s="488"/>
      <c r="AL403" s="488"/>
      <c r="AM403" s="488"/>
      <c r="AN403" s="488"/>
      <c r="AO403" s="488"/>
      <c r="AP403" s="488"/>
      <c r="AQ403" s="488"/>
      <c r="AR403" s="488"/>
      <c r="AS403" s="488"/>
      <c r="AT403" s="488"/>
      <c r="AU403" s="488"/>
      <c r="AV403" s="488"/>
      <c r="AW403" s="488"/>
      <c r="AX403" s="488"/>
      <c r="AY403" s="488"/>
      <c r="AZ403" s="488"/>
      <c r="BA403" s="488"/>
      <c r="BB403" s="488"/>
      <c r="BC403" s="488"/>
      <c r="BD403" s="488"/>
    </row>
    <row r="404" spans="3:56">
      <c r="C404" s="488"/>
      <c r="D404" s="488"/>
      <c r="E404" s="488"/>
      <c r="F404" s="488"/>
      <c r="G404" s="488"/>
      <c r="H404" s="488"/>
      <c r="I404" s="488"/>
      <c r="J404" s="488"/>
      <c r="K404" s="488"/>
      <c r="L404" s="488"/>
      <c r="M404" s="488"/>
      <c r="N404" s="488"/>
      <c r="O404" s="488"/>
      <c r="P404" s="488"/>
      <c r="Q404" s="488"/>
      <c r="R404" s="488"/>
      <c r="S404" s="488"/>
      <c r="T404" s="488"/>
      <c r="U404" s="488"/>
      <c r="V404" s="488"/>
      <c r="W404" s="488"/>
      <c r="X404" s="488"/>
      <c r="Y404" s="488"/>
      <c r="Z404" s="488"/>
      <c r="AA404" s="488"/>
      <c r="AB404" s="488"/>
      <c r="AC404" s="488"/>
      <c r="AD404" s="488"/>
      <c r="AE404" s="488"/>
      <c r="AF404" s="488"/>
      <c r="AG404" s="488"/>
      <c r="AH404" s="488"/>
      <c r="AI404" s="488"/>
      <c r="AJ404" s="488"/>
      <c r="AK404" s="488"/>
      <c r="AL404" s="488"/>
      <c r="AM404" s="488"/>
      <c r="AN404" s="488"/>
      <c r="AO404" s="488"/>
      <c r="AP404" s="488"/>
      <c r="AQ404" s="488"/>
      <c r="AR404" s="488"/>
      <c r="AS404" s="488"/>
      <c r="AT404" s="488"/>
      <c r="AU404" s="488"/>
      <c r="AV404" s="488"/>
      <c r="AW404" s="488"/>
      <c r="AX404" s="488"/>
      <c r="AY404" s="488"/>
      <c r="AZ404" s="488"/>
      <c r="BA404" s="488"/>
      <c r="BB404" s="488"/>
      <c r="BC404" s="488"/>
      <c r="BD404" s="488"/>
    </row>
    <row r="405" spans="3:56">
      <c r="C405" s="488"/>
      <c r="D405" s="488"/>
      <c r="E405" s="488"/>
      <c r="F405" s="488"/>
      <c r="G405" s="488"/>
      <c r="H405" s="488"/>
      <c r="I405" s="488"/>
      <c r="J405" s="488"/>
      <c r="K405" s="488"/>
      <c r="L405" s="488"/>
      <c r="M405" s="488"/>
      <c r="N405" s="488"/>
      <c r="O405" s="488"/>
      <c r="P405" s="488"/>
      <c r="Q405" s="488"/>
      <c r="R405" s="488"/>
      <c r="S405" s="488"/>
      <c r="T405" s="488"/>
      <c r="U405" s="488"/>
      <c r="V405" s="488"/>
      <c r="W405" s="488"/>
      <c r="X405" s="488"/>
      <c r="Y405" s="488"/>
      <c r="Z405" s="488"/>
      <c r="AA405" s="488"/>
      <c r="AB405" s="488"/>
      <c r="AC405" s="488"/>
      <c r="AD405" s="488"/>
      <c r="AE405" s="488"/>
      <c r="AF405" s="488"/>
      <c r="AG405" s="488"/>
      <c r="AH405" s="488"/>
      <c r="AI405" s="488"/>
      <c r="AJ405" s="488"/>
      <c r="AK405" s="488"/>
      <c r="AL405" s="488"/>
      <c r="AM405" s="488"/>
      <c r="AN405" s="488"/>
      <c r="AO405" s="488"/>
      <c r="AP405" s="488"/>
      <c r="AQ405" s="488"/>
      <c r="AR405" s="488"/>
      <c r="AS405" s="488"/>
      <c r="AT405" s="488"/>
      <c r="AU405" s="488"/>
      <c r="AV405" s="488"/>
      <c r="AW405" s="488"/>
      <c r="AX405" s="488"/>
      <c r="AY405" s="488"/>
      <c r="AZ405" s="488"/>
      <c r="BA405" s="488"/>
      <c r="BB405" s="488"/>
      <c r="BC405" s="488"/>
      <c r="BD405" s="488"/>
    </row>
    <row r="406" spans="3:56">
      <c r="C406" s="488"/>
      <c r="D406" s="488"/>
      <c r="E406" s="488"/>
      <c r="F406" s="488"/>
      <c r="G406" s="488"/>
      <c r="H406" s="488"/>
      <c r="I406" s="488"/>
      <c r="J406" s="488"/>
      <c r="K406" s="488"/>
      <c r="L406" s="488"/>
      <c r="M406" s="488"/>
      <c r="N406" s="488"/>
      <c r="O406" s="488"/>
      <c r="P406" s="488"/>
      <c r="Q406" s="488"/>
      <c r="R406" s="488"/>
      <c r="S406" s="488"/>
      <c r="T406" s="488"/>
      <c r="U406" s="488"/>
      <c r="V406" s="488"/>
      <c r="W406" s="488"/>
      <c r="X406" s="488"/>
      <c r="Y406" s="488"/>
      <c r="Z406" s="488"/>
      <c r="AA406" s="488"/>
      <c r="AB406" s="488"/>
      <c r="AC406" s="488"/>
      <c r="AD406" s="488"/>
      <c r="AE406" s="488"/>
      <c r="AF406" s="488"/>
      <c r="AG406" s="488"/>
      <c r="AH406" s="488"/>
      <c r="AI406" s="488"/>
      <c r="AJ406" s="488"/>
      <c r="AK406" s="488"/>
      <c r="AL406" s="488"/>
      <c r="AM406" s="488"/>
      <c r="AN406" s="488"/>
      <c r="AO406" s="488"/>
      <c r="AP406" s="488"/>
      <c r="AQ406" s="488"/>
      <c r="AR406" s="488"/>
      <c r="AS406" s="488"/>
      <c r="AT406" s="488"/>
      <c r="AU406" s="488"/>
      <c r="AV406" s="488"/>
      <c r="AW406" s="488"/>
      <c r="AX406" s="488"/>
      <c r="AY406" s="488"/>
      <c r="AZ406" s="488"/>
      <c r="BA406" s="488"/>
      <c r="BB406" s="488"/>
      <c r="BC406" s="488"/>
      <c r="BD406" s="488"/>
    </row>
    <row r="407" spans="3:56">
      <c r="C407" s="488"/>
      <c r="D407" s="488"/>
      <c r="E407" s="488"/>
      <c r="F407" s="488"/>
      <c r="G407" s="488"/>
      <c r="H407" s="488"/>
      <c r="I407" s="488"/>
      <c r="J407" s="488"/>
      <c r="K407" s="488"/>
      <c r="L407" s="488"/>
      <c r="M407" s="488"/>
      <c r="N407" s="488"/>
      <c r="O407" s="488"/>
      <c r="P407" s="488"/>
      <c r="Q407" s="488"/>
      <c r="R407" s="488"/>
      <c r="S407" s="488"/>
      <c r="T407" s="488"/>
      <c r="U407" s="488"/>
      <c r="V407" s="488"/>
      <c r="W407" s="488"/>
      <c r="X407" s="488"/>
      <c r="Y407" s="488"/>
      <c r="Z407" s="488"/>
      <c r="AA407" s="488"/>
      <c r="AB407" s="488"/>
      <c r="AC407" s="488"/>
      <c r="AD407" s="488"/>
      <c r="AE407" s="488"/>
      <c r="AF407" s="488"/>
      <c r="AG407" s="488"/>
      <c r="AH407" s="488"/>
      <c r="AI407" s="488"/>
      <c r="AJ407" s="488"/>
      <c r="AK407" s="488"/>
      <c r="AL407" s="488"/>
      <c r="AM407" s="488"/>
      <c r="AN407" s="488"/>
      <c r="AO407" s="488"/>
      <c r="AP407" s="488"/>
      <c r="AQ407" s="488"/>
      <c r="AR407" s="488"/>
      <c r="AS407" s="488"/>
      <c r="AT407" s="488"/>
      <c r="AU407" s="488"/>
      <c r="AV407" s="488"/>
      <c r="AW407" s="488"/>
      <c r="AX407" s="488"/>
      <c r="AY407" s="488"/>
      <c r="AZ407" s="488"/>
      <c r="BA407" s="488"/>
      <c r="BB407" s="488"/>
      <c r="BC407" s="488"/>
      <c r="BD407" s="488"/>
    </row>
    <row r="408" spans="3:56">
      <c r="C408" s="488"/>
      <c r="D408" s="488"/>
      <c r="E408" s="488"/>
      <c r="F408" s="488"/>
      <c r="G408" s="488"/>
      <c r="H408" s="488"/>
      <c r="I408" s="488"/>
      <c r="J408" s="488"/>
      <c r="K408" s="488"/>
      <c r="L408" s="488"/>
      <c r="M408" s="488"/>
      <c r="N408" s="488"/>
      <c r="O408" s="488"/>
      <c r="P408" s="488"/>
      <c r="Q408" s="488"/>
      <c r="R408" s="488"/>
      <c r="S408" s="488"/>
      <c r="T408" s="488"/>
      <c r="U408" s="488"/>
      <c r="V408" s="488"/>
      <c r="W408" s="488"/>
      <c r="X408" s="488"/>
      <c r="Y408" s="488"/>
      <c r="Z408" s="488"/>
      <c r="AA408" s="488"/>
      <c r="AB408" s="488"/>
      <c r="AC408" s="488"/>
      <c r="AD408" s="488"/>
      <c r="AE408" s="488"/>
      <c r="AF408" s="488"/>
      <c r="AG408" s="488"/>
      <c r="AH408" s="488"/>
      <c r="AI408" s="488"/>
      <c r="AJ408" s="488"/>
      <c r="AK408" s="488"/>
      <c r="AL408" s="488"/>
      <c r="AM408" s="488"/>
      <c r="AN408" s="488"/>
      <c r="AO408" s="488"/>
      <c r="AP408" s="488"/>
      <c r="AQ408" s="488"/>
      <c r="AR408" s="488"/>
      <c r="AS408" s="488"/>
      <c r="AT408" s="488"/>
      <c r="AU408" s="488"/>
      <c r="AV408" s="488"/>
      <c r="AW408" s="488"/>
      <c r="AX408" s="488"/>
      <c r="AY408" s="488"/>
      <c r="AZ408" s="488"/>
      <c r="BA408" s="488"/>
      <c r="BB408" s="488"/>
      <c r="BC408" s="488"/>
      <c r="BD408" s="488"/>
    </row>
    <row r="409" spans="3:56">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row>
    <row r="410" spans="3:56">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row>
    <row r="411" spans="3:56">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row>
    <row r="412" spans="3:56">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row>
    <row r="413" spans="3:56">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row>
    <row r="414" spans="3:56">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row>
    <row r="415" spans="3:56">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row>
    <row r="416" spans="3:56">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row>
    <row r="417" spans="3:56">
      <c r="C417" s="488"/>
      <c r="D417" s="488"/>
      <c r="E417" s="488"/>
      <c r="F417" s="488"/>
      <c r="G417" s="488"/>
      <c r="H417" s="488"/>
      <c r="I417" s="488"/>
      <c r="J417" s="488"/>
      <c r="K417" s="488"/>
      <c r="L417" s="488"/>
      <c r="M417" s="488"/>
      <c r="N417" s="488"/>
      <c r="O417" s="488"/>
      <c r="P417" s="488"/>
      <c r="Q417" s="488"/>
      <c r="R417" s="488"/>
      <c r="S417" s="488"/>
      <c r="T417" s="488"/>
      <c r="U417" s="488"/>
      <c r="V417" s="488"/>
      <c r="W417" s="488"/>
      <c r="X417" s="488"/>
      <c r="Y417" s="488"/>
      <c r="Z417" s="488"/>
      <c r="AA417" s="488"/>
      <c r="AB417" s="488"/>
      <c r="AC417" s="488"/>
      <c r="AD417" s="488"/>
      <c r="AE417" s="488"/>
      <c r="AF417" s="488"/>
      <c r="AG417" s="488"/>
      <c r="AH417" s="488"/>
      <c r="AI417" s="488"/>
      <c r="AJ417" s="488"/>
      <c r="AK417" s="488"/>
      <c r="AL417" s="488"/>
      <c r="AM417" s="488"/>
      <c r="AN417" s="488"/>
      <c r="AO417" s="488"/>
      <c r="AP417" s="488"/>
      <c r="AQ417" s="488"/>
      <c r="AR417" s="488"/>
      <c r="AS417" s="488"/>
      <c r="AT417" s="488"/>
      <c r="AU417" s="488"/>
      <c r="AV417" s="488"/>
      <c r="AW417" s="488"/>
      <c r="AX417" s="488"/>
      <c r="AY417" s="488"/>
      <c r="AZ417" s="488"/>
      <c r="BA417" s="488"/>
      <c r="BB417" s="488"/>
      <c r="BC417" s="488"/>
      <c r="BD417" s="488"/>
    </row>
    <row r="418" spans="3:56">
      <c r="C418" s="488"/>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8"/>
      <c r="AA418" s="488"/>
      <c r="AB418" s="488"/>
      <c r="AC418" s="488"/>
      <c r="AD418" s="488"/>
      <c r="AE418" s="488"/>
      <c r="AF418" s="488"/>
      <c r="AG418" s="488"/>
      <c r="AH418" s="488"/>
      <c r="AI418" s="488"/>
      <c r="AJ418" s="488"/>
      <c r="AK418" s="488"/>
      <c r="AL418" s="488"/>
      <c r="AM418" s="488"/>
      <c r="AN418" s="488"/>
      <c r="AO418" s="488"/>
      <c r="AP418" s="488"/>
      <c r="AQ418" s="488"/>
      <c r="AR418" s="488"/>
      <c r="AS418" s="488"/>
      <c r="AT418" s="488"/>
      <c r="AU418" s="488"/>
      <c r="AV418" s="488"/>
      <c r="AW418" s="488"/>
      <c r="AX418" s="488"/>
      <c r="AY418" s="488"/>
      <c r="AZ418" s="488"/>
      <c r="BA418" s="488"/>
      <c r="BB418" s="488"/>
      <c r="BC418" s="488"/>
      <c r="BD418" s="488"/>
    </row>
    <row r="419" spans="3:56">
      <c r="C419" s="488"/>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8"/>
      <c r="AA419" s="488"/>
      <c r="AB419" s="488"/>
      <c r="AC419" s="488"/>
      <c r="AD419" s="488"/>
      <c r="AE419" s="488"/>
      <c r="AF419" s="488"/>
      <c r="AG419" s="488"/>
      <c r="AH419" s="488"/>
      <c r="AI419" s="488"/>
      <c r="AJ419" s="488"/>
      <c r="AK419" s="488"/>
      <c r="AL419" s="488"/>
      <c r="AM419" s="488"/>
      <c r="AN419" s="488"/>
      <c r="AO419" s="488"/>
      <c r="AP419" s="488"/>
      <c r="AQ419" s="488"/>
      <c r="AR419" s="488"/>
      <c r="AS419" s="488"/>
      <c r="AT419" s="488"/>
      <c r="AU419" s="488"/>
      <c r="AV419" s="488"/>
      <c r="AW419" s="488"/>
      <c r="AX419" s="488"/>
      <c r="AY419" s="488"/>
      <c r="AZ419" s="488"/>
      <c r="BA419" s="488"/>
      <c r="BB419" s="488"/>
      <c r="BC419" s="488"/>
      <c r="BD419" s="488"/>
    </row>
    <row r="420" spans="3:56">
      <c r="C420" s="488"/>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8"/>
      <c r="AB420" s="488"/>
      <c r="AC420" s="488"/>
      <c r="AD420" s="488"/>
      <c r="AE420" s="488"/>
      <c r="AF420" s="488"/>
      <c r="AG420" s="488"/>
      <c r="AH420" s="488"/>
      <c r="AI420" s="488"/>
      <c r="AJ420" s="488"/>
      <c r="AK420" s="488"/>
      <c r="AL420" s="488"/>
      <c r="AM420" s="488"/>
      <c r="AN420" s="488"/>
      <c r="AO420" s="488"/>
      <c r="AP420" s="488"/>
      <c r="AQ420" s="488"/>
      <c r="AR420" s="488"/>
      <c r="AS420" s="488"/>
      <c r="AT420" s="488"/>
      <c r="AU420" s="488"/>
      <c r="AV420" s="488"/>
      <c r="AW420" s="488"/>
      <c r="AX420" s="488"/>
      <c r="AY420" s="488"/>
      <c r="AZ420" s="488"/>
      <c r="BA420" s="488"/>
      <c r="BB420" s="488"/>
      <c r="BC420" s="488"/>
      <c r="BD420" s="488"/>
    </row>
    <row r="421" spans="3:56">
      <c r="C421" s="488"/>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8"/>
      <c r="AB421" s="488"/>
      <c r="AC421" s="488"/>
      <c r="AD421" s="488"/>
      <c r="AE421" s="488"/>
      <c r="AF421" s="488"/>
      <c r="AG421" s="488"/>
      <c r="AH421" s="488"/>
      <c r="AI421" s="488"/>
      <c r="AJ421" s="488"/>
      <c r="AK421" s="488"/>
      <c r="AL421" s="488"/>
      <c r="AM421" s="488"/>
      <c r="AN421" s="488"/>
      <c r="AO421" s="488"/>
      <c r="AP421" s="488"/>
      <c r="AQ421" s="488"/>
      <c r="AR421" s="488"/>
      <c r="AS421" s="488"/>
      <c r="AT421" s="488"/>
      <c r="AU421" s="488"/>
      <c r="AV421" s="488"/>
      <c r="AW421" s="488"/>
      <c r="AX421" s="488"/>
      <c r="AY421" s="488"/>
      <c r="AZ421" s="488"/>
      <c r="BA421" s="488"/>
      <c r="BB421" s="488"/>
      <c r="BC421" s="488"/>
      <c r="BD421" s="488"/>
    </row>
    <row r="422" spans="3:56">
      <c r="C422" s="488"/>
      <c r="D422" s="488"/>
      <c r="E422" s="488"/>
      <c r="F422" s="488"/>
      <c r="G422" s="488"/>
      <c r="H422" s="488"/>
      <c r="I422" s="488"/>
      <c r="J422" s="488"/>
      <c r="K422" s="488"/>
      <c r="L422" s="488"/>
      <c r="M422" s="488"/>
      <c r="N422" s="488"/>
      <c r="O422" s="488"/>
      <c r="P422" s="488"/>
      <c r="Q422" s="488"/>
      <c r="R422" s="488"/>
      <c r="S422" s="488"/>
      <c r="T422" s="488"/>
      <c r="U422" s="488"/>
      <c r="V422" s="488"/>
      <c r="W422" s="488"/>
      <c r="X422" s="488"/>
      <c r="Y422" s="488"/>
      <c r="Z422" s="488"/>
      <c r="AA422" s="488"/>
      <c r="AB422" s="488"/>
      <c r="AC422" s="488"/>
      <c r="AD422" s="488"/>
      <c r="AE422" s="488"/>
      <c r="AF422" s="488"/>
      <c r="AG422" s="488"/>
      <c r="AH422" s="488"/>
      <c r="AI422" s="488"/>
      <c r="AJ422" s="488"/>
      <c r="AK422" s="488"/>
      <c r="AL422" s="488"/>
      <c r="AM422" s="488"/>
      <c r="AN422" s="488"/>
      <c r="AO422" s="488"/>
      <c r="AP422" s="488"/>
      <c r="AQ422" s="488"/>
      <c r="AR422" s="488"/>
      <c r="AS422" s="488"/>
      <c r="AT422" s="488"/>
      <c r="AU422" s="488"/>
      <c r="AV422" s="488"/>
      <c r="AW422" s="488"/>
      <c r="AX422" s="488"/>
      <c r="AY422" s="488"/>
      <c r="AZ422" s="488"/>
      <c r="BA422" s="488"/>
      <c r="BB422" s="488"/>
      <c r="BC422" s="488"/>
      <c r="BD422" s="488"/>
    </row>
    <row r="423" spans="3:56">
      <c r="C423" s="488"/>
      <c r="D423" s="488"/>
      <c r="E423" s="488"/>
      <c r="F423" s="488"/>
      <c r="G423" s="488"/>
      <c r="H423" s="488"/>
      <c r="I423" s="488"/>
      <c r="J423" s="488"/>
      <c r="K423" s="488"/>
      <c r="L423" s="488"/>
      <c r="M423" s="488"/>
      <c r="N423" s="488"/>
      <c r="O423" s="488"/>
      <c r="P423" s="488"/>
      <c r="Q423" s="488"/>
      <c r="R423" s="488"/>
      <c r="S423" s="488"/>
      <c r="T423" s="488"/>
      <c r="U423" s="488"/>
      <c r="V423" s="488"/>
      <c r="W423" s="488"/>
      <c r="X423" s="488"/>
      <c r="Y423" s="488"/>
      <c r="Z423" s="488"/>
      <c r="AA423" s="488"/>
      <c r="AB423" s="488"/>
      <c r="AC423" s="488"/>
      <c r="AD423" s="488"/>
      <c r="AE423" s="488"/>
      <c r="AF423" s="488"/>
      <c r="AG423" s="488"/>
      <c r="AH423" s="488"/>
      <c r="AI423" s="488"/>
      <c r="AJ423" s="488"/>
      <c r="AK423" s="488"/>
      <c r="AL423" s="488"/>
      <c r="AM423" s="488"/>
      <c r="AN423" s="488"/>
      <c r="AO423" s="488"/>
      <c r="AP423" s="488"/>
      <c r="AQ423" s="488"/>
      <c r="AR423" s="488"/>
      <c r="AS423" s="488"/>
      <c r="AT423" s="488"/>
      <c r="AU423" s="488"/>
      <c r="AV423" s="488"/>
      <c r="AW423" s="488"/>
      <c r="AX423" s="488"/>
      <c r="AY423" s="488"/>
      <c r="AZ423" s="488"/>
      <c r="BA423" s="488"/>
      <c r="BB423" s="488"/>
      <c r="BC423" s="488"/>
      <c r="BD423" s="488"/>
    </row>
    <row r="424" spans="3:56">
      <c r="C424" s="488"/>
      <c r="D424" s="488"/>
      <c r="E424" s="488"/>
      <c r="F424" s="488"/>
      <c r="G424" s="488"/>
      <c r="H424" s="488"/>
      <c r="I424" s="488"/>
      <c r="J424" s="488"/>
      <c r="K424" s="488"/>
      <c r="L424" s="488"/>
      <c r="M424" s="488"/>
      <c r="N424" s="488"/>
      <c r="O424" s="488"/>
      <c r="P424" s="488"/>
      <c r="Q424" s="488"/>
      <c r="R424" s="488"/>
      <c r="S424" s="488"/>
      <c r="T424" s="488"/>
      <c r="U424" s="488"/>
      <c r="V424" s="488"/>
      <c r="W424" s="488"/>
      <c r="X424" s="488"/>
      <c r="Y424" s="488"/>
      <c r="Z424" s="488"/>
      <c r="AA424" s="488"/>
      <c r="AB424" s="488"/>
      <c r="AC424" s="488"/>
      <c r="AD424" s="488"/>
      <c r="AE424" s="488"/>
      <c r="AF424" s="488"/>
      <c r="AG424" s="488"/>
      <c r="AH424" s="488"/>
      <c r="AI424" s="488"/>
      <c r="AJ424" s="488"/>
      <c r="AK424" s="488"/>
      <c r="AL424" s="488"/>
      <c r="AM424" s="488"/>
      <c r="AN424" s="488"/>
      <c r="AO424" s="488"/>
      <c r="AP424" s="488"/>
      <c r="AQ424" s="488"/>
      <c r="AR424" s="488"/>
      <c r="AS424" s="488"/>
      <c r="AT424" s="488"/>
      <c r="AU424" s="488"/>
      <c r="AV424" s="488"/>
      <c r="AW424" s="488"/>
      <c r="AX424" s="488"/>
      <c r="AY424" s="488"/>
      <c r="AZ424" s="488"/>
      <c r="BA424" s="488"/>
      <c r="BB424" s="488"/>
      <c r="BC424" s="488"/>
      <c r="BD424" s="488"/>
    </row>
    <row r="425" spans="3:56">
      <c r="C425" s="488"/>
      <c r="D425" s="488"/>
      <c r="E425" s="488"/>
      <c r="F425" s="488"/>
      <c r="G425" s="488"/>
      <c r="H425" s="488"/>
      <c r="I425" s="488"/>
      <c r="J425" s="488"/>
      <c r="K425" s="488"/>
      <c r="L425" s="488"/>
      <c r="M425" s="488"/>
      <c r="N425" s="488"/>
      <c r="O425" s="488"/>
      <c r="P425" s="488"/>
      <c r="Q425" s="488"/>
      <c r="R425" s="488"/>
      <c r="S425" s="488"/>
      <c r="T425" s="488"/>
      <c r="U425" s="488"/>
      <c r="V425" s="488"/>
      <c r="W425" s="488"/>
      <c r="X425" s="488"/>
      <c r="Y425" s="488"/>
      <c r="Z425" s="488"/>
      <c r="AA425" s="488"/>
      <c r="AB425" s="488"/>
      <c r="AC425" s="488"/>
      <c r="AD425" s="488"/>
      <c r="AE425" s="488"/>
      <c r="AF425" s="488"/>
      <c r="AG425" s="488"/>
      <c r="AH425" s="488"/>
      <c r="AI425" s="488"/>
      <c r="AJ425" s="488"/>
      <c r="AK425" s="488"/>
      <c r="AL425" s="488"/>
      <c r="AM425" s="488"/>
      <c r="AN425" s="488"/>
      <c r="AO425" s="488"/>
      <c r="AP425" s="488"/>
      <c r="AQ425" s="488"/>
      <c r="AR425" s="488"/>
      <c r="AS425" s="488"/>
      <c r="AT425" s="488"/>
      <c r="AU425" s="488"/>
      <c r="AV425" s="488"/>
      <c r="AW425" s="488"/>
      <c r="AX425" s="488"/>
      <c r="AY425" s="488"/>
      <c r="AZ425" s="488"/>
      <c r="BA425" s="488"/>
      <c r="BB425" s="488"/>
      <c r="BC425" s="488"/>
      <c r="BD425" s="488"/>
    </row>
    <row r="426" spans="3:56">
      <c r="C426" s="488"/>
      <c r="D426" s="488"/>
      <c r="E426" s="488"/>
      <c r="F426" s="488"/>
      <c r="G426" s="488"/>
      <c r="H426" s="488"/>
      <c r="I426" s="488"/>
      <c r="J426" s="488"/>
      <c r="K426" s="488"/>
      <c r="L426" s="488"/>
      <c r="M426" s="488"/>
      <c r="N426" s="488"/>
      <c r="O426" s="488"/>
      <c r="P426" s="488"/>
      <c r="Q426" s="488"/>
      <c r="R426" s="488"/>
      <c r="S426" s="488"/>
      <c r="T426" s="488"/>
      <c r="U426" s="488"/>
      <c r="V426" s="488"/>
      <c r="W426" s="488"/>
      <c r="X426" s="488"/>
      <c r="Y426" s="488"/>
      <c r="Z426" s="488"/>
      <c r="AA426" s="488"/>
      <c r="AB426" s="488"/>
      <c r="AC426" s="488"/>
      <c r="AD426" s="488"/>
      <c r="AE426" s="488"/>
      <c r="AF426" s="488"/>
      <c r="AG426" s="488"/>
      <c r="AH426" s="488"/>
      <c r="AI426" s="488"/>
      <c r="AJ426" s="488"/>
      <c r="AK426" s="488"/>
      <c r="AL426" s="488"/>
      <c r="AM426" s="488"/>
      <c r="AN426" s="488"/>
      <c r="AO426" s="488"/>
      <c r="AP426" s="488"/>
      <c r="AQ426" s="488"/>
      <c r="AR426" s="488"/>
      <c r="AS426" s="488"/>
      <c r="AT426" s="488"/>
      <c r="AU426" s="488"/>
      <c r="AV426" s="488"/>
      <c r="AW426" s="488"/>
      <c r="AX426" s="488"/>
      <c r="AY426" s="488"/>
      <c r="AZ426" s="488"/>
      <c r="BA426" s="488"/>
      <c r="BB426" s="488"/>
      <c r="BC426" s="488"/>
      <c r="BD426" s="488"/>
    </row>
    <row r="427" spans="3:56">
      <c r="C427" s="488"/>
      <c r="D427" s="488"/>
      <c r="E427" s="488"/>
      <c r="F427" s="488"/>
      <c r="G427" s="488"/>
      <c r="H427" s="488"/>
      <c r="I427" s="488"/>
      <c r="J427" s="488"/>
      <c r="K427" s="488"/>
      <c r="L427" s="488"/>
      <c r="M427" s="488"/>
      <c r="N427" s="488"/>
      <c r="O427" s="488"/>
      <c r="P427" s="488"/>
      <c r="Q427" s="488"/>
      <c r="R427" s="488"/>
      <c r="S427" s="488"/>
      <c r="T427" s="488"/>
      <c r="U427" s="488"/>
      <c r="V427" s="488"/>
      <c r="W427" s="488"/>
      <c r="X427" s="488"/>
      <c r="Y427" s="488"/>
      <c r="Z427" s="488"/>
      <c r="AA427" s="488"/>
      <c r="AB427" s="488"/>
      <c r="AC427" s="488"/>
      <c r="AD427" s="488"/>
      <c r="AE427" s="488"/>
      <c r="AF427" s="488"/>
      <c r="AG427" s="488"/>
      <c r="AH427" s="488"/>
      <c r="AI427" s="488"/>
      <c r="AJ427" s="488"/>
      <c r="AK427" s="488"/>
      <c r="AL427" s="488"/>
      <c r="AM427" s="488"/>
      <c r="AN427" s="488"/>
      <c r="AO427" s="488"/>
      <c r="AP427" s="488"/>
      <c r="AQ427" s="488"/>
      <c r="AR427" s="488"/>
      <c r="AS427" s="488"/>
      <c r="AT427" s="488"/>
      <c r="AU427" s="488"/>
      <c r="AV427" s="488"/>
      <c r="AW427" s="488"/>
      <c r="AX427" s="488"/>
      <c r="AY427" s="488"/>
      <c r="AZ427" s="488"/>
      <c r="BA427" s="488"/>
      <c r="BB427" s="488"/>
      <c r="BC427" s="488"/>
      <c r="BD427" s="488"/>
    </row>
    <row r="428" spans="3:56">
      <c r="C428" s="488"/>
      <c r="D428" s="488"/>
      <c r="E428" s="488"/>
      <c r="F428" s="488"/>
      <c r="G428" s="488"/>
      <c r="H428" s="488"/>
      <c r="I428" s="488"/>
      <c r="J428" s="488"/>
      <c r="K428" s="488"/>
      <c r="L428" s="488"/>
      <c r="M428" s="488"/>
      <c r="N428" s="488"/>
      <c r="O428" s="488"/>
      <c r="P428" s="488"/>
      <c r="Q428" s="488"/>
      <c r="R428" s="488"/>
      <c r="S428" s="488"/>
      <c r="T428" s="488"/>
      <c r="U428" s="488"/>
      <c r="V428" s="488"/>
      <c r="W428" s="488"/>
      <c r="X428" s="488"/>
      <c r="Y428" s="488"/>
      <c r="Z428" s="488"/>
      <c r="AA428" s="488"/>
      <c r="AB428" s="488"/>
      <c r="AC428" s="488"/>
      <c r="AD428" s="488"/>
      <c r="AE428" s="488"/>
      <c r="AF428" s="488"/>
      <c r="AG428" s="488"/>
      <c r="AH428" s="488"/>
      <c r="AI428" s="488"/>
      <c r="AJ428" s="488"/>
      <c r="AK428" s="488"/>
      <c r="AL428" s="488"/>
      <c r="AM428" s="488"/>
      <c r="AN428" s="488"/>
      <c r="AO428" s="488"/>
      <c r="AP428" s="488"/>
      <c r="AQ428" s="488"/>
      <c r="AR428" s="488"/>
      <c r="AS428" s="488"/>
      <c r="AT428" s="488"/>
      <c r="AU428" s="488"/>
      <c r="AV428" s="488"/>
      <c r="AW428" s="488"/>
      <c r="AX428" s="488"/>
      <c r="AY428" s="488"/>
      <c r="AZ428" s="488"/>
      <c r="BA428" s="488"/>
      <c r="BB428" s="488"/>
      <c r="BC428" s="488"/>
      <c r="BD428" s="488"/>
    </row>
    <row r="429" spans="3:56">
      <c r="C429" s="488"/>
      <c r="D429" s="488"/>
      <c r="E429" s="488"/>
      <c r="F429" s="488"/>
      <c r="G429" s="488"/>
      <c r="H429" s="488"/>
      <c r="I429" s="488"/>
      <c r="J429" s="488"/>
      <c r="K429" s="488"/>
      <c r="L429" s="488"/>
      <c r="M429" s="488"/>
      <c r="N429" s="488"/>
      <c r="O429" s="488"/>
      <c r="P429" s="488"/>
      <c r="Q429" s="488"/>
      <c r="R429" s="488"/>
      <c r="S429" s="488"/>
      <c r="T429" s="488"/>
      <c r="U429" s="488"/>
      <c r="V429" s="488"/>
      <c r="W429" s="488"/>
      <c r="X429" s="488"/>
      <c r="Y429" s="488"/>
      <c r="Z429" s="488"/>
      <c r="AA429" s="488"/>
      <c r="AB429" s="488"/>
      <c r="AC429" s="488"/>
      <c r="AD429" s="488"/>
      <c r="AE429" s="488"/>
      <c r="AF429" s="488"/>
      <c r="AG429" s="488"/>
      <c r="AH429" s="488"/>
      <c r="AI429" s="488"/>
      <c r="AJ429" s="488"/>
      <c r="AK429" s="488"/>
      <c r="AL429" s="488"/>
      <c r="AM429" s="488"/>
      <c r="AN429" s="488"/>
      <c r="AO429" s="488"/>
      <c r="AP429" s="488"/>
      <c r="AQ429" s="488"/>
      <c r="AR429" s="488"/>
      <c r="AS429" s="488"/>
      <c r="AT429" s="488"/>
      <c r="AU429" s="488"/>
      <c r="AV429" s="488"/>
      <c r="AW429" s="488"/>
      <c r="AX429" s="488"/>
      <c r="AY429" s="488"/>
      <c r="AZ429" s="488"/>
      <c r="BA429" s="488"/>
      <c r="BB429" s="488"/>
      <c r="BC429" s="488"/>
      <c r="BD429" s="488"/>
    </row>
    <row r="430" spans="3:56">
      <c r="C430" s="488"/>
      <c r="D430" s="488"/>
      <c r="E430" s="488"/>
      <c r="F430" s="488"/>
      <c r="G430" s="488"/>
      <c r="H430" s="488"/>
      <c r="I430" s="488"/>
      <c r="J430" s="488"/>
      <c r="K430" s="488"/>
      <c r="L430" s="488"/>
      <c r="M430" s="488"/>
      <c r="N430" s="488"/>
      <c r="O430" s="488"/>
      <c r="P430" s="488"/>
      <c r="Q430" s="488"/>
      <c r="R430" s="488"/>
      <c r="S430" s="488"/>
      <c r="T430" s="488"/>
      <c r="U430" s="488"/>
      <c r="V430" s="488"/>
      <c r="W430" s="488"/>
      <c r="X430" s="488"/>
      <c r="Y430" s="488"/>
      <c r="Z430" s="488"/>
      <c r="AA430" s="488"/>
      <c r="AB430" s="488"/>
      <c r="AC430" s="488"/>
      <c r="AD430" s="488"/>
      <c r="AE430" s="488"/>
      <c r="AF430" s="488"/>
      <c r="AG430" s="488"/>
      <c r="AH430" s="488"/>
      <c r="AI430" s="488"/>
      <c r="AJ430" s="488"/>
      <c r="AK430" s="488"/>
      <c r="AL430" s="488"/>
      <c r="AM430" s="488"/>
      <c r="AN430" s="488"/>
      <c r="AO430" s="488"/>
      <c r="AP430" s="488"/>
      <c r="AQ430" s="488"/>
      <c r="AR430" s="488"/>
      <c r="AS430" s="488"/>
      <c r="AT430" s="488"/>
      <c r="AU430" s="488"/>
      <c r="AV430" s="488"/>
      <c r="AW430" s="488"/>
      <c r="AX430" s="488"/>
      <c r="AY430" s="488"/>
      <c r="AZ430" s="488"/>
      <c r="BA430" s="488"/>
      <c r="BB430" s="488"/>
      <c r="BC430" s="488"/>
      <c r="BD430" s="488"/>
    </row>
    <row r="431" spans="3:56">
      <c r="C431" s="488"/>
      <c r="D431" s="488"/>
      <c r="E431" s="488"/>
      <c r="F431" s="488"/>
      <c r="G431" s="488"/>
      <c r="H431" s="488"/>
      <c r="I431" s="488"/>
      <c r="J431" s="488"/>
      <c r="K431" s="488"/>
      <c r="L431" s="488"/>
      <c r="M431" s="488"/>
      <c r="N431" s="488"/>
      <c r="O431" s="488"/>
      <c r="P431" s="488"/>
      <c r="Q431" s="488"/>
      <c r="R431" s="488"/>
      <c r="S431" s="488"/>
      <c r="T431" s="488"/>
      <c r="U431" s="488"/>
      <c r="V431" s="488"/>
      <c r="W431" s="488"/>
      <c r="X431" s="488"/>
      <c r="Y431" s="488"/>
      <c r="Z431" s="488"/>
      <c r="AA431" s="488"/>
      <c r="AB431" s="488"/>
      <c r="AC431" s="488"/>
      <c r="AD431" s="488"/>
      <c r="AE431" s="488"/>
      <c r="AF431" s="488"/>
      <c r="AG431" s="488"/>
      <c r="AH431" s="488"/>
      <c r="AI431" s="488"/>
      <c r="AJ431" s="488"/>
      <c r="AK431" s="488"/>
      <c r="AL431" s="488"/>
      <c r="AM431" s="488"/>
      <c r="AN431" s="488"/>
      <c r="AO431" s="488"/>
      <c r="AP431" s="488"/>
      <c r="AQ431" s="488"/>
      <c r="AR431" s="488"/>
      <c r="AS431" s="488"/>
      <c r="AT431" s="488"/>
      <c r="AU431" s="488"/>
      <c r="AV431" s="488"/>
      <c r="AW431" s="488"/>
      <c r="AX431" s="488"/>
      <c r="AY431" s="488"/>
      <c r="AZ431" s="488"/>
      <c r="BA431" s="488"/>
      <c r="BB431" s="488"/>
      <c r="BC431" s="488"/>
      <c r="BD431" s="488"/>
    </row>
    <row r="432" spans="3:56">
      <c r="C432" s="488"/>
      <c r="D432" s="488"/>
      <c r="E432" s="488"/>
      <c r="F432" s="488"/>
      <c r="G432" s="488"/>
      <c r="H432" s="488"/>
      <c r="I432" s="488"/>
      <c r="J432" s="488"/>
      <c r="K432" s="488"/>
      <c r="L432" s="488"/>
      <c r="M432" s="488"/>
      <c r="N432" s="488"/>
      <c r="O432" s="488"/>
      <c r="P432" s="488"/>
      <c r="Q432" s="488"/>
      <c r="R432" s="488"/>
      <c r="S432" s="488"/>
      <c r="T432" s="488"/>
      <c r="U432" s="488"/>
      <c r="V432" s="488"/>
      <c r="W432" s="488"/>
      <c r="X432" s="488"/>
      <c r="Y432" s="488"/>
      <c r="Z432" s="488"/>
      <c r="AA432" s="488"/>
      <c r="AB432" s="488"/>
      <c r="AC432" s="488"/>
      <c r="AD432" s="488"/>
      <c r="AE432" s="488"/>
      <c r="AF432" s="488"/>
      <c r="AG432" s="488"/>
      <c r="AH432" s="488"/>
      <c r="AI432" s="488"/>
      <c r="AJ432" s="488"/>
      <c r="AK432" s="488"/>
      <c r="AL432" s="488"/>
      <c r="AM432" s="488"/>
      <c r="AN432" s="488"/>
      <c r="AO432" s="488"/>
      <c r="AP432" s="488"/>
      <c r="AQ432" s="488"/>
      <c r="AR432" s="488"/>
      <c r="AS432" s="488"/>
      <c r="AT432" s="488"/>
      <c r="AU432" s="488"/>
      <c r="AV432" s="488"/>
      <c r="AW432" s="488"/>
      <c r="AX432" s="488"/>
      <c r="AY432" s="488"/>
      <c r="AZ432" s="488"/>
      <c r="BA432" s="488"/>
      <c r="BB432" s="488"/>
      <c r="BC432" s="488"/>
      <c r="BD432" s="488"/>
    </row>
    <row r="433" spans="3:56">
      <c r="C433" s="488"/>
      <c r="D433" s="488"/>
      <c r="E433" s="488"/>
      <c r="F433" s="488"/>
      <c r="G433" s="488"/>
      <c r="H433" s="488"/>
      <c r="I433" s="488"/>
      <c r="J433" s="488"/>
      <c r="K433" s="488"/>
      <c r="L433" s="488"/>
      <c r="M433" s="488"/>
      <c r="N433" s="488"/>
      <c r="O433" s="488"/>
      <c r="P433" s="488"/>
      <c r="Q433" s="488"/>
      <c r="R433" s="488"/>
      <c r="S433" s="488"/>
      <c r="T433" s="488"/>
      <c r="U433" s="488"/>
      <c r="V433" s="488"/>
      <c r="W433" s="488"/>
      <c r="X433" s="488"/>
      <c r="Y433" s="488"/>
      <c r="Z433" s="488"/>
      <c r="AA433" s="488"/>
      <c r="AB433" s="488"/>
      <c r="AC433" s="488"/>
      <c r="AD433" s="488"/>
      <c r="AE433" s="488"/>
      <c r="AF433" s="488"/>
      <c r="AG433" s="488"/>
      <c r="AH433" s="488"/>
      <c r="AI433" s="488"/>
      <c r="AJ433" s="488"/>
      <c r="AK433" s="488"/>
      <c r="AL433" s="488"/>
      <c r="AM433" s="488"/>
      <c r="AN433" s="488"/>
      <c r="AO433" s="488"/>
      <c r="AP433" s="488"/>
      <c r="AQ433" s="488"/>
      <c r="AR433" s="488"/>
      <c r="AS433" s="488"/>
      <c r="AT433" s="488"/>
      <c r="AU433" s="488"/>
      <c r="AV433" s="488"/>
      <c r="AW433" s="488"/>
      <c r="AX433" s="488"/>
      <c r="AY433" s="488"/>
      <c r="AZ433" s="488"/>
      <c r="BA433" s="488"/>
      <c r="BB433" s="488"/>
      <c r="BC433" s="488"/>
      <c r="BD433" s="488"/>
    </row>
    <row r="434" spans="3:56">
      <c r="C434" s="488"/>
      <c r="D434" s="488"/>
      <c r="E434" s="488"/>
      <c r="F434" s="488"/>
      <c r="G434" s="488"/>
      <c r="H434" s="488"/>
      <c r="I434" s="488"/>
      <c r="J434" s="488"/>
      <c r="K434" s="488"/>
      <c r="L434" s="488"/>
      <c r="M434" s="488"/>
      <c r="N434" s="488"/>
      <c r="O434" s="488"/>
      <c r="P434" s="488"/>
      <c r="Q434" s="488"/>
      <c r="R434" s="488"/>
      <c r="S434" s="488"/>
      <c r="T434" s="488"/>
      <c r="U434" s="488"/>
      <c r="V434" s="488"/>
      <c r="W434" s="488"/>
      <c r="X434" s="488"/>
      <c r="Y434" s="488"/>
      <c r="Z434" s="488"/>
      <c r="AA434" s="488"/>
      <c r="AB434" s="488"/>
      <c r="AC434" s="488"/>
      <c r="AD434" s="488"/>
      <c r="AE434" s="488"/>
      <c r="AF434" s="488"/>
      <c r="AG434" s="488"/>
      <c r="AH434" s="488"/>
      <c r="AI434" s="488"/>
      <c r="AJ434" s="488"/>
      <c r="AK434" s="488"/>
      <c r="AL434" s="488"/>
      <c r="AM434" s="488"/>
      <c r="AN434" s="488"/>
      <c r="AO434" s="488"/>
      <c r="AP434" s="488"/>
      <c r="AQ434" s="488"/>
      <c r="AR434" s="488"/>
      <c r="AS434" s="488"/>
      <c r="AT434" s="488"/>
      <c r="AU434" s="488"/>
      <c r="AV434" s="488"/>
      <c r="AW434" s="488"/>
      <c r="AX434" s="488"/>
      <c r="AY434" s="488"/>
      <c r="AZ434" s="488"/>
      <c r="BA434" s="488"/>
      <c r="BB434" s="488"/>
      <c r="BC434" s="488"/>
      <c r="BD434" s="488"/>
    </row>
    <row r="435" spans="3:56">
      <c r="C435" s="488"/>
      <c r="D435" s="488"/>
      <c r="E435" s="488"/>
      <c r="F435" s="488"/>
      <c r="G435" s="488"/>
      <c r="H435" s="488"/>
      <c r="I435" s="488"/>
      <c r="J435" s="488"/>
      <c r="K435" s="488"/>
      <c r="L435" s="488"/>
      <c r="M435" s="488"/>
      <c r="N435" s="488"/>
      <c r="O435" s="488"/>
      <c r="P435" s="488"/>
      <c r="Q435" s="488"/>
      <c r="R435" s="488"/>
      <c r="S435" s="488"/>
      <c r="T435" s="488"/>
      <c r="U435" s="488"/>
      <c r="V435" s="488"/>
      <c r="W435" s="488"/>
      <c r="X435" s="488"/>
      <c r="Y435" s="488"/>
      <c r="Z435" s="488"/>
      <c r="AA435" s="488"/>
      <c r="AB435" s="488"/>
      <c r="AC435" s="488"/>
      <c r="AD435" s="488"/>
      <c r="AE435" s="488"/>
      <c r="AF435" s="488"/>
      <c r="AG435" s="488"/>
      <c r="AH435" s="488"/>
      <c r="AI435" s="488"/>
      <c r="AJ435" s="488"/>
      <c r="AK435" s="488"/>
      <c r="AL435" s="488"/>
      <c r="AM435" s="488"/>
      <c r="AN435" s="488"/>
      <c r="AO435" s="488"/>
      <c r="AP435" s="488"/>
      <c r="AQ435" s="488"/>
      <c r="AR435" s="488"/>
      <c r="AS435" s="488"/>
      <c r="AT435" s="488"/>
      <c r="AU435" s="488"/>
      <c r="AV435" s="488"/>
      <c r="AW435" s="488"/>
      <c r="AX435" s="488"/>
      <c r="AY435" s="488"/>
      <c r="AZ435" s="488"/>
      <c r="BA435" s="488"/>
      <c r="BB435" s="488"/>
      <c r="BC435" s="488"/>
      <c r="BD435" s="488"/>
    </row>
    <row r="436" spans="3:56">
      <c r="C436" s="488"/>
      <c r="D436" s="488"/>
      <c r="E436" s="488"/>
      <c r="F436" s="488"/>
      <c r="G436" s="488"/>
      <c r="H436" s="488"/>
      <c r="I436" s="488"/>
      <c r="J436" s="488"/>
      <c r="K436" s="488"/>
      <c r="L436" s="488"/>
      <c r="M436" s="488"/>
      <c r="N436" s="488"/>
      <c r="O436" s="488"/>
      <c r="P436" s="488"/>
      <c r="Q436" s="488"/>
      <c r="R436" s="488"/>
      <c r="S436" s="488"/>
      <c r="T436" s="488"/>
      <c r="U436" s="488"/>
      <c r="V436" s="488"/>
      <c r="W436" s="488"/>
      <c r="X436" s="488"/>
      <c r="Y436" s="488"/>
      <c r="Z436" s="488"/>
      <c r="AA436" s="488"/>
      <c r="AB436" s="488"/>
      <c r="AC436" s="488"/>
      <c r="AD436" s="488"/>
      <c r="AE436" s="488"/>
      <c r="AF436" s="488"/>
      <c r="AG436" s="488"/>
      <c r="AH436" s="488"/>
      <c r="AI436" s="488"/>
      <c r="AJ436" s="488"/>
      <c r="AK436" s="488"/>
      <c r="AL436" s="488"/>
      <c r="AM436" s="488"/>
      <c r="AN436" s="488"/>
      <c r="AO436" s="488"/>
      <c r="AP436" s="488"/>
      <c r="AQ436" s="488"/>
      <c r="AR436" s="488"/>
      <c r="AS436" s="488"/>
      <c r="AT436" s="488"/>
      <c r="AU436" s="488"/>
      <c r="AV436" s="488"/>
      <c r="AW436" s="488"/>
      <c r="AX436" s="488"/>
      <c r="AY436" s="488"/>
      <c r="AZ436" s="488"/>
      <c r="BA436" s="488"/>
      <c r="BB436" s="488"/>
      <c r="BC436" s="488"/>
      <c r="BD436" s="488"/>
    </row>
    <row r="437" spans="3:56">
      <c r="C437" s="488"/>
      <c r="D437" s="488"/>
      <c r="E437" s="488"/>
      <c r="F437" s="488"/>
      <c r="G437" s="488"/>
      <c r="H437" s="488"/>
      <c r="I437" s="488"/>
      <c r="J437" s="488"/>
      <c r="K437" s="488"/>
      <c r="L437" s="488"/>
      <c r="M437" s="488"/>
      <c r="N437" s="488"/>
      <c r="O437" s="488"/>
      <c r="P437" s="488"/>
      <c r="Q437" s="488"/>
      <c r="R437" s="488"/>
      <c r="S437" s="488"/>
      <c r="T437" s="488"/>
      <c r="U437" s="488"/>
      <c r="V437" s="488"/>
      <c r="W437" s="488"/>
      <c r="X437" s="488"/>
      <c r="Y437" s="488"/>
      <c r="Z437" s="488"/>
      <c r="AA437" s="488"/>
      <c r="AB437" s="488"/>
      <c r="AC437" s="488"/>
      <c r="AD437" s="488"/>
      <c r="AE437" s="488"/>
      <c r="AF437" s="488"/>
      <c r="AG437" s="488"/>
      <c r="AH437" s="488"/>
      <c r="AI437" s="488"/>
      <c r="AJ437" s="488"/>
      <c r="AK437" s="488"/>
      <c r="AL437" s="488"/>
      <c r="AM437" s="488"/>
      <c r="AN437" s="488"/>
      <c r="AO437" s="488"/>
      <c r="AP437" s="488"/>
      <c r="AQ437" s="488"/>
      <c r="AR437" s="488"/>
      <c r="AS437" s="488"/>
      <c r="AT437" s="488"/>
      <c r="AU437" s="488"/>
      <c r="AV437" s="488"/>
      <c r="AW437" s="488"/>
      <c r="AX437" s="488"/>
      <c r="AY437" s="488"/>
      <c r="AZ437" s="488"/>
      <c r="BA437" s="488"/>
      <c r="BB437" s="488"/>
      <c r="BC437" s="488"/>
      <c r="BD437" s="488"/>
    </row>
    <row r="438" spans="3:56">
      <c r="C438" s="488"/>
      <c r="D438" s="488"/>
      <c r="E438" s="488"/>
      <c r="F438" s="488"/>
      <c r="G438" s="488"/>
      <c r="H438" s="488"/>
      <c r="I438" s="488"/>
      <c r="J438" s="488"/>
      <c r="K438" s="488"/>
      <c r="L438" s="488"/>
      <c r="M438" s="488"/>
      <c r="N438" s="488"/>
      <c r="O438" s="488"/>
      <c r="P438" s="488"/>
      <c r="Q438" s="488"/>
      <c r="R438" s="488"/>
      <c r="S438" s="488"/>
      <c r="T438" s="488"/>
      <c r="U438" s="488"/>
      <c r="V438" s="488"/>
      <c r="W438" s="488"/>
      <c r="X438" s="488"/>
      <c r="Y438" s="488"/>
      <c r="Z438" s="488"/>
      <c r="AA438" s="488"/>
      <c r="AB438" s="488"/>
      <c r="AC438" s="488"/>
      <c r="AD438" s="488"/>
      <c r="AE438" s="488"/>
      <c r="AF438" s="488"/>
      <c r="AG438" s="488"/>
      <c r="AH438" s="488"/>
      <c r="AI438" s="488"/>
      <c r="AJ438" s="488"/>
      <c r="AK438" s="488"/>
      <c r="AL438" s="488"/>
      <c r="AM438" s="488"/>
      <c r="AN438" s="488"/>
      <c r="AO438" s="488"/>
      <c r="AP438" s="488"/>
      <c r="AQ438" s="488"/>
      <c r="AR438" s="488"/>
      <c r="AS438" s="488"/>
      <c r="AT438" s="488"/>
      <c r="AU438" s="488"/>
      <c r="AV438" s="488"/>
      <c r="AW438" s="488"/>
      <c r="AX438" s="488"/>
      <c r="AY438" s="488"/>
      <c r="AZ438" s="488"/>
      <c r="BA438" s="488"/>
      <c r="BB438" s="488"/>
      <c r="BC438" s="488"/>
      <c r="BD438" s="488"/>
    </row>
    <row r="439" spans="3:56">
      <c r="C439" s="488"/>
      <c r="D439" s="488"/>
      <c r="E439" s="488"/>
      <c r="F439" s="488"/>
      <c r="G439" s="488"/>
      <c r="H439" s="488"/>
      <c r="I439" s="488"/>
      <c r="J439" s="488"/>
      <c r="K439" s="488"/>
      <c r="L439" s="488"/>
      <c r="M439" s="488"/>
      <c r="N439" s="488"/>
      <c r="O439" s="488"/>
      <c r="P439" s="488"/>
      <c r="Q439" s="488"/>
      <c r="R439" s="488"/>
      <c r="S439" s="488"/>
      <c r="T439" s="488"/>
      <c r="U439" s="488"/>
      <c r="V439" s="488"/>
      <c r="W439" s="488"/>
      <c r="X439" s="488"/>
      <c r="Y439" s="488"/>
      <c r="Z439" s="488"/>
      <c r="AA439" s="488"/>
      <c r="AB439" s="488"/>
      <c r="AC439" s="488"/>
      <c r="AD439" s="488"/>
      <c r="AE439" s="488"/>
      <c r="AF439" s="488"/>
      <c r="AG439" s="488"/>
      <c r="AH439" s="488"/>
      <c r="AI439" s="488"/>
      <c r="AJ439" s="488"/>
      <c r="AK439" s="488"/>
      <c r="AL439" s="488"/>
      <c r="AM439" s="488"/>
      <c r="AN439" s="488"/>
      <c r="AO439" s="488"/>
      <c r="AP439" s="488"/>
      <c r="AQ439" s="488"/>
      <c r="AR439" s="488"/>
      <c r="AS439" s="488"/>
      <c r="AT439" s="488"/>
      <c r="AU439" s="488"/>
      <c r="AV439" s="488"/>
      <c r="AW439" s="488"/>
      <c r="AX439" s="488"/>
      <c r="AY439" s="488"/>
      <c r="AZ439" s="488"/>
      <c r="BA439" s="488"/>
      <c r="BB439" s="488"/>
      <c r="BC439" s="488"/>
      <c r="BD439" s="488"/>
    </row>
    <row r="440" spans="3:56">
      <c r="C440" s="488"/>
      <c r="D440" s="488"/>
      <c r="E440" s="488"/>
      <c r="F440" s="488"/>
      <c r="G440" s="488"/>
      <c r="H440" s="488"/>
      <c r="I440" s="488"/>
      <c r="J440" s="488"/>
      <c r="K440" s="488"/>
      <c r="L440" s="488"/>
      <c r="M440" s="488"/>
      <c r="N440" s="488"/>
      <c r="O440" s="488"/>
      <c r="P440" s="488"/>
      <c r="Q440" s="488"/>
      <c r="R440" s="488"/>
      <c r="S440" s="488"/>
      <c r="T440" s="488"/>
      <c r="U440" s="488"/>
      <c r="V440" s="488"/>
      <c r="W440" s="488"/>
      <c r="X440" s="488"/>
      <c r="Y440" s="488"/>
      <c r="Z440" s="488"/>
      <c r="AA440" s="488"/>
      <c r="AB440" s="488"/>
      <c r="AC440" s="488"/>
      <c r="AD440" s="488"/>
      <c r="AE440" s="488"/>
      <c r="AF440" s="488"/>
      <c r="AG440" s="488"/>
      <c r="AH440" s="488"/>
      <c r="AI440" s="488"/>
      <c r="AJ440" s="488"/>
      <c r="AK440" s="488"/>
      <c r="AL440" s="488"/>
      <c r="AM440" s="488"/>
      <c r="AN440" s="488"/>
      <c r="AO440" s="488"/>
      <c r="AP440" s="488"/>
      <c r="AQ440" s="488"/>
      <c r="AR440" s="488"/>
      <c r="AS440" s="488"/>
      <c r="AT440" s="488"/>
      <c r="AU440" s="488"/>
      <c r="AV440" s="488"/>
      <c r="AW440" s="488"/>
      <c r="AX440" s="488"/>
      <c r="AY440" s="488"/>
      <c r="AZ440" s="488"/>
      <c r="BA440" s="488"/>
      <c r="BB440" s="488"/>
      <c r="BC440" s="488"/>
      <c r="BD440" s="488"/>
    </row>
    <row r="441" spans="3:56">
      <c r="C441" s="488"/>
      <c r="D441" s="488"/>
      <c r="E441" s="488"/>
      <c r="F441" s="488"/>
      <c r="G441" s="488"/>
      <c r="H441" s="488"/>
      <c r="I441" s="488"/>
      <c r="J441" s="488"/>
      <c r="K441" s="488"/>
      <c r="L441" s="488"/>
      <c r="M441" s="488"/>
      <c r="N441" s="488"/>
      <c r="O441" s="488"/>
      <c r="P441" s="488"/>
      <c r="Q441" s="488"/>
      <c r="R441" s="488"/>
      <c r="S441" s="488"/>
      <c r="T441" s="488"/>
      <c r="U441" s="488"/>
      <c r="V441" s="488"/>
      <c r="W441" s="488"/>
      <c r="X441" s="488"/>
      <c r="Y441" s="488"/>
      <c r="Z441" s="488"/>
      <c r="AA441" s="488"/>
      <c r="AB441" s="488"/>
      <c r="AC441" s="488"/>
      <c r="AD441" s="488"/>
      <c r="AE441" s="488"/>
      <c r="AF441" s="488"/>
      <c r="AG441" s="488"/>
      <c r="AH441" s="488"/>
      <c r="AI441" s="488"/>
      <c r="AJ441" s="488"/>
      <c r="AK441" s="488"/>
      <c r="AL441" s="488"/>
      <c r="AM441" s="488"/>
      <c r="AN441" s="488"/>
      <c r="AO441" s="488"/>
      <c r="AP441" s="488"/>
      <c r="AQ441" s="488"/>
      <c r="AR441" s="488"/>
      <c r="AS441" s="488"/>
      <c r="AT441" s="488"/>
      <c r="AU441" s="488"/>
      <c r="AV441" s="488"/>
      <c r="AW441" s="488"/>
      <c r="AX441" s="488"/>
      <c r="AY441" s="488"/>
      <c r="AZ441" s="488"/>
      <c r="BA441" s="488"/>
      <c r="BB441" s="488"/>
      <c r="BC441" s="488"/>
      <c r="BD441" s="488"/>
    </row>
    <row r="442" spans="3:56">
      <c r="C442" s="488"/>
      <c r="D442" s="488"/>
      <c r="E442" s="488"/>
      <c r="F442" s="488"/>
      <c r="G442" s="488"/>
      <c r="H442" s="488"/>
      <c r="I442" s="488"/>
      <c r="J442" s="488"/>
      <c r="K442" s="488"/>
      <c r="L442" s="488"/>
      <c r="M442" s="488"/>
      <c r="N442" s="488"/>
      <c r="O442" s="488"/>
      <c r="P442" s="488"/>
      <c r="Q442" s="488"/>
      <c r="R442" s="488"/>
      <c r="S442" s="488"/>
      <c r="T442" s="488"/>
      <c r="U442" s="488"/>
      <c r="V442" s="488"/>
      <c r="W442" s="488"/>
      <c r="X442" s="488"/>
      <c r="Y442" s="488"/>
      <c r="Z442" s="488"/>
      <c r="AA442" s="488"/>
      <c r="AB442" s="488"/>
      <c r="AC442" s="488"/>
      <c r="AD442" s="488"/>
      <c r="AE442" s="488"/>
      <c r="AF442" s="488"/>
      <c r="AG442" s="488"/>
      <c r="AH442" s="488"/>
      <c r="AI442" s="488"/>
      <c r="AJ442" s="488"/>
      <c r="AK442" s="488"/>
      <c r="AL442" s="488"/>
      <c r="AM442" s="488"/>
      <c r="AN442" s="488"/>
      <c r="AO442" s="488"/>
      <c r="AP442" s="488"/>
      <c r="AQ442" s="488"/>
      <c r="AR442" s="488"/>
      <c r="AS442" s="488"/>
      <c r="AT442" s="488"/>
      <c r="AU442" s="488"/>
      <c r="AV442" s="488"/>
      <c r="AW442" s="488"/>
      <c r="AX442" s="488"/>
      <c r="AY442" s="488"/>
      <c r="AZ442" s="488"/>
      <c r="BA442" s="488"/>
      <c r="BB442" s="488"/>
      <c r="BC442" s="488"/>
      <c r="BD442" s="488"/>
    </row>
    <row r="443" spans="3:56">
      <c r="C443" s="488"/>
      <c r="D443" s="488"/>
      <c r="E443" s="488"/>
      <c r="F443" s="488"/>
      <c r="G443" s="488"/>
      <c r="H443" s="488"/>
      <c r="I443" s="488"/>
      <c r="J443" s="488"/>
      <c r="K443" s="488"/>
      <c r="L443" s="488"/>
      <c r="M443" s="488"/>
      <c r="N443" s="488"/>
      <c r="O443" s="488"/>
      <c r="P443" s="488"/>
      <c r="Q443" s="488"/>
      <c r="R443" s="488"/>
      <c r="S443" s="488"/>
      <c r="T443" s="488"/>
      <c r="U443" s="488"/>
      <c r="V443" s="488"/>
      <c r="W443" s="488"/>
      <c r="X443" s="488"/>
      <c r="Y443" s="488"/>
      <c r="Z443" s="488"/>
      <c r="AA443" s="488"/>
      <c r="AB443" s="488"/>
      <c r="AC443" s="488"/>
      <c r="AD443" s="488"/>
      <c r="AE443" s="488"/>
      <c r="AF443" s="488"/>
      <c r="AG443" s="488"/>
      <c r="AH443" s="488"/>
      <c r="AI443" s="488"/>
      <c r="AJ443" s="488"/>
      <c r="AK443" s="488"/>
      <c r="AL443" s="488"/>
      <c r="AM443" s="488"/>
      <c r="AN443" s="488"/>
      <c r="AO443" s="488"/>
      <c r="AP443" s="488"/>
      <c r="AQ443" s="488"/>
      <c r="AR443" s="488"/>
      <c r="AS443" s="488"/>
      <c r="AT443" s="488"/>
      <c r="AU443" s="488"/>
      <c r="AV443" s="488"/>
      <c r="AW443" s="488"/>
      <c r="AX443" s="488"/>
      <c r="AY443" s="488"/>
      <c r="AZ443" s="488"/>
      <c r="BA443" s="488"/>
      <c r="BB443" s="488"/>
      <c r="BC443" s="488"/>
      <c r="BD443" s="488"/>
    </row>
    <row r="444" spans="3:56">
      <c r="C444" s="488"/>
      <c r="D444" s="488"/>
      <c r="E444" s="488"/>
      <c r="F444" s="488"/>
      <c r="G444" s="488"/>
      <c r="H444" s="488"/>
      <c r="I444" s="488"/>
      <c r="J444" s="488"/>
      <c r="K444" s="488"/>
      <c r="L444" s="488"/>
      <c r="M444" s="488"/>
      <c r="N444" s="488"/>
      <c r="O444" s="488"/>
      <c r="P444" s="488"/>
      <c r="Q444" s="488"/>
      <c r="R444" s="488"/>
      <c r="S444" s="488"/>
      <c r="T444" s="488"/>
      <c r="U444" s="488"/>
      <c r="V444" s="488"/>
      <c r="W444" s="488"/>
      <c r="X444" s="488"/>
      <c r="Y444" s="488"/>
      <c r="Z444" s="488"/>
      <c r="AA444" s="488"/>
      <c r="AB444" s="488"/>
      <c r="AC444" s="488"/>
      <c r="AD444" s="488"/>
      <c r="AE444" s="488"/>
      <c r="AF444" s="488"/>
      <c r="AG444" s="488"/>
      <c r="AH444" s="488"/>
      <c r="AI444" s="488"/>
      <c r="AJ444" s="488"/>
      <c r="AK444" s="488"/>
      <c r="AL444" s="488"/>
      <c r="AM444" s="488"/>
      <c r="AN444" s="488"/>
      <c r="AO444" s="488"/>
      <c r="AP444" s="488"/>
      <c r="AQ444" s="488"/>
      <c r="AR444" s="488"/>
      <c r="AS444" s="488"/>
      <c r="AT444" s="488"/>
      <c r="AU444" s="488"/>
      <c r="AV444" s="488"/>
      <c r="AW444" s="488"/>
      <c r="AX444" s="488"/>
      <c r="AY444" s="488"/>
      <c r="AZ444" s="488"/>
      <c r="BA444" s="488"/>
      <c r="BB444" s="488"/>
      <c r="BC444" s="488"/>
      <c r="BD444" s="488"/>
    </row>
    <row r="445" spans="3:56">
      <c r="C445" s="488"/>
      <c r="D445" s="488"/>
      <c r="E445" s="488"/>
      <c r="F445" s="488"/>
      <c r="G445" s="488"/>
      <c r="H445" s="488"/>
      <c r="I445" s="488"/>
      <c r="J445" s="488"/>
      <c r="K445" s="488"/>
      <c r="L445" s="488"/>
      <c r="M445" s="488"/>
      <c r="N445" s="488"/>
      <c r="O445" s="488"/>
      <c r="P445" s="488"/>
      <c r="Q445" s="488"/>
      <c r="R445" s="488"/>
      <c r="S445" s="488"/>
      <c r="T445" s="488"/>
      <c r="U445" s="488"/>
      <c r="V445" s="488"/>
      <c r="W445" s="488"/>
      <c r="X445" s="488"/>
      <c r="Y445" s="488"/>
      <c r="Z445" s="488"/>
      <c r="AA445" s="488"/>
      <c r="AB445" s="488"/>
      <c r="AC445" s="488"/>
      <c r="AD445" s="488"/>
      <c r="AE445" s="488"/>
      <c r="AF445" s="488"/>
      <c r="AG445" s="488"/>
      <c r="AH445" s="488"/>
      <c r="AI445" s="488"/>
      <c r="AJ445" s="488"/>
      <c r="AK445" s="488"/>
      <c r="AL445" s="488"/>
      <c r="AM445" s="488"/>
      <c r="AN445" s="488"/>
      <c r="AO445" s="488"/>
      <c r="AP445" s="488"/>
      <c r="AQ445" s="488"/>
      <c r="AR445" s="488"/>
      <c r="AS445" s="488"/>
      <c r="AT445" s="488"/>
      <c r="AU445" s="488"/>
      <c r="AV445" s="488"/>
      <c r="AW445" s="488"/>
      <c r="AX445" s="488"/>
      <c r="AY445" s="488"/>
      <c r="AZ445" s="488"/>
      <c r="BA445" s="488"/>
      <c r="BB445" s="488"/>
      <c r="BC445" s="488"/>
      <c r="BD445" s="488"/>
    </row>
    <row r="446" spans="3:56">
      <c r="C446" s="488"/>
      <c r="D446" s="488"/>
      <c r="E446" s="488"/>
      <c r="F446" s="488"/>
      <c r="G446" s="488"/>
      <c r="H446" s="488"/>
      <c r="I446" s="488"/>
      <c r="J446" s="488"/>
      <c r="K446" s="488"/>
      <c r="L446" s="488"/>
      <c r="M446" s="488"/>
      <c r="N446" s="488"/>
      <c r="O446" s="488"/>
      <c r="P446" s="488"/>
      <c r="Q446" s="488"/>
      <c r="R446" s="488"/>
      <c r="S446" s="488"/>
      <c r="T446" s="488"/>
      <c r="U446" s="488"/>
      <c r="V446" s="488"/>
      <c r="W446" s="488"/>
      <c r="X446" s="488"/>
      <c r="Y446" s="488"/>
      <c r="Z446" s="488"/>
      <c r="AA446" s="488"/>
      <c r="AB446" s="488"/>
      <c r="AC446" s="488"/>
      <c r="AD446" s="488"/>
      <c r="AE446" s="488"/>
      <c r="AF446" s="488"/>
      <c r="AG446" s="488"/>
      <c r="AH446" s="488"/>
      <c r="AI446" s="488"/>
      <c r="AJ446" s="488"/>
      <c r="AK446" s="488"/>
      <c r="AL446" s="488"/>
      <c r="AM446" s="488"/>
      <c r="AN446" s="488"/>
      <c r="AO446" s="488"/>
      <c r="AP446" s="488"/>
      <c r="AQ446" s="488"/>
      <c r="AR446" s="488"/>
      <c r="AS446" s="488"/>
      <c r="AT446" s="488"/>
      <c r="AU446" s="488"/>
      <c r="AV446" s="488"/>
      <c r="AW446" s="488"/>
      <c r="AX446" s="488"/>
      <c r="AY446" s="488"/>
      <c r="AZ446" s="488"/>
      <c r="BA446" s="488"/>
      <c r="BB446" s="488"/>
      <c r="BC446" s="488"/>
      <c r="BD446" s="488"/>
    </row>
    <row r="447" spans="3:56">
      <c r="C447" s="488"/>
      <c r="D447" s="488"/>
      <c r="E447" s="488"/>
      <c r="F447" s="488"/>
      <c r="G447" s="488"/>
      <c r="H447" s="488"/>
      <c r="I447" s="488"/>
      <c r="J447" s="488"/>
      <c r="K447" s="488"/>
      <c r="L447" s="488"/>
      <c r="M447" s="488"/>
      <c r="N447" s="488"/>
      <c r="O447" s="488"/>
      <c r="P447" s="488"/>
      <c r="Q447" s="488"/>
      <c r="R447" s="488"/>
      <c r="S447" s="488"/>
      <c r="T447" s="488"/>
      <c r="U447" s="488"/>
      <c r="V447" s="488"/>
      <c r="W447" s="488"/>
      <c r="X447" s="488"/>
      <c r="Y447" s="488"/>
      <c r="Z447" s="488"/>
      <c r="AA447" s="488"/>
      <c r="AB447" s="488"/>
      <c r="AC447" s="488"/>
      <c r="AD447" s="488"/>
      <c r="AE447" s="488"/>
      <c r="AF447" s="488"/>
      <c r="AG447" s="488"/>
      <c r="AH447" s="488"/>
      <c r="AI447" s="488"/>
      <c r="AJ447" s="488"/>
      <c r="AK447" s="488"/>
      <c r="AL447" s="488"/>
      <c r="AM447" s="488"/>
      <c r="AN447" s="488"/>
      <c r="AO447" s="488"/>
      <c r="AP447" s="488"/>
      <c r="AQ447" s="488"/>
      <c r="AR447" s="488"/>
      <c r="AS447" s="488"/>
      <c r="AT447" s="488"/>
      <c r="AU447" s="488"/>
      <c r="AV447" s="488"/>
      <c r="AW447" s="488"/>
      <c r="AX447" s="488"/>
      <c r="AY447" s="488"/>
      <c r="AZ447" s="488"/>
      <c r="BA447" s="488"/>
      <c r="BB447" s="488"/>
      <c r="BC447" s="488"/>
      <c r="BD447" s="488"/>
    </row>
    <row r="448" spans="3:56">
      <c r="C448" s="488"/>
      <c r="D448" s="488"/>
      <c r="E448" s="488"/>
      <c r="F448" s="488"/>
      <c r="G448" s="488"/>
      <c r="H448" s="488"/>
      <c r="I448" s="488"/>
      <c r="J448" s="488"/>
      <c r="K448" s="488"/>
      <c r="L448" s="488"/>
      <c r="M448" s="488"/>
      <c r="N448" s="488"/>
      <c r="O448" s="488"/>
      <c r="P448" s="488"/>
      <c r="Q448" s="488"/>
      <c r="R448" s="488"/>
      <c r="S448" s="488"/>
      <c r="T448" s="488"/>
      <c r="U448" s="488"/>
      <c r="V448" s="488"/>
      <c r="W448" s="488"/>
      <c r="X448" s="488"/>
      <c r="Y448" s="488"/>
      <c r="Z448" s="488"/>
      <c r="AA448" s="488"/>
      <c r="AB448" s="488"/>
      <c r="AC448" s="488"/>
      <c r="AD448" s="488"/>
      <c r="AE448" s="488"/>
      <c r="AF448" s="488"/>
      <c r="AG448" s="488"/>
      <c r="AH448" s="488"/>
      <c r="AI448" s="488"/>
      <c r="AJ448" s="488"/>
      <c r="AK448" s="488"/>
      <c r="AL448" s="488"/>
      <c r="AM448" s="488"/>
      <c r="AN448" s="488"/>
      <c r="AO448" s="488"/>
      <c r="AP448" s="488"/>
      <c r="AQ448" s="488"/>
      <c r="AR448" s="488"/>
      <c r="AS448" s="488"/>
      <c r="AT448" s="488"/>
      <c r="AU448" s="488"/>
      <c r="AV448" s="488"/>
      <c r="AW448" s="488"/>
      <c r="AX448" s="488"/>
      <c r="AY448" s="488"/>
      <c r="AZ448" s="488"/>
      <c r="BA448" s="488"/>
      <c r="BB448" s="488"/>
      <c r="BC448" s="488"/>
      <c r="BD448" s="488"/>
    </row>
    <row r="449" spans="3:56">
      <c r="C449" s="488"/>
      <c r="D449" s="488"/>
      <c r="E449" s="488"/>
      <c r="F449" s="488"/>
      <c r="G449" s="488"/>
      <c r="H449" s="488"/>
      <c r="I449" s="488"/>
      <c r="J449" s="488"/>
      <c r="K449" s="488"/>
      <c r="L449" s="488"/>
      <c r="M449" s="488"/>
      <c r="N449" s="488"/>
      <c r="O449" s="488"/>
      <c r="P449" s="488"/>
      <c r="Q449" s="488"/>
      <c r="R449" s="488"/>
      <c r="S449" s="488"/>
      <c r="T449" s="488"/>
      <c r="U449" s="488"/>
      <c r="V449" s="488"/>
      <c r="W449" s="488"/>
      <c r="X449" s="488"/>
      <c r="Y449" s="488"/>
      <c r="Z449" s="488"/>
      <c r="AA449" s="488"/>
      <c r="AB449" s="488"/>
      <c r="AC449" s="488"/>
      <c r="AD449" s="488"/>
      <c r="AE449" s="488"/>
      <c r="AF449" s="488"/>
      <c r="AG449" s="488"/>
      <c r="AH449" s="488"/>
      <c r="AI449" s="488"/>
      <c r="AJ449" s="488"/>
      <c r="AK449" s="488"/>
      <c r="AL449" s="488"/>
      <c r="AM449" s="488"/>
      <c r="AN449" s="488"/>
      <c r="AO449" s="488"/>
      <c r="AP449" s="488"/>
      <c r="AQ449" s="488"/>
      <c r="AR449" s="488"/>
      <c r="AS449" s="488"/>
      <c r="AT449" s="488"/>
      <c r="AU449" s="488"/>
      <c r="AV449" s="488"/>
      <c r="AW449" s="488"/>
      <c r="AX449" s="488"/>
      <c r="AY449" s="488"/>
      <c r="AZ449" s="488"/>
      <c r="BA449" s="488"/>
      <c r="BB449" s="488"/>
      <c r="BC449" s="488"/>
      <c r="BD449" s="488"/>
    </row>
    <row r="450" spans="3:56">
      <c r="C450" s="488"/>
      <c r="D450" s="488"/>
      <c r="E450" s="488"/>
      <c r="F450" s="488"/>
      <c r="G450" s="488"/>
      <c r="H450" s="488"/>
      <c r="I450" s="488"/>
      <c r="J450" s="488"/>
      <c r="K450" s="488"/>
      <c r="L450" s="488"/>
      <c r="M450" s="488"/>
      <c r="N450" s="488"/>
      <c r="O450" s="488"/>
      <c r="P450" s="488"/>
      <c r="Q450" s="488"/>
      <c r="R450" s="488"/>
      <c r="S450" s="488"/>
      <c r="T450" s="488"/>
      <c r="U450" s="488"/>
      <c r="V450" s="488"/>
      <c r="W450" s="488"/>
      <c r="X450" s="488"/>
      <c r="Y450" s="488"/>
      <c r="Z450" s="488"/>
      <c r="AA450" s="488"/>
      <c r="AB450" s="488"/>
      <c r="AC450" s="488"/>
      <c r="AD450" s="488"/>
      <c r="AE450" s="488"/>
      <c r="AF450" s="488"/>
      <c r="AG450" s="488"/>
      <c r="AH450" s="488"/>
      <c r="AI450" s="488"/>
      <c r="AJ450" s="488"/>
      <c r="AK450" s="488"/>
      <c r="AL450" s="488"/>
      <c r="AM450" s="488"/>
      <c r="AN450" s="488"/>
      <c r="AO450" s="488"/>
      <c r="AP450" s="488"/>
      <c r="AQ450" s="488"/>
      <c r="AR450" s="488"/>
      <c r="AS450" s="488"/>
      <c r="AT450" s="488"/>
      <c r="AU450" s="488"/>
      <c r="AV450" s="488"/>
      <c r="AW450" s="488"/>
      <c r="AX450" s="488"/>
      <c r="AY450" s="488"/>
      <c r="AZ450" s="488"/>
      <c r="BA450" s="488"/>
      <c r="BB450" s="488"/>
      <c r="BC450" s="488"/>
      <c r="BD450" s="488"/>
    </row>
    <row r="451" spans="3:56">
      <c r="C451" s="488"/>
      <c r="D451" s="488"/>
      <c r="E451" s="488"/>
      <c r="F451" s="488"/>
      <c r="G451" s="488"/>
      <c r="H451" s="488"/>
      <c r="I451" s="488"/>
      <c r="J451" s="488"/>
      <c r="K451" s="488"/>
      <c r="L451" s="488"/>
      <c r="M451" s="488"/>
      <c r="N451" s="488"/>
      <c r="O451" s="488"/>
      <c r="P451" s="488"/>
      <c r="Q451" s="488"/>
      <c r="R451" s="488"/>
      <c r="S451" s="488"/>
      <c r="T451" s="488"/>
      <c r="U451" s="488"/>
      <c r="V451" s="488"/>
      <c r="W451" s="488"/>
      <c r="X451" s="488"/>
      <c r="Y451" s="488"/>
      <c r="Z451" s="488"/>
      <c r="AA451" s="488"/>
      <c r="AB451" s="488"/>
      <c r="AC451" s="488"/>
      <c r="AD451" s="488"/>
      <c r="AE451" s="488"/>
      <c r="AF451" s="488"/>
      <c r="AG451" s="488"/>
      <c r="AH451" s="488"/>
      <c r="AI451" s="488"/>
      <c r="AJ451" s="488"/>
      <c r="AK451" s="488"/>
      <c r="AL451" s="488"/>
      <c r="AM451" s="488"/>
      <c r="AN451" s="488"/>
      <c r="AO451" s="488"/>
      <c r="AP451" s="488"/>
      <c r="AQ451" s="488"/>
      <c r="AR451" s="488"/>
      <c r="AS451" s="488"/>
      <c r="AT451" s="488"/>
      <c r="AU451" s="488"/>
      <c r="AV451" s="488"/>
      <c r="AW451" s="488"/>
      <c r="AX451" s="488"/>
      <c r="AY451" s="488"/>
      <c r="AZ451" s="488"/>
      <c r="BA451" s="488"/>
      <c r="BB451" s="488"/>
      <c r="BC451" s="488"/>
      <c r="BD451" s="488"/>
    </row>
    <row r="452" spans="3:56">
      <c r="C452" s="488"/>
      <c r="D452" s="488"/>
      <c r="E452" s="488"/>
      <c r="F452" s="488"/>
      <c r="G452" s="488"/>
      <c r="H452" s="488"/>
      <c r="I452" s="488"/>
      <c r="J452" s="488"/>
      <c r="K452" s="488"/>
      <c r="L452" s="488"/>
      <c r="M452" s="488"/>
      <c r="N452" s="488"/>
      <c r="O452" s="488"/>
      <c r="P452" s="488"/>
      <c r="Q452" s="488"/>
      <c r="R452" s="488"/>
      <c r="S452" s="488"/>
      <c r="T452" s="488"/>
      <c r="U452" s="488"/>
      <c r="V452" s="488"/>
      <c r="W452" s="488"/>
      <c r="X452" s="488"/>
      <c r="Y452" s="488"/>
      <c r="Z452" s="488"/>
      <c r="AA452" s="488"/>
      <c r="AB452" s="488"/>
      <c r="AC452" s="488"/>
      <c r="AD452" s="488"/>
      <c r="AE452" s="488"/>
      <c r="AF452" s="488"/>
      <c r="AG452" s="488"/>
      <c r="AH452" s="488"/>
      <c r="AI452" s="488"/>
      <c r="AJ452" s="488"/>
      <c r="AK452" s="488"/>
      <c r="AL452" s="488"/>
      <c r="AM452" s="488"/>
      <c r="AN452" s="488"/>
      <c r="AO452" s="488"/>
      <c r="AP452" s="488"/>
      <c r="AQ452" s="488"/>
      <c r="AR452" s="488"/>
      <c r="AS452" s="488"/>
      <c r="AT452" s="488"/>
      <c r="AU452" s="488"/>
      <c r="AV452" s="488"/>
      <c r="AW452" s="488"/>
      <c r="AX452" s="488"/>
      <c r="AY452" s="488"/>
      <c r="AZ452" s="488"/>
      <c r="BA452" s="488"/>
      <c r="BB452" s="488"/>
      <c r="BC452" s="488"/>
      <c r="BD452" s="488"/>
    </row>
    <row r="453" spans="3:56">
      <c r="C453" s="488"/>
      <c r="D453" s="488"/>
      <c r="E453" s="488"/>
      <c r="F453" s="488"/>
      <c r="G453" s="488"/>
      <c r="H453" s="488"/>
      <c r="I453" s="488"/>
      <c r="J453" s="488"/>
      <c r="K453" s="488"/>
      <c r="L453" s="488"/>
      <c r="M453" s="488"/>
      <c r="N453" s="488"/>
      <c r="O453" s="488"/>
      <c r="P453" s="488"/>
      <c r="Q453" s="488"/>
      <c r="R453" s="488"/>
      <c r="S453" s="488"/>
      <c r="T453" s="488"/>
      <c r="U453" s="488"/>
      <c r="V453" s="488"/>
      <c r="W453" s="488"/>
      <c r="X453" s="488"/>
      <c r="Y453" s="488"/>
      <c r="Z453" s="488"/>
      <c r="AA453" s="488"/>
      <c r="AB453" s="488"/>
      <c r="AC453" s="488"/>
      <c r="AD453" s="488"/>
      <c r="AE453" s="488"/>
      <c r="AF453" s="488"/>
      <c r="AG453" s="488"/>
      <c r="AH453" s="488"/>
      <c r="AI453" s="488"/>
      <c r="AJ453" s="488"/>
      <c r="AK453" s="488"/>
      <c r="AL453" s="488"/>
      <c r="AM453" s="488"/>
      <c r="AN453" s="488"/>
      <c r="AO453" s="488"/>
      <c r="AP453" s="488"/>
      <c r="AQ453" s="488"/>
      <c r="AR453" s="488"/>
      <c r="AS453" s="488"/>
      <c r="AT453" s="488"/>
      <c r="AU453" s="488"/>
      <c r="AV453" s="488"/>
      <c r="AW453" s="488"/>
      <c r="AX453" s="488"/>
      <c r="AY453" s="488"/>
      <c r="AZ453" s="488"/>
      <c r="BA453" s="488"/>
      <c r="BB453" s="488"/>
      <c r="BC453" s="488"/>
      <c r="BD453" s="488"/>
    </row>
    <row r="454" spans="3:56">
      <c r="C454" s="488"/>
      <c r="D454" s="488"/>
      <c r="E454" s="488"/>
      <c r="F454" s="488"/>
      <c r="G454" s="488"/>
      <c r="H454" s="488"/>
      <c r="I454" s="488"/>
      <c r="J454" s="488"/>
      <c r="K454" s="488"/>
      <c r="L454" s="488"/>
      <c r="M454" s="488"/>
      <c r="N454" s="488"/>
      <c r="O454" s="488"/>
      <c r="P454" s="488"/>
      <c r="Q454" s="488"/>
      <c r="R454" s="488"/>
      <c r="S454" s="488"/>
      <c r="T454" s="488"/>
      <c r="U454" s="488"/>
      <c r="V454" s="488"/>
      <c r="W454" s="488"/>
      <c r="X454" s="488"/>
      <c r="Y454" s="488"/>
      <c r="Z454" s="488"/>
      <c r="AA454" s="488"/>
      <c r="AB454" s="488"/>
      <c r="AC454" s="488"/>
      <c r="AD454" s="488"/>
      <c r="AE454" s="488"/>
      <c r="AF454" s="488"/>
      <c r="AG454" s="488"/>
      <c r="AH454" s="488"/>
      <c r="AI454" s="488"/>
      <c r="AJ454" s="488"/>
      <c r="AK454" s="488"/>
      <c r="AL454" s="488"/>
      <c r="AM454" s="488"/>
      <c r="AN454" s="488"/>
      <c r="AO454" s="488"/>
      <c r="AP454" s="488"/>
      <c r="AQ454" s="488"/>
      <c r="AR454" s="488"/>
      <c r="AS454" s="488"/>
      <c r="AT454" s="488"/>
      <c r="AU454" s="488"/>
      <c r="AV454" s="488"/>
      <c r="AW454" s="488"/>
      <c r="AX454" s="488"/>
      <c r="AY454" s="488"/>
      <c r="AZ454" s="488"/>
      <c r="BA454" s="488"/>
      <c r="BB454" s="488"/>
      <c r="BC454" s="488"/>
      <c r="BD454" s="488"/>
    </row>
    <row r="455" spans="3:56">
      <c r="C455" s="488"/>
      <c r="D455" s="488"/>
      <c r="E455" s="488"/>
      <c r="F455" s="488"/>
      <c r="G455" s="488"/>
      <c r="H455" s="488"/>
      <c r="I455" s="488"/>
      <c r="J455" s="488"/>
      <c r="K455" s="488"/>
      <c r="L455" s="488"/>
      <c r="M455" s="488"/>
      <c r="N455" s="488"/>
      <c r="O455" s="488"/>
      <c r="P455" s="488"/>
      <c r="Q455" s="488"/>
      <c r="R455" s="488"/>
      <c r="S455" s="488"/>
      <c r="T455" s="488"/>
      <c r="U455" s="488"/>
      <c r="V455" s="488"/>
      <c r="W455" s="488"/>
      <c r="X455" s="488"/>
      <c r="Y455" s="488"/>
      <c r="Z455" s="488"/>
      <c r="AA455" s="488"/>
      <c r="AB455" s="488"/>
      <c r="AC455" s="488"/>
      <c r="AD455" s="488"/>
      <c r="AE455" s="488"/>
      <c r="AF455" s="488"/>
      <c r="AG455" s="488"/>
      <c r="AH455" s="488"/>
      <c r="AI455" s="488"/>
      <c r="AJ455" s="488"/>
      <c r="AK455" s="488"/>
      <c r="AL455" s="488"/>
      <c r="AM455" s="488"/>
      <c r="AN455" s="488"/>
      <c r="AO455" s="488"/>
      <c r="AP455" s="488"/>
      <c r="AQ455" s="488"/>
      <c r="AR455" s="488"/>
      <c r="AS455" s="488"/>
      <c r="AT455" s="488"/>
      <c r="AU455" s="488"/>
      <c r="AV455" s="488"/>
      <c r="AW455" s="488"/>
      <c r="AX455" s="488"/>
      <c r="AY455" s="488"/>
      <c r="AZ455" s="488"/>
      <c r="BA455" s="488"/>
      <c r="BB455" s="488"/>
      <c r="BC455" s="488"/>
      <c r="BD455" s="488"/>
    </row>
    <row r="456" spans="3:56">
      <c r="C456" s="488"/>
      <c r="D456" s="488"/>
      <c r="E456" s="488"/>
      <c r="F456" s="488"/>
      <c r="G456" s="488"/>
      <c r="H456" s="488"/>
      <c r="I456" s="488"/>
      <c r="J456" s="488"/>
      <c r="K456" s="488"/>
      <c r="L456" s="488"/>
      <c r="M456" s="488"/>
      <c r="N456" s="488"/>
      <c r="O456" s="488"/>
      <c r="P456" s="488"/>
      <c r="Q456" s="488"/>
      <c r="R456" s="488"/>
      <c r="S456" s="488"/>
      <c r="T456" s="488"/>
      <c r="U456" s="488"/>
      <c r="V456" s="488"/>
      <c r="W456" s="488"/>
      <c r="X456" s="488"/>
      <c r="Y456" s="488"/>
      <c r="Z456" s="488"/>
      <c r="AA456" s="488"/>
      <c r="AB456" s="488"/>
      <c r="AC456" s="488"/>
      <c r="AD456" s="488"/>
      <c r="AE456" s="488"/>
      <c r="AF456" s="488"/>
      <c r="AG456" s="488"/>
      <c r="AH456" s="488"/>
      <c r="AI456" s="488"/>
      <c r="AJ456" s="488"/>
      <c r="AK456" s="488"/>
      <c r="AL456" s="488"/>
      <c r="AM456" s="488"/>
      <c r="AN456" s="488"/>
      <c r="AO456" s="488"/>
      <c r="AP456" s="488"/>
      <c r="AQ456" s="488"/>
      <c r="AR456" s="488"/>
      <c r="AS456" s="488"/>
      <c r="AT456" s="488"/>
      <c r="AU456" s="488"/>
      <c r="AV456" s="488"/>
      <c r="AW456" s="488"/>
      <c r="AX456" s="488"/>
      <c r="AY456" s="488"/>
      <c r="AZ456" s="488"/>
      <c r="BA456" s="488"/>
      <c r="BB456" s="488"/>
      <c r="BC456" s="488"/>
      <c r="BD456" s="488"/>
    </row>
    <row r="457" spans="3:56">
      <c r="C457" s="488"/>
      <c r="D457" s="488"/>
      <c r="E457" s="488"/>
      <c r="F457" s="488"/>
      <c r="G457" s="488"/>
      <c r="H457" s="488"/>
      <c r="I457" s="488"/>
      <c r="J457" s="488"/>
      <c r="K457" s="488"/>
      <c r="L457" s="488"/>
      <c r="M457" s="488"/>
      <c r="N457" s="488"/>
      <c r="O457" s="488"/>
      <c r="P457" s="488"/>
      <c r="Q457" s="488"/>
      <c r="R457" s="488"/>
      <c r="S457" s="488"/>
      <c r="T457" s="488"/>
      <c r="U457" s="488"/>
      <c r="V457" s="488"/>
      <c r="W457" s="488"/>
      <c r="X457" s="488"/>
      <c r="Y457" s="488"/>
      <c r="Z457" s="488"/>
      <c r="AA457" s="488"/>
      <c r="AB457" s="488"/>
      <c r="AC457" s="488"/>
      <c r="AD457" s="488"/>
      <c r="AE457" s="488"/>
      <c r="AF457" s="488"/>
      <c r="AG457" s="488"/>
      <c r="AH457" s="488"/>
      <c r="AI457" s="488"/>
      <c r="AJ457" s="488"/>
      <c r="AK457" s="488"/>
      <c r="AL457" s="488"/>
      <c r="AM457" s="488"/>
      <c r="AN457" s="488"/>
      <c r="AO457" s="488"/>
      <c r="AP457" s="488"/>
      <c r="AQ457" s="488"/>
      <c r="AR457" s="488"/>
      <c r="AS457" s="488"/>
      <c r="AT457" s="488"/>
      <c r="AU457" s="488"/>
      <c r="AV457" s="488"/>
      <c r="AW457" s="488"/>
      <c r="AX457" s="488"/>
      <c r="AY457" s="488"/>
      <c r="AZ457" s="488"/>
      <c r="BA457" s="488"/>
      <c r="BB457" s="488"/>
      <c r="BC457" s="488"/>
      <c r="BD457" s="488"/>
    </row>
    <row r="458" spans="3:56">
      <c r="C458" s="488"/>
      <c r="D458" s="488"/>
      <c r="E458" s="488"/>
      <c r="F458" s="488"/>
      <c r="G458" s="488"/>
      <c r="H458" s="488"/>
      <c r="I458" s="488"/>
      <c r="J458" s="488"/>
      <c r="K458" s="488"/>
      <c r="L458" s="488"/>
      <c r="M458" s="488"/>
      <c r="N458" s="488"/>
      <c r="O458" s="488"/>
      <c r="P458" s="488"/>
      <c r="Q458" s="488"/>
      <c r="R458" s="488"/>
      <c r="S458" s="488"/>
      <c r="T458" s="488"/>
      <c r="U458" s="488"/>
      <c r="V458" s="488"/>
      <c r="W458" s="488"/>
      <c r="X458" s="488"/>
      <c r="Y458" s="488"/>
      <c r="Z458" s="488"/>
      <c r="AA458" s="488"/>
      <c r="AB458" s="488"/>
      <c r="AC458" s="488"/>
      <c r="AD458" s="488"/>
      <c r="AE458" s="488"/>
      <c r="AF458" s="488"/>
      <c r="AG458" s="488"/>
      <c r="AH458" s="488"/>
      <c r="AI458" s="488"/>
      <c r="AJ458" s="488"/>
      <c r="AK458" s="488"/>
      <c r="AL458" s="488"/>
      <c r="AM458" s="488"/>
      <c r="AN458" s="488"/>
      <c r="AO458" s="488"/>
      <c r="AP458" s="488"/>
      <c r="AQ458" s="488"/>
      <c r="AR458" s="488"/>
      <c r="AS458" s="488"/>
      <c r="AT458" s="488"/>
      <c r="AU458" s="488"/>
      <c r="AV458" s="488"/>
      <c r="AW458" s="488"/>
      <c r="AX458" s="488"/>
      <c r="AY458" s="488"/>
      <c r="AZ458" s="488"/>
      <c r="BA458" s="488"/>
      <c r="BB458" s="488"/>
      <c r="BC458" s="488"/>
      <c r="BD458" s="488"/>
    </row>
    <row r="459" spans="3:56">
      <c r="C459" s="488"/>
      <c r="D459" s="488"/>
      <c r="E459" s="488"/>
      <c r="F459" s="488"/>
      <c r="G459" s="488"/>
      <c r="H459" s="488"/>
      <c r="I459" s="488"/>
      <c r="J459" s="488"/>
      <c r="K459" s="488"/>
      <c r="L459" s="488"/>
      <c r="M459" s="488"/>
      <c r="N459" s="488"/>
      <c r="O459" s="488"/>
      <c r="P459" s="488"/>
      <c r="Q459" s="488"/>
      <c r="R459" s="488"/>
      <c r="S459" s="488"/>
      <c r="T459" s="488"/>
      <c r="U459" s="488"/>
      <c r="V459" s="488"/>
      <c r="W459" s="488"/>
      <c r="X459" s="488"/>
      <c r="Y459" s="488"/>
      <c r="Z459" s="488"/>
      <c r="AA459" s="488"/>
      <c r="AB459" s="488"/>
      <c r="AC459" s="488"/>
      <c r="AD459" s="488"/>
      <c r="AE459" s="488"/>
      <c r="AF459" s="488"/>
      <c r="AG459" s="488"/>
      <c r="AH459" s="488"/>
      <c r="AI459" s="488"/>
      <c r="AJ459" s="488"/>
      <c r="AK459" s="488"/>
      <c r="AL459" s="488"/>
      <c r="AM459" s="488"/>
      <c r="AN459" s="488"/>
      <c r="AO459" s="488"/>
      <c r="AP459" s="488"/>
      <c r="AQ459" s="488"/>
      <c r="AR459" s="488"/>
      <c r="AS459" s="488"/>
      <c r="AT459" s="488"/>
      <c r="AU459" s="488"/>
      <c r="AV459" s="488"/>
      <c r="AW459" s="488"/>
      <c r="AX459" s="488"/>
      <c r="AY459" s="488"/>
      <c r="AZ459" s="488"/>
      <c r="BA459" s="488"/>
      <c r="BB459" s="488"/>
      <c r="BC459" s="488"/>
      <c r="BD459" s="488"/>
    </row>
    <row r="460" spans="3:56">
      <c r="C460" s="488"/>
      <c r="D460" s="488"/>
      <c r="E460" s="488"/>
      <c r="F460" s="488"/>
      <c r="G460" s="488"/>
      <c r="H460" s="488"/>
      <c r="I460" s="488"/>
      <c r="J460" s="488"/>
      <c r="K460" s="488"/>
      <c r="L460" s="488"/>
      <c r="M460" s="488"/>
      <c r="N460" s="488"/>
      <c r="O460" s="488"/>
      <c r="P460" s="488"/>
      <c r="Q460" s="488"/>
      <c r="R460" s="488"/>
      <c r="S460" s="488"/>
      <c r="T460" s="488"/>
      <c r="U460" s="488"/>
      <c r="V460" s="488"/>
      <c r="W460" s="488"/>
      <c r="X460" s="488"/>
      <c r="Y460" s="488"/>
      <c r="Z460" s="488"/>
      <c r="AA460" s="488"/>
      <c r="AB460" s="488"/>
      <c r="AC460" s="488"/>
      <c r="AD460" s="488"/>
      <c r="AE460" s="488"/>
      <c r="AF460" s="488"/>
      <c r="AG460" s="488"/>
      <c r="AH460" s="488"/>
      <c r="AI460" s="488"/>
      <c r="AJ460" s="488"/>
      <c r="AK460" s="488"/>
      <c r="AL460" s="488"/>
      <c r="AM460" s="488"/>
      <c r="AN460" s="488"/>
      <c r="AO460" s="488"/>
      <c r="AP460" s="488"/>
      <c r="AQ460" s="488"/>
      <c r="AR460" s="488"/>
      <c r="AS460" s="488"/>
      <c r="AT460" s="488"/>
      <c r="AU460" s="488"/>
      <c r="AV460" s="488"/>
      <c r="AW460" s="488"/>
      <c r="AX460" s="488"/>
      <c r="AY460" s="488"/>
      <c r="AZ460" s="488"/>
      <c r="BA460" s="488"/>
      <c r="BB460" s="488"/>
      <c r="BC460" s="488"/>
      <c r="BD460" s="488"/>
    </row>
    <row r="461" spans="3:56">
      <c r="C461" s="488"/>
      <c r="D461" s="488"/>
      <c r="E461" s="488"/>
      <c r="F461" s="488"/>
      <c r="G461" s="488"/>
      <c r="H461" s="488"/>
      <c r="I461" s="488"/>
      <c r="J461" s="488"/>
      <c r="K461" s="488"/>
      <c r="L461" s="488"/>
      <c r="M461" s="488"/>
      <c r="N461" s="488"/>
      <c r="O461" s="488"/>
      <c r="P461" s="488"/>
      <c r="Q461" s="488"/>
      <c r="R461" s="488"/>
      <c r="S461" s="488"/>
      <c r="T461" s="488"/>
      <c r="U461" s="488"/>
      <c r="V461" s="488"/>
      <c r="W461" s="488"/>
      <c r="X461" s="488"/>
      <c r="Y461" s="488"/>
      <c r="Z461" s="488"/>
      <c r="AA461" s="488"/>
      <c r="AB461" s="488"/>
      <c r="AC461" s="488"/>
      <c r="AD461" s="488"/>
      <c r="AE461" s="488"/>
      <c r="AF461" s="488"/>
      <c r="AG461" s="488"/>
      <c r="AH461" s="488"/>
      <c r="AI461" s="488"/>
      <c r="AJ461" s="488"/>
      <c r="AK461" s="488"/>
      <c r="AL461" s="488"/>
      <c r="AM461" s="488"/>
      <c r="AN461" s="488"/>
      <c r="AO461" s="488"/>
      <c r="AP461" s="488"/>
      <c r="AQ461" s="488"/>
      <c r="AR461" s="488"/>
      <c r="AS461" s="488"/>
      <c r="AT461" s="488"/>
      <c r="AU461" s="488"/>
      <c r="AV461" s="488"/>
      <c r="AW461" s="488"/>
      <c r="AX461" s="488"/>
      <c r="AY461" s="488"/>
      <c r="AZ461" s="488"/>
      <c r="BA461" s="488"/>
      <c r="BB461" s="488"/>
      <c r="BC461" s="488"/>
      <c r="BD461" s="488"/>
    </row>
    <row r="462" spans="3:56">
      <c r="C462" s="488"/>
      <c r="D462" s="488"/>
      <c r="E462" s="488"/>
      <c r="F462" s="488"/>
      <c r="G462" s="488"/>
      <c r="H462" s="488"/>
      <c r="I462" s="488"/>
      <c r="J462" s="488"/>
      <c r="K462" s="488"/>
      <c r="L462" s="488"/>
      <c r="M462" s="488"/>
      <c r="N462" s="488"/>
      <c r="O462" s="488"/>
      <c r="P462" s="488"/>
      <c r="Q462" s="488"/>
      <c r="R462" s="488"/>
      <c r="S462" s="488"/>
      <c r="T462" s="488"/>
      <c r="U462" s="488"/>
      <c r="V462" s="488"/>
      <c r="W462" s="488"/>
      <c r="X462" s="488"/>
      <c r="Y462" s="488"/>
      <c r="Z462" s="488"/>
      <c r="AA462" s="488"/>
      <c r="AB462" s="488"/>
      <c r="AC462" s="488"/>
      <c r="AD462" s="488"/>
      <c r="AE462" s="488"/>
      <c r="AF462" s="488"/>
      <c r="AG462" s="488"/>
      <c r="AH462" s="488"/>
      <c r="AI462" s="488"/>
      <c r="AJ462" s="488"/>
      <c r="AK462" s="488"/>
      <c r="AL462" s="488"/>
      <c r="AM462" s="488"/>
      <c r="AN462" s="488"/>
      <c r="AO462" s="488"/>
      <c r="AP462" s="488"/>
      <c r="AQ462" s="488"/>
      <c r="AR462" s="488"/>
      <c r="AS462" s="488"/>
      <c r="AT462" s="488"/>
      <c r="AU462" s="488"/>
      <c r="AV462" s="488"/>
      <c r="AW462" s="488"/>
      <c r="AX462" s="488"/>
      <c r="AY462" s="488"/>
      <c r="AZ462" s="488"/>
      <c r="BA462" s="488"/>
      <c r="BB462" s="488"/>
      <c r="BC462" s="488"/>
      <c r="BD462" s="488"/>
    </row>
    <row r="463" spans="3:56">
      <c r="C463" s="488"/>
      <c r="D463" s="488"/>
      <c r="E463" s="488"/>
      <c r="F463" s="488"/>
      <c r="G463" s="488"/>
      <c r="H463" s="488"/>
      <c r="I463" s="488"/>
      <c r="J463" s="488"/>
      <c r="K463" s="488"/>
      <c r="L463" s="488"/>
      <c r="M463" s="488"/>
      <c r="N463" s="488"/>
      <c r="O463" s="488"/>
      <c r="P463" s="488"/>
      <c r="Q463" s="488"/>
      <c r="R463" s="488"/>
      <c r="S463" s="488"/>
      <c r="T463" s="488"/>
      <c r="U463" s="488"/>
      <c r="V463" s="488"/>
      <c r="W463" s="488"/>
      <c r="X463" s="488"/>
      <c r="Y463" s="488"/>
      <c r="Z463" s="488"/>
      <c r="AA463" s="488"/>
      <c r="AB463" s="488"/>
      <c r="AC463" s="488"/>
      <c r="AD463" s="488"/>
      <c r="AE463" s="488"/>
      <c r="AF463" s="488"/>
      <c r="AG463" s="488"/>
      <c r="AH463" s="488"/>
      <c r="AI463" s="488"/>
      <c r="AJ463" s="488"/>
      <c r="AK463" s="488"/>
      <c r="AL463" s="488"/>
      <c r="AM463" s="488"/>
      <c r="AN463" s="488"/>
      <c r="AO463" s="488"/>
      <c r="AP463" s="488"/>
      <c r="AQ463" s="488"/>
      <c r="AR463" s="488"/>
      <c r="AS463" s="488"/>
      <c r="AT463" s="488"/>
      <c r="AU463" s="488"/>
      <c r="AV463" s="488"/>
      <c r="AW463" s="488"/>
      <c r="AX463" s="488"/>
      <c r="AY463" s="488"/>
      <c r="AZ463" s="488"/>
      <c r="BA463" s="488"/>
      <c r="BB463" s="488"/>
      <c r="BC463" s="488"/>
      <c r="BD463" s="488"/>
    </row>
    <row r="464" spans="3:56">
      <c r="C464" s="488"/>
      <c r="D464" s="488"/>
      <c r="E464" s="488"/>
      <c r="F464" s="488"/>
      <c r="G464" s="488"/>
      <c r="H464" s="488"/>
      <c r="I464" s="488"/>
      <c r="J464" s="488"/>
      <c r="K464" s="488"/>
      <c r="L464" s="488"/>
      <c r="M464" s="488"/>
      <c r="N464" s="488"/>
      <c r="O464" s="488"/>
      <c r="P464" s="488"/>
      <c r="Q464" s="488"/>
      <c r="R464" s="488"/>
      <c r="S464" s="488"/>
      <c r="T464" s="488"/>
      <c r="U464" s="488"/>
      <c r="V464" s="488"/>
      <c r="W464" s="488"/>
      <c r="X464" s="488"/>
      <c r="Y464" s="488"/>
      <c r="Z464" s="488"/>
      <c r="AA464" s="488"/>
      <c r="AB464" s="488"/>
      <c r="AC464" s="488"/>
      <c r="AD464" s="488"/>
      <c r="AE464" s="488"/>
      <c r="AF464" s="488"/>
      <c r="AG464" s="488"/>
      <c r="AH464" s="488"/>
      <c r="AI464" s="488"/>
      <c r="AJ464" s="488"/>
      <c r="AK464" s="488"/>
      <c r="AL464" s="488"/>
      <c r="AM464" s="488"/>
      <c r="AN464" s="488"/>
      <c r="AO464" s="488"/>
      <c r="AP464" s="488"/>
      <c r="AQ464" s="488"/>
      <c r="AR464" s="488"/>
      <c r="AS464" s="488"/>
      <c r="AT464" s="488"/>
      <c r="AU464" s="488"/>
      <c r="AV464" s="488"/>
      <c r="AW464" s="488"/>
      <c r="AX464" s="488"/>
      <c r="AY464" s="488"/>
      <c r="AZ464" s="488"/>
      <c r="BA464" s="488"/>
      <c r="BB464" s="488"/>
      <c r="BC464" s="488"/>
      <c r="BD464" s="488"/>
    </row>
    <row r="465" spans="3:56">
      <c r="C465" s="488"/>
      <c r="D465" s="488"/>
      <c r="E465" s="488"/>
      <c r="F465" s="488"/>
      <c r="G465" s="488"/>
      <c r="H465" s="488"/>
      <c r="I465" s="488"/>
      <c r="J465" s="488"/>
      <c r="K465" s="488"/>
      <c r="L465" s="488"/>
      <c r="M465" s="488"/>
      <c r="N465" s="488"/>
      <c r="O465" s="488"/>
      <c r="P465" s="488"/>
      <c r="Q465" s="488"/>
      <c r="R465" s="488"/>
      <c r="S465" s="488"/>
      <c r="T465" s="488"/>
      <c r="U465" s="488"/>
      <c r="V465" s="488"/>
      <c r="W465" s="488"/>
      <c r="X465" s="488"/>
      <c r="Y465" s="488"/>
      <c r="Z465" s="488"/>
      <c r="AA465" s="488"/>
      <c r="AB465" s="488"/>
      <c r="AC465" s="488"/>
      <c r="AD465" s="488"/>
      <c r="AE465" s="488"/>
      <c r="AF465" s="488"/>
      <c r="AG465" s="488"/>
      <c r="AH465" s="488"/>
      <c r="AI465" s="488"/>
      <c r="AJ465" s="488"/>
      <c r="AK465" s="488"/>
      <c r="AL465" s="488"/>
      <c r="AM465" s="488"/>
      <c r="AN465" s="488"/>
      <c r="AO465" s="488"/>
      <c r="AP465" s="488"/>
      <c r="AQ465" s="488"/>
      <c r="AR465" s="488"/>
      <c r="AS465" s="488"/>
      <c r="AT465" s="488"/>
      <c r="AU465" s="488"/>
      <c r="AV465" s="488"/>
      <c r="AW465" s="488"/>
      <c r="AX465" s="488"/>
      <c r="AY465" s="488"/>
      <c r="AZ465" s="488"/>
      <c r="BA465" s="488"/>
      <c r="BB465" s="488"/>
      <c r="BC465" s="488"/>
      <c r="BD465" s="488"/>
    </row>
    <row r="466" spans="3:56">
      <c r="C466" s="488"/>
      <c r="D466" s="488"/>
      <c r="E466" s="488"/>
      <c r="F466" s="488"/>
      <c r="G466" s="488"/>
      <c r="H466" s="488"/>
      <c r="I466" s="488"/>
      <c r="J466" s="488"/>
      <c r="K466" s="488"/>
      <c r="L466" s="488"/>
      <c r="M466" s="488"/>
      <c r="N466" s="488"/>
      <c r="O466" s="488"/>
      <c r="P466" s="488"/>
      <c r="Q466" s="488"/>
      <c r="R466" s="488"/>
      <c r="S466" s="488"/>
      <c r="T466" s="488"/>
      <c r="U466" s="488"/>
      <c r="V466" s="488"/>
      <c r="W466" s="488"/>
      <c r="X466" s="488"/>
      <c r="Y466" s="488"/>
      <c r="Z466" s="488"/>
      <c r="AA466" s="488"/>
      <c r="AB466" s="488"/>
      <c r="AC466" s="488"/>
      <c r="AD466" s="488"/>
      <c r="AE466" s="488"/>
      <c r="AF466" s="488"/>
      <c r="AG466" s="488"/>
      <c r="AH466" s="488"/>
      <c r="AI466" s="488"/>
      <c r="AJ466" s="488"/>
      <c r="AK466" s="488"/>
      <c r="AL466" s="488"/>
      <c r="AM466" s="488"/>
      <c r="AN466" s="488"/>
      <c r="AO466" s="488"/>
      <c r="AP466" s="488"/>
      <c r="AQ466" s="488"/>
      <c r="AR466" s="488"/>
      <c r="AS466" s="488"/>
      <c r="AT466" s="488"/>
      <c r="AU466" s="488"/>
      <c r="AV466" s="488"/>
      <c r="AW466" s="488"/>
      <c r="AX466" s="488"/>
      <c r="AY466" s="488"/>
      <c r="AZ466" s="488"/>
      <c r="BA466" s="488"/>
      <c r="BB466" s="488"/>
      <c r="BC466" s="488"/>
      <c r="BD466" s="488"/>
    </row>
    <row r="467" spans="3:56">
      <c r="C467" s="488"/>
      <c r="D467" s="488"/>
      <c r="E467" s="488"/>
      <c r="F467" s="488"/>
      <c r="G467" s="488"/>
      <c r="H467" s="488"/>
      <c r="I467" s="488"/>
      <c r="J467" s="488"/>
      <c r="K467" s="488"/>
      <c r="L467" s="488"/>
      <c r="M467" s="488"/>
      <c r="N467" s="488"/>
      <c r="O467" s="488"/>
      <c r="P467" s="488"/>
      <c r="Q467" s="488"/>
      <c r="R467" s="488"/>
      <c r="S467" s="488"/>
      <c r="T467" s="488"/>
      <c r="U467" s="488"/>
      <c r="V467" s="488"/>
      <c r="W467" s="488"/>
      <c r="X467" s="488"/>
      <c r="Y467" s="488"/>
      <c r="Z467" s="488"/>
      <c r="AA467" s="488"/>
      <c r="AB467" s="488"/>
      <c r="AC467" s="488"/>
      <c r="AD467" s="488"/>
      <c r="AE467" s="488"/>
      <c r="AF467" s="488"/>
      <c r="AG467" s="488"/>
      <c r="AH467" s="488"/>
      <c r="AI467" s="488"/>
      <c r="AJ467" s="488"/>
      <c r="AK467" s="488"/>
      <c r="AL467" s="488"/>
      <c r="AM467" s="488"/>
      <c r="AN467" s="488"/>
      <c r="AO467" s="488"/>
      <c r="AP467" s="488"/>
      <c r="AQ467" s="488"/>
      <c r="AR467" s="488"/>
      <c r="AS467" s="488"/>
      <c r="AT467" s="488"/>
      <c r="AU467" s="488"/>
      <c r="AV467" s="488"/>
      <c r="AW467" s="488"/>
      <c r="AX467" s="488"/>
      <c r="AY467" s="488"/>
      <c r="AZ467" s="488"/>
      <c r="BA467" s="488"/>
      <c r="BB467" s="488"/>
      <c r="BC467" s="488"/>
      <c r="BD467" s="488"/>
    </row>
    <row r="468" spans="3:56">
      <c r="C468" s="488"/>
      <c r="D468" s="488"/>
      <c r="E468" s="488"/>
      <c r="F468" s="488"/>
      <c r="G468" s="488"/>
      <c r="H468" s="488"/>
      <c r="I468" s="488"/>
      <c r="J468" s="488"/>
      <c r="K468" s="488"/>
      <c r="L468" s="488"/>
      <c r="M468" s="488"/>
      <c r="N468" s="488"/>
      <c r="O468" s="488"/>
      <c r="P468" s="488"/>
      <c r="Q468" s="488"/>
      <c r="R468" s="488"/>
      <c r="S468" s="488"/>
      <c r="T468" s="488"/>
      <c r="U468" s="488"/>
      <c r="V468" s="488"/>
      <c r="W468" s="488"/>
      <c r="X468" s="488"/>
      <c r="Y468" s="488"/>
      <c r="Z468" s="488"/>
      <c r="AA468" s="488"/>
      <c r="AB468" s="488"/>
      <c r="AC468" s="488"/>
      <c r="AD468" s="488"/>
      <c r="AE468" s="488"/>
      <c r="AF468" s="488"/>
      <c r="AG468" s="488"/>
      <c r="AH468" s="488"/>
      <c r="AI468" s="488"/>
      <c r="AJ468" s="488"/>
      <c r="AK468" s="488"/>
      <c r="AL468" s="488"/>
      <c r="AM468" s="488"/>
      <c r="AN468" s="488"/>
      <c r="AO468" s="488"/>
      <c r="AP468" s="488"/>
      <c r="AQ468" s="488"/>
      <c r="AR468" s="488"/>
      <c r="AS468" s="488"/>
      <c r="AT468" s="488"/>
      <c r="AU468" s="488"/>
      <c r="AV468" s="488"/>
      <c r="AW468" s="488"/>
      <c r="AX468" s="488"/>
      <c r="AY468" s="488"/>
      <c r="AZ468" s="488"/>
      <c r="BA468" s="488"/>
      <c r="BB468" s="488"/>
      <c r="BC468" s="488"/>
      <c r="BD468" s="488"/>
    </row>
    <row r="469" spans="3:56">
      <c r="C469" s="488"/>
      <c r="D469" s="488"/>
      <c r="E469" s="488"/>
      <c r="F469" s="488"/>
      <c r="G469" s="488"/>
      <c r="H469" s="488"/>
      <c r="I469" s="488"/>
      <c r="J469" s="488"/>
      <c r="K469" s="488"/>
      <c r="L469" s="488"/>
      <c r="M469" s="488"/>
      <c r="N469" s="488"/>
      <c r="O469" s="488"/>
      <c r="P469" s="488"/>
      <c r="Q469" s="488"/>
      <c r="R469" s="488"/>
      <c r="S469" s="488"/>
      <c r="T469" s="488"/>
      <c r="U469" s="488"/>
      <c r="V469" s="488"/>
      <c r="W469" s="488"/>
      <c r="X469" s="488"/>
      <c r="Y469" s="488"/>
      <c r="Z469" s="488"/>
      <c r="AA469" s="488"/>
      <c r="AB469" s="488"/>
      <c r="AC469" s="488"/>
      <c r="AD469" s="488"/>
      <c r="AE469" s="488"/>
      <c r="AF469" s="488"/>
      <c r="AG469" s="488"/>
      <c r="AH469" s="488"/>
      <c r="AI469" s="488"/>
      <c r="AJ469" s="488"/>
      <c r="AK469" s="488"/>
      <c r="AL469" s="488"/>
      <c r="AM469" s="488"/>
      <c r="AN469" s="488"/>
      <c r="AO469" s="488"/>
      <c r="AP469" s="488"/>
      <c r="AQ469" s="488"/>
      <c r="AR469" s="488"/>
      <c r="AS469" s="488"/>
      <c r="AT469" s="488"/>
      <c r="AU469" s="488"/>
      <c r="AV469" s="488"/>
      <c r="AW469" s="488"/>
      <c r="AX469" s="488"/>
      <c r="AY469" s="488"/>
      <c r="AZ469" s="488"/>
      <c r="BA469" s="488"/>
      <c r="BB469" s="488"/>
      <c r="BC469" s="488"/>
      <c r="BD469" s="488"/>
    </row>
    <row r="470" spans="3:56">
      <c r="C470" s="488"/>
      <c r="D470" s="488"/>
      <c r="E470" s="488"/>
      <c r="F470" s="488"/>
      <c r="G470" s="488"/>
      <c r="H470" s="488"/>
      <c r="I470" s="488"/>
      <c r="J470" s="488"/>
      <c r="K470" s="488"/>
      <c r="L470" s="488"/>
      <c r="M470" s="488"/>
      <c r="N470" s="488"/>
      <c r="O470" s="488"/>
      <c r="P470" s="488"/>
      <c r="Q470" s="488"/>
      <c r="R470" s="488"/>
      <c r="S470" s="488"/>
      <c r="T470" s="488"/>
      <c r="U470" s="488"/>
      <c r="V470" s="488"/>
      <c r="W470" s="488"/>
      <c r="X470" s="488"/>
      <c r="Y470" s="488"/>
      <c r="Z470" s="488"/>
      <c r="AA470" s="488"/>
      <c r="AB470" s="488"/>
      <c r="AC470" s="488"/>
      <c r="AD470" s="488"/>
      <c r="AE470" s="488"/>
      <c r="AF470" s="488"/>
      <c r="AG470" s="488"/>
      <c r="AH470" s="488"/>
      <c r="AI470" s="488"/>
      <c r="AJ470" s="488"/>
      <c r="AK470" s="488"/>
      <c r="AL470" s="488"/>
      <c r="AM470" s="488"/>
      <c r="AN470" s="488"/>
      <c r="AO470" s="488"/>
      <c r="AP470" s="488"/>
      <c r="AQ470" s="488"/>
      <c r="AR470" s="488"/>
      <c r="AS470" s="488"/>
      <c r="AT470" s="488"/>
      <c r="AU470" s="488"/>
      <c r="AV470" s="488"/>
      <c r="AW470" s="488"/>
      <c r="AX470" s="488"/>
      <c r="AY470" s="488"/>
      <c r="AZ470" s="488"/>
      <c r="BA470" s="488"/>
      <c r="BB470" s="488"/>
      <c r="BC470" s="488"/>
      <c r="BD470" s="488"/>
    </row>
    <row r="471" spans="3:56">
      <c r="C471" s="488"/>
      <c r="D471" s="488"/>
      <c r="E471" s="488"/>
      <c r="F471" s="488"/>
      <c r="G471" s="488"/>
      <c r="H471" s="488"/>
      <c r="I471" s="488"/>
      <c r="J471" s="488"/>
      <c r="K471" s="488"/>
      <c r="L471" s="488"/>
      <c r="M471" s="488"/>
      <c r="N471" s="488"/>
      <c r="O471" s="488"/>
      <c r="P471" s="488"/>
      <c r="Q471" s="488"/>
      <c r="R471" s="488"/>
      <c r="S471" s="488"/>
      <c r="T471" s="488"/>
      <c r="U471" s="488"/>
      <c r="V471" s="488"/>
      <c r="W471" s="488"/>
      <c r="X471" s="488"/>
      <c r="Y471" s="488"/>
      <c r="Z471" s="488"/>
      <c r="AA471" s="488"/>
      <c r="AB471" s="488"/>
      <c r="AC471" s="488"/>
      <c r="AD471" s="488"/>
      <c r="AE471" s="488"/>
      <c r="AF471" s="488"/>
      <c r="AG471" s="488"/>
      <c r="AH471" s="488"/>
      <c r="AI471" s="488"/>
      <c r="AJ471" s="488"/>
      <c r="AK471" s="488"/>
      <c r="AL471" s="488"/>
      <c r="AM471" s="488"/>
      <c r="AN471" s="488"/>
      <c r="AO471" s="488"/>
      <c r="AP471" s="488"/>
      <c r="AQ471" s="488"/>
      <c r="AR471" s="488"/>
      <c r="AS471" s="488"/>
      <c r="AT471" s="488"/>
      <c r="AU471" s="488"/>
      <c r="AV471" s="488"/>
      <c r="AW471" s="488"/>
      <c r="AX471" s="488"/>
      <c r="AY471" s="488"/>
      <c r="AZ471" s="488"/>
      <c r="BA471" s="488"/>
      <c r="BB471" s="488"/>
      <c r="BC471" s="488"/>
      <c r="BD471" s="488"/>
    </row>
    <row r="472" spans="3:56">
      <c r="C472" s="488"/>
      <c r="D472" s="488"/>
      <c r="E472" s="488"/>
      <c r="F472" s="488"/>
      <c r="G472" s="488"/>
      <c r="H472" s="488"/>
      <c r="I472" s="488"/>
      <c r="J472" s="488"/>
      <c r="K472" s="488"/>
      <c r="L472" s="488"/>
      <c r="M472" s="488"/>
      <c r="N472" s="488"/>
      <c r="O472" s="488"/>
      <c r="P472" s="488"/>
      <c r="Q472" s="488"/>
      <c r="R472" s="488"/>
      <c r="S472" s="488"/>
      <c r="T472" s="488"/>
      <c r="U472" s="488"/>
      <c r="V472" s="488"/>
      <c r="W472" s="488"/>
      <c r="X472" s="488"/>
      <c r="Y472" s="488"/>
      <c r="Z472" s="488"/>
      <c r="AA472" s="488"/>
      <c r="AB472" s="488"/>
      <c r="AC472" s="488"/>
      <c r="AD472" s="488"/>
      <c r="AE472" s="488"/>
      <c r="AF472" s="488"/>
      <c r="AG472" s="488"/>
      <c r="AH472" s="488"/>
      <c r="AI472" s="488"/>
      <c r="AJ472" s="488"/>
      <c r="AK472" s="488"/>
      <c r="AL472" s="488"/>
      <c r="AM472" s="488"/>
      <c r="AN472" s="488"/>
      <c r="AO472" s="488"/>
      <c r="AP472" s="488"/>
      <c r="AQ472" s="488"/>
      <c r="AR472" s="488"/>
      <c r="AS472" s="488"/>
      <c r="AT472" s="488"/>
      <c r="AU472" s="488"/>
      <c r="AV472" s="488"/>
      <c r="AW472" s="488"/>
      <c r="AX472" s="488"/>
      <c r="AY472" s="488"/>
      <c r="AZ472" s="488"/>
      <c r="BA472" s="488"/>
      <c r="BB472" s="488"/>
      <c r="BC472" s="488"/>
      <c r="BD472" s="488"/>
    </row>
    <row r="473" spans="3:56">
      <c r="C473" s="488"/>
      <c r="D473" s="488"/>
      <c r="E473" s="488"/>
      <c r="F473" s="488"/>
      <c r="G473" s="488"/>
      <c r="H473" s="488"/>
      <c r="I473" s="488"/>
      <c r="J473" s="488"/>
      <c r="K473" s="488"/>
      <c r="L473" s="488"/>
      <c r="M473" s="488"/>
      <c r="N473" s="488"/>
      <c r="O473" s="488"/>
      <c r="P473" s="488"/>
      <c r="Q473" s="488"/>
      <c r="R473" s="488"/>
      <c r="S473" s="488"/>
      <c r="T473" s="488"/>
      <c r="U473" s="488"/>
      <c r="V473" s="488"/>
      <c r="W473" s="488"/>
      <c r="X473" s="488"/>
      <c r="Y473" s="488"/>
      <c r="Z473" s="488"/>
      <c r="AA473" s="488"/>
      <c r="AB473" s="488"/>
      <c r="AC473" s="488"/>
      <c r="AD473" s="488"/>
      <c r="AE473" s="488"/>
      <c r="AF473" s="488"/>
      <c r="AG473" s="488"/>
      <c r="AH473" s="488"/>
      <c r="AI473" s="488"/>
      <c r="AJ473" s="488"/>
      <c r="AK473" s="488"/>
      <c r="AL473" s="488"/>
      <c r="AM473" s="488"/>
      <c r="AN473" s="488"/>
      <c r="AO473" s="488"/>
      <c r="AP473" s="488"/>
      <c r="AQ473" s="488"/>
      <c r="AR473" s="488"/>
      <c r="AS473" s="488"/>
      <c r="AT473" s="488"/>
      <c r="AU473" s="488"/>
      <c r="AV473" s="488"/>
      <c r="AW473" s="488"/>
      <c r="AX473" s="488"/>
      <c r="AY473" s="488"/>
      <c r="AZ473" s="488"/>
      <c r="BA473" s="488"/>
      <c r="BB473" s="488"/>
      <c r="BC473" s="488"/>
      <c r="BD473" s="488"/>
    </row>
    <row r="474" spans="3:56">
      <c r="C474" s="488"/>
      <c r="D474" s="488"/>
      <c r="E474" s="488"/>
      <c r="F474" s="488"/>
      <c r="G474" s="488"/>
      <c r="H474" s="488"/>
      <c r="I474" s="488"/>
      <c r="J474" s="488"/>
      <c r="K474" s="488"/>
      <c r="L474" s="488"/>
      <c r="M474" s="488"/>
      <c r="N474" s="488"/>
      <c r="O474" s="488"/>
      <c r="P474" s="488"/>
      <c r="Q474" s="488"/>
      <c r="R474" s="488"/>
      <c r="S474" s="488"/>
      <c r="T474" s="488"/>
      <c r="U474" s="488"/>
      <c r="V474" s="488"/>
      <c r="W474" s="488"/>
      <c r="X474" s="488"/>
      <c r="Y474" s="488"/>
      <c r="Z474" s="488"/>
      <c r="AA474" s="488"/>
      <c r="AB474" s="488"/>
      <c r="AC474" s="488"/>
      <c r="AD474" s="488"/>
      <c r="AE474" s="488"/>
      <c r="AF474" s="488"/>
      <c r="AG474" s="488"/>
      <c r="AH474" s="488"/>
      <c r="AI474" s="488"/>
      <c r="AJ474" s="488"/>
      <c r="AK474" s="488"/>
      <c r="AL474" s="488"/>
      <c r="AM474" s="488"/>
      <c r="AN474" s="488"/>
      <c r="AO474" s="488"/>
      <c r="AP474" s="488"/>
      <c r="AQ474" s="488"/>
      <c r="AR474" s="488"/>
      <c r="AS474" s="488"/>
      <c r="AT474" s="488"/>
      <c r="AU474" s="488"/>
      <c r="AV474" s="488"/>
      <c r="AW474" s="488"/>
      <c r="AX474" s="488"/>
      <c r="AY474" s="488"/>
      <c r="AZ474" s="488"/>
      <c r="BA474" s="488"/>
      <c r="BB474" s="488"/>
      <c r="BC474" s="488"/>
      <c r="BD474" s="488"/>
    </row>
    <row r="475" spans="3:56">
      <c r="C475" s="488"/>
      <c r="D475" s="488"/>
      <c r="E475" s="488"/>
      <c r="F475" s="488"/>
      <c r="G475" s="488"/>
      <c r="H475" s="488"/>
      <c r="I475" s="488"/>
      <c r="J475" s="488"/>
      <c r="K475" s="488"/>
      <c r="L475" s="488"/>
      <c r="M475" s="488"/>
      <c r="N475" s="488"/>
      <c r="O475" s="488"/>
      <c r="P475" s="488"/>
      <c r="Q475" s="488"/>
      <c r="R475" s="488"/>
      <c r="S475" s="488"/>
      <c r="T475" s="488"/>
      <c r="U475" s="488"/>
      <c r="V475" s="488"/>
      <c r="W475" s="488"/>
      <c r="X475" s="488"/>
      <c r="Y475" s="488"/>
      <c r="Z475" s="488"/>
      <c r="AA475" s="488"/>
      <c r="AB475" s="488"/>
      <c r="AC475" s="488"/>
      <c r="AD475" s="488"/>
      <c r="AE475" s="488"/>
      <c r="AF475" s="488"/>
      <c r="AG475" s="488"/>
      <c r="AH475" s="488"/>
      <c r="AI475" s="488"/>
      <c r="AJ475" s="488"/>
      <c r="AK475" s="488"/>
      <c r="AL475" s="488"/>
      <c r="AM475" s="488"/>
      <c r="AN475" s="488"/>
      <c r="AO475" s="488"/>
      <c r="AP475" s="488"/>
      <c r="AQ475" s="488"/>
      <c r="AR475" s="488"/>
      <c r="AS475" s="488"/>
      <c r="AT475" s="488"/>
      <c r="AU475" s="488"/>
      <c r="AV475" s="488"/>
      <c r="AW475" s="488"/>
      <c r="AX475" s="488"/>
      <c r="AY475" s="488"/>
      <c r="AZ475" s="488"/>
      <c r="BA475" s="488"/>
      <c r="BB475" s="488"/>
      <c r="BC475" s="488"/>
      <c r="BD475" s="488"/>
    </row>
    <row r="476" spans="3:56">
      <c r="C476" s="488"/>
      <c r="D476" s="488"/>
      <c r="E476" s="488"/>
      <c r="F476" s="488"/>
      <c r="G476" s="488"/>
      <c r="H476" s="488"/>
      <c r="I476" s="488"/>
      <c r="J476" s="488"/>
      <c r="K476" s="488"/>
      <c r="L476" s="488"/>
      <c r="M476" s="488"/>
      <c r="N476" s="488"/>
      <c r="O476" s="488"/>
      <c r="P476" s="488"/>
      <c r="Q476" s="488"/>
      <c r="R476" s="488"/>
      <c r="S476" s="488"/>
      <c r="T476" s="488"/>
      <c r="U476" s="488"/>
      <c r="V476" s="488"/>
      <c r="W476" s="488"/>
      <c r="X476" s="488"/>
      <c r="Y476" s="488"/>
      <c r="Z476" s="488"/>
      <c r="AA476" s="488"/>
      <c r="AB476" s="488"/>
      <c r="AC476" s="488"/>
      <c r="AD476" s="488"/>
      <c r="AE476" s="488"/>
      <c r="AF476" s="488"/>
      <c r="AG476" s="488"/>
      <c r="AH476" s="488"/>
      <c r="AI476" s="488"/>
      <c r="AJ476" s="488"/>
      <c r="AK476" s="488"/>
      <c r="AL476" s="488"/>
      <c r="AM476" s="488"/>
      <c r="AN476" s="488"/>
      <c r="AO476" s="488"/>
      <c r="AP476" s="488"/>
      <c r="AQ476" s="488"/>
      <c r="AR476" s="488"/>
      <c r="AS476" s="488"/>
      <c r="AT476" s="488"/>
      <c r="AU476" s="488"/>
      <c r="AV476" s="488"/>
      <c r="AW476" s="488"/>
      <c r="AX476" s="488"/>
      <c r="AY476" s="488"/>
      <c r="AZ476" s="488"/>
      <c r="BA476" s="488"/>
      <c r="BB476" s="488"/>
      <c r="BC476" s="488"/>
      <c r="BD476" s="488"/>
    </row>
    <row r="477" spans="3:56">
      <c r="C477" s="488"/>
      <c r="D477" s="488"/>
      <c r="E477" s="488"/>
      <c r="F477" s="488"/>
      <c r="G477" s="488"/>
      <c r="H477" s="488"/>
      <c r="I477" s="488"/>
      <c r="J477" s="488"/>
      <c r="K477" s="488"/>
      <c r="L477" s="488"/>
      <c r="M477" s="488"/>
      <c r="N477" s="488"/>
      <c r="O477" s="488"/>
      <c r="P477" s="488"/>
      <c r="Q477" s="488"/>
      <c r="R477" s="488"/>
      <c r="S477" s="488"/>
      <c r="T477" s="488"/>
      <c r="U477" s="488"/>
      <c r="V477" s="488"/>
      <c r="W477" s="488"/>
      <c r="X477" s="488"/>
      <c r="Y477" s="488"/>
      <c r="Z477" s="488"/>
      <c r="AA477" s="488"/>
      <c r="AB477" s="488"/>
      <c r="AC477" s="488"/>
      <c r="AD477" s="488"/>
      <c r="AE477" s="488"/>
      <c r="AF477" s="488"/>
      <c r="AG477" s="488"/>
      <c r="AH477" s="488"/>
      <c r="AI477" s="488"/>
      <c r="AJ477" s="488"/>
      <c r="AK477" s="488"/>
      <c r="AL477" s="488"/>
      <c r="AM477" s="488"/>
      <c r="AN477" s="488"/>
      <c r="AO477" s="488"/>
      <c r="AP477" s="488"/>
      <c r="AQ477" s="488"/>
      <c r="AR477" s="488"/>
      <c r="AS477" s="488"/>
      <c r="AT477" s="488"/>
      <c r="AU477" s="488"/>
      <c r="AV477" s="488"/>
      <c r="AW477" s="488"/>
      <c r="AX477" s="488"/>
      <c r="AY477" s="488"/>
      <c r="AZ477" s="488"/>
      <c r="BA477" s="488"/>
      <c r="BB477" s="488"/>
      <c r="BC477" s="488"/>
      <c r="BD477" s="488"/>
    </row>
    <row r="478" spans="3:56">
      <c r="C478" s="488"/>
      <c r="D478" s="488"/>
      <c r="E478" s="488"/>
      <c r="F478" s="488"/>
      <c r="G478" s="488"/>
      <c r="H478" s="488"/>
      <c r="I478" s="488"/>
      <c r="J478" s="488"/>
      <c r="K478" s="488"/>
      <c r="L478" s="488"/>
      <c r="M478" s="488"/>
      <c r="N478" s="488"/>
      <c r="O478" s="488"/>
      <c r="P478" s="488"/>
      <c r="Q478" s="488"/>
      <c r="R478" s="488"/>
      <c r="S478" s="488"/>
      <c r="T478" s="488"/>
      <c r="U478" s="488"/>
      <c r="V478" s="488"/>
      <c r="W478" s="488"/>
      <c r="X478" s="488"/>
      <c r="Y478" s="488"/>
      <c r="Z478" s="488"/>
      <c r="AA478" s="488"/>
      <c r="AB478" s="488"/>
      <c r="AC478" s="488"/>
      <c r="AD478" s="488"/>
      <c r="AE478" s="488"/>
      <c r="AF478" s="488"/>
      <c r="AG478" s="488"/>
      <c r="AH478" s="488"/>
      <c r="AI478" s="488"/>
      <c r="AJ478" s="488"/>
      <c r="AK478" s="488"/>
      <c r="AL478" s="488"/>
      <c r="AM478" s="488"/>
      <c r="AN478" s="488"/>
      <c r="AO478" s="488"/>
      <c r="AP478" s="488"/>
      <c r="AQ478" s="488"/>
      <c r="AR478" s="488"/>
      <c r="AS478" s="488"/>
      <c r="AT478" s="488"/>
      <c r="AU478" s="488"/>
      <c r="AV478" s="488"/>
      <c r="AW478" s="488"/>
      <c r="AX478" s="488"/>
      <c r="AY478" s="488"/>
      <c r="AZ478" s="488"/>
      <c r="BA478" s="488"/>
      <c r="BB478" s="488"/>
      <c r="BC478" s="488"/>
      <c r="BD478" s="488"/>
    </row>
    <row r="479" spans="3:56">
      <c r="C479" s="488"/>
      <c r="D479" s="488"/>
      <c r="E479" s="488"/>
      <c r="F479" s="488"/>
      <c r="G479" s="488"/>
      <c r="H479" s="488"/>
      <c r="I479" s="488"/>
      <c r="J479" s="488"/>
      <c r="K479" s="488"/>
      <c r="L479" s="488"/>
      <c r="M479" s="488"/>
      <c r="N479" s="488"/>
      <c r="O479" s="488"/>
      <c r="P479" s="488"/>
      <c r="Q479" s="488"/>
      <c r="R479" s="488"/>
      <c r="S479" s="488"/>
      <c r="T479" s="488"/>
      <c r="U479" s="488"/>
      <c r="V479" s="488"/>
      <c r="W479" s="488"/>
      <c r="X479" s="488"/>
      <c r="Y479" s="488"/>
      <c r="Z479" s="488"/>
      <c r="AA479" s="488"/>
      <c r="AB479" s="488"/>
      <c r="AC479" s="488"/>
      <c r="AD479" s="488"/>
      <c r="AE479" s="488"/>
      <c r="AF479" s="488"/>
      <c r="AG479" s="488"/>
      <c r="AH479" s="488"/>
      <c r="AI479" s="488"/>
      <c r="AJ479" s="488"/>
      <c r="AK479" s="488"/>
      <c r="AL479" s="488"/>
      <c r="AM479" s="488"/>
      <c r="AN479" s="488"/>
      <c r="AO479" s="488"/>
      <c r="AP479" s="488"/>
      <c r="AQ479" s="488"/>
      <c r="AR479" s="488"/>
      <c r="AS479" s="488"/>
      <c r="AT479" s="488"/>
      <c r="AU479" s="488"/>
      <c r="AV479" s="488"/>
      <c r="AW479" s="488"/>
      <c r="AX479" s="488"/>
      <c r="AY479" s="488"/>
      <c r="AZ479" s="488"/>
      <c r="BA479" s="488"/>
      <c r="BB479" s="488"/>
      <c r="BC479" s="488"/>
      <c r="BD479" s="488"/>
    </row>
    <row r="480" spans="3:56">
      <c r="C480" s="488"/>
      <c r="D480" s="488"/>
      <c r="E480" s="488"/>
      <c r="F480" s="488"/>
      <c r="G480" s="488"/>
      <c r="H480" s="488"/>
      <c r="I480" s="488"/>
      <c r="J480" s="488"/>
      <c r="K480" s="488"/>
      <c r="L480" s="488"/>
      <c r="M480" s="488"/>
      <c r="N480" s="488"/>
      <c r="O480" s="488"/>
      <c r="P480" s="488"/>
      <c r="Q480" s="488"/>
      <c r="R480" s="488"/>
      <c r="S480" s="488"/>
      <c r="T480" s="488"/>
      <c r="U480" s="488"/>
      <c r="V480" s="488"/>
      <c r="W480" s="488"/>
      <c r="X480" s="488"/>
      <c r="Y480" s="488"/>
      <c r="Z480" s="488"/>
      <c r="AA480" s="488"/>
      <c r="AB480" s="488"/>
      <c r="AC480" s="488"/>
      <c r="AD480" s="488"/>
      <c r="AE480" s="488"/>
      <c r="AF480" s="488"/>
      <c r="AG480" s="488"/>
      <c r="AH480" s="488"/>
      <c r="AI480" s="488"/>
      <c r="AJ480" s="488"/>
      <c r="AK480" s="488"/>
      <c r="AL480" s="488"/>
      <c r="AM480" s="488"/>
      <c r="AN480" s="488"/>
      <c r="AO480" s="488"/>
      <c r="AP480" s="488"/>
      <c r="AQ480" s="488"/>
      <c r="AR480" s="488"/>
      <c r="AS480" s="488"/>
      <c r="AT480" s="488"/>
      <c r="AU480" s="488"/>
      <c r="AV480" s="488"/>
      <c r="AW480" s="488"/>
      <c r="AX480" s="488"/>
      <c r="AY480" s="488"/>
      <c r="AZ480" s="488"/>
      <c r="BA480" s="488"/>
      <c r="BB480" s="488"/>
      <c r="BC480" s="488"/>
      <c r="BD480" s="488"/>
    </row>
    <row r="481" spans="3:56">
      <c r="C481" s="488"/>
      <c r="D481" s="488"/>
      <c r="E481" s="488"/>
      <c r="F481" s="488"/>
      <c r="G481" s="488"/>
      <c r="H481" s="488"/>
      <c r="I481" s="488"/>
      <c r="J481" s="488"/>
      <c r="K481" s="488"/>
      <c r="L481" s="488"/>
      <c r="M481" s="488"/>
      <c r="N481" s="488"/>
      <c r="O481" s="488"/>
      <c r="P481" s="488"/>
      <c r="Q481" s="488"/>
      <c r="R481" s="488"/>
      <c r="S481" s="488"/>
      <c r="T481" s="488"/>
      <c r="U481" s="488"/>
      <c r="V481" s="488"/>
      <c r="W481" s="488"/>
      <c r="X481" s="488"/>
      <c r="Y481" s="488"/>
      <c r="Z481" s="488"/>
      <c r="AA481" s="488"/>
      <c r="AB481" s="488"/>
      <c r="AC481" s="488"/>
      <c r="AD481" s="488"/>
      <c r="AE481" s="488"/>
      <c r="AF481" s="488"/>
      <c r="AG481" s="488"/>
      <c r="AH481" s="488"/>
      <c r="AI481" s="488"/>
      <c r="AJ481" s="488"/>
      <c r="AK481" s="488"/>
      <c r="AL481" s="488"/>
      <c r="AM481" s="488"/>
      <c r="AN481" s="488"/>
      <c r="AO481" s="488"/>
      <c r="AP481" s="488"/>
      <c r="AQ481" s="488"/>
      <c r="AR481" s="488"/>
      <c r="AS481" s="488"/>
      <c r="AT481" s="488"/>
      <c r="AU481" s="488"/>
      <c r="AV481" s="488"/>
      <c r="AW481" s="488"/>
      <c r="AX481" s="488"/>
      <c r="AY481" s="488"/>
      <c r="AZ481" s="488"/>
      <c r="BA481" s="488"/>
      <c r="BB481" s="488"/>
      <c r="BC481" s="488"/>
      <c r="BD481" s="488"/>
    </row>
    <row r="482" spans="3:56">
      <c r="C482" s="488"/>
      <c r="D482" s="488"/>
      <c r="E482" s="488"/>
      <c r="F482" s="488"/>
      <c r="G482" s="488"/>
      <c r="H482" s="488"/>
      <c r="I482" s="488"/>
      <c r="J482" s="488"/>
      <c r="K482" s="488"/>
      <c r="L482" s="488"/>
      <c r="M482" s="488"/>
      <c r="N482" s="488"/>
      <c r="O482" s="488"/>
      <c r="P482" s="488"/>
      <c r="Q482" s="488"/>
      <c r="R482" s="488"/>
      <c r="S482" s="488"/>
      <c r="T482" s="488"/>
      <c r="U482" s="488"/>
      <c r="V482" s="488"/>
      <c r="W482" s="488"/>
      <c r="X482" s="488"/>
      <c r="Y482" s="488"/>
      <c r="Z482" s="488"/>
      <c r="AA482" s="488"/>
      <c r="AB482" s="488"/>
      <c r="AC482" s="488"/>
      <c r="AD482" s="488"/>
      <c r="AE482" s="488"/>
      <c r="AF482" s="488"/>
      <c r="AG482" s="488"/>
      <c r="AH482" s="488"/>
      <c r="AI482" s="488"/>
      <c r="AJ482" s="488"/>
      <c r="AK482" s="488"/>
      <c r="AL482" s="488"/>
      <c r="AM482" s="488"/>
      <c r="AN482" s="488"/>
      <c r="AO482" s="488"/>
      <c r="AP482" s="488"/>
      <c r="AQ482" s="488"/>
      <c r="AR482" s="488"/>
      <c r="AS482" s="488"/>
      <c r="AT482" s="488"/>
      <c r="AU482" s="488"/>
      <c r="AV482" s="488"/>
      <c r="AW482" s="488"/>
      <c r="AX482" s="488"/>
      <c r="AY482" s="488"/>
      <c r="AZ482" s="488"/>
      <c r="BA482" s="488"/>
      <c r="BB482" s="488"/>
      <c r="BC482" s="488"/>
      <c r="BD482" s="488"/>
    </row>
    <row r="483" spans="3:56">
      <c r="C483" s="488"/>
      <c r="D483" s="488"/>
      <c r="E483" s="488"/>
      <c r="F483" s="488"/>
      <c r="G483" s="488"/>
      <c r="H483" s="488"/>
      <c r="I483" s="488"/>
      <c r="J483" s="488"/>
      <c r="K483" s="488"/>
      <c r="L483" s="488"/>
      <c r="M483" s="488"/>
      <c r="N483" s="488"/>
      <c r="O483" s="488"/>
      <c r="P483" s="488"/>
      <c r="Q483" s="488"/>
      <c r="R483" s="488"/>
      <c r="S483" s="488"/>
      <c r="T483" s="488"/>
      <c r="U483" s="488"/>
      <c r="V483" s="488"/>
      <c r="W483" s="488"/>
      <c r="X483" s="488"/>
      <c r="Y483" s="488"/>
      <c r="Z483" s="488"/>
      <c r="AA483" s="488"/>
      <c r="AB483" s="488"/>
      <c r="AC483" s="488"/>
      <c r="AD483" s="488"/>
      <c r="AE483" s="488"/>
      <c r="AF483" s="488"/>
      <c r="AG483" s="488"/>
      <c r="AH483" s="488"/>
      <c r="AI483" s="488"/>
      <c r="AJ483" s="488"/>
      <c r="AK483" s="488"/>
      <c r="AL483" s="488"/>
      <c r="AM483" s="488"/>
      <c r="AN483" s="488"/>
      <c r="AO483" s="488"/>
      <c r="AP483" s="488"/>
      <c r="AQ483" s="488"/>
      <c r="AR483" s="488"/>
      <c r="AS483" s="488"/>
      <c r="AT483" s="488"/>
      <c r="AU483" s="488"/>
      <c r="AV483" s="488"/>
      <c r="AW483" s="488"/>
      <c r="AX483" s="488"/>
      <c r="AY483" s="488"/>
      <c r="AZ483" s="488"/>
      <c r="BA483" s="488"/>
      <c r="BB483" s="488"/>
      <c r="BC483" s="488"/>
      <c r="BD483" s="488"/>
    </row>
    <row r="484" spans="3:56">
      <c r="C484" s="488"/>
      <c r="D484" s="488"/>
      <c r="E484" s="488"/>
      <c r="F484" s="488"/>
      <c r="G484" s="488"/>
      <c r="H484" s="488"/>
      <c r="I484" s="488"/>
      <c r="J484" s="488"/>
      <c r="K484" s="488"/>
      <c r="L484" s="488"/>
      <c r="M484" s="488"/>
      <c r="N484" s="488"/>
      <c r="O484" s="488"/>
      <c r="P484" s="488"/>
      <c r="Q484" s="488"/>
      <c r="R484" s="488"/>
      <c r="S484" s="488"/>
      <c r="T484" s="488"/>
      <c r="U484" s="488"/>
      <c r="V484" s="488"/>
      <c r="W484" s="488"/>
      <c r="X484" s="488"/>
      <c r="Y484" s="488"/>
      <c r="Z484" s="488"/>
      <c r="AA484" s="488"/>
      <c r="AB484" s="488"/>
      <c r="AC484" s="488"/>
      <c r="AD484" s="488"/>
      <c r="AE484" s="488"/>
      <c r="AF484" s="488"/>
      <c r="AG484" s="488"/>
      <c r="AH484" s="488"/>
      <c r="AI484" s="488"/>
      <c r="AJ484" s="488"/>
      <c r="AK484" s="488"/>
      <c r="AL484" s="488"/>
      <c r="AM484" s="488"/>
      <c r="AN484" s="488"/>
      <c r="AO484" s="488"/>
      <c r="AP484" s="488"/>
      <c r="AQ484" s="488"/>
      <c r="AR484" s="488"/>
      <c r="AS484" s="488"/>
      <c r="AT484" s="488"/>
      <c r="AU484" s="488"/>
      <c r="AV484" s="488"/>
      <c r="AW484" s="488"/>
      <c r="AX484" s="488"/>
      <c r="AY484" s="488"/>
      <c r="AZ484" s="488"/>
      <c r="BA484" s="488"/>
      <c r="BB484" s="488"/>
      <c r="BC484" s="488"/>
      <c r="BD484" s="488"/>
    </row>
    <row r="485" spans="3:56">
      <c r="C485" s="488"/>
      <c r="D485" s="488"/>
      <c r="E485" s="488"/>
      <c r="F485" s="488"/>
      <c r="G485" s="488"/>
      <c r="H485" s="488"/>
      <c r="I485" s="488"/>
      <c r="J485" s="488"/>
      <c r="K485" s="488"/>
      <c r="L485" s="488"/>
      <c r="M485" s="488"/>
      <c r="N485" s="488"/>
      <c r="O485" s="488"/>
      <c r="P485" s="488"/>
      <c r="Q485" s="488"/>
      <c r="R485" s="488"/>
      <c r="S485" s="488"/>
      <c r="T485" s="488"/>
      <c r="U485" s="488"/>
      <c r="V485" s="488"/>
      <c r="W485" s="488"/>
      <c r="X485" s="488"/>
      <c r="Y485" s="488"/>
      <c r="Z485" s="488"/>
      <c r="AA485" s="488"/>
      <c r="AB485" s="488"/>
      <c r="AC485" s="488"/>
      <c r="AD485" s="488"/>
      <c r="AE485" s="488"/>
      <c r="AF485" s="488"/>
      <c r="AG485" s="488"/>
      <c r="AH485" s="488"/>
      <c r="AI485" s="488"/>
      <c r="AJ485" s="488"/>
      <c r="AK485" s="488"/>
      <c r="AL485" s="488"/>
      <c r="AM485" s="488"/>
      <c r="AN485" s="488"/>
      <c r="AO485" s="488"/>
      <c r="AP485" s="488"/>
      <c r="AQ485" s="488"/>
      <c r="AR485" s="488"/>
      <c r="AS485" s="488"/>
      <c r="AT485" s="488"/>
      <c r="AU485" s="488"/>
      <c r="AV485" s="488"/>
      <c r="AW485" s="488"/>
      <c r="AX485" s="488"/>
      <c r="AY485" s="488"/>
      <c r="AZ485" s="488"/>
      <c r="BA485" s="488"/>
      <c r="BB485" s="488"/>
      <c r="BC485" s="488"/>
      <c r="BD485" s="488"/>
    </row>
    <row r="486" spans="3:56">
      <c r="C486" s="488"/>
      <c r="D486" s="488"/>
      <c r="E486" s="488"/>
      <c r="F486" s="488"/>
      <c r="G486" s="488"/>
      <c r="H486" s="488"/>
      <c r="I486" s="488"/>
      <c r="J486" s="488"/>
      <c r="K486" s="488"/>
      <c r="L486" s="488"/>
      <c r="M486" s="488"/>
      <c r="N486" s="488"/>
      <c r="O486" s="488"/>
      <c r="P486" s="488"/>
      <c r="Q486" s="488"/>
      <c r="R486" s="488"/>
      <c r="S486" s="488"/>
      <c r="T486" s="488"/>
      <c r="U486" s="488"/>
      <c r="V486" s="488"/>
      <c r="W486" s="488"/>
      <c r="X486" s="488"/>
      <c r="Y486" s="488"/>
      <c r="Z486" s="488"/>
      <c r="AA486" s="488"/>
      <c r="AB486" s="488"/>
      <c r="AC486" s="488"/>
      <c r="AD486" s="488"/>
      <c r="AE486" s="488"/>
      <c r="AF486" s="488"/>
      <c r="AG486" s="488"/>
      <c r="AH486" s="488"/>
      <c r="AI486" s="488"/>
      <c r="AJ486" s="488"/>
      <c r="AK486" s="488"/>
      <c r="AL486" s="488"/>
      <c r="AM486" s="488"/>
      <c r="AN486" s="488"/>
      <c r="AO486" s="488"/>
      <c r="AP486" s="488"/>
      <c r="AQ486" s="488"/>
      <c r="AR486" s="488"/>
      <c r="AS486" s="488"/>
      <c r="AT486" s="488"/>
      <c r="AU486" s="488"/>
      <c r="AV486" s="488"/>
      <c r="AW486" s="488"/>
      <c r="AX486" s="488"/>
      <c r="AY486" s="488"/>
      <c r="AZ486" s="488"/>
      <c r="BA486" s="488"/>
      <c r="BB486" s="488"/>
      <c r="BC486" s="488"/>
      <c r="BD486" s="488"/>
    </row>
    <row r="487" spans="3:56">
      <c r="C487" s="488"/>
      <c r="D487" s="488"/>
      <c r="E487" s="488"/>
      <c r="F487" s="488"/>
      <c r="G487" s="488"/>
      <c r="H487" s="488"/>
      <c r="I487" s="488"/>
      <c r="J487" s="488"/>
      <c r="K487" s="488"/>
      <c r="L487" s="488"/>
      <c r="M487" s="488"/>
      <c r="N487" s="488"/>
      <c r="O487" s="488"/>
      <c r="P487" s="488"/>
      <c r="Q487" s="488"/>
      <c r="R487" s="488"/>
      <c r="S487" s="488"/>
      <c r="T487" s="488"/>
      <c r="U487" s="488"/>
      <c r="V487" s="488"/>
      <c r="W487" s="488"/>
      <c r="X487" s="488"/>
      <c r="Y487" s="488"/>
      <c r="Z487" s="488"/>
      <c r="AA487" s="488"/>
      <c r="AB487" s="488"/>
      <c r="AC487" s="488"/>
      <c r="AD487" s="488"/>
      <c r="AE487" s="488"/>
      <c r="AF487" s="488"/>
      <c r="AG487" s="488"/>
      <c r="AH487" s="488"/>
      <c r="AI487" s="488"/>
      <c r="AJ487" s="488"/>
      <c r="AK487" s="488"/>
      <c r="AL487" s="488"/>
      <c r="AM487" s="488"/>
      <c r="AN487" s="488"/>
      <c r="AO487" s="488"/>
      <c r="AP487" s="488"/>
      <c r="AQ487" s="488"/>
      <c r="AR487" s="488"/>
      <c r="AS487" s="488"/>
      <c r="AT487" s="488"/>
      <c r="AU487" s="488"/>
      <c r="AV487" s="488"/>
      <c r="AW487" s="488"/>
      <c r="AX487" s="488"/>
      <c r="AY487" s="488"/>
      <c r="AZ487" s="488"/>
      <c r="BA487" s="488"/>
      <c r="BB487" s="488"/>
      <c r="BC487" s="488"/>
      <c r="BD487" s="488"/>
    </row>
    <row r="488" spans="3:56">
      <c r="C488" s="488"/>
      <c r="D488" s="488"/>
      <c r="E488" s="488"/>
      <c r="F488" s="488"/>
      <c r="G488" s="488"/>
      <c r="H488" s="488"/>
      <c r="I488" s="488"/>
      <c r="J488" s="488"/>
      <c r="K488" s="488"/>
      <c r="L488" s="488"/>
      <c r="M488" s="488"/>
      <c r="N488" s="488"/>
      <c r="O488" s="488"/>
      <c r="P488" s="488"/>
      <c r="Q488" s="488"/>
      <c r="R488" s="488"/>
      <c r="S488" s="488"/>
      <c r="T488" s="488"/>
      <c r="U488" s="488"/>
      <c r="V488" s="488"/>
      <c r="W488" s="488"/>
      <c r="X488" s="488"/>
      <c r="Y488" s="488"/>
      <c r="Z488" s="488"/>
      <c r="AA488" s="488"/>
      <c r="AB488" s="488"/>
      <c r="AC488" s="488"/>
      <c r="AD488" s="488"/>
      <c r="AE488" s="488"/>
      <c r="AF488" s="488"/>
      <c r="AG488" s="488"/>
      <c r="AH488" s="488"/>
      <c r="AI488" s="488"/>
      <c r="AJ488" s="488"/>
      <c r="AK488" s="488"/>
      <c r="AL488" s="488"/>
      <c r="AM488" s="488"/>
      <c r="AN488" s="488"/>
      <c r="AO488" s="488"/>
      <c r="AP488" s="488"/>
      <c r="AQ488" s="488"/>
      <c r="AR488" s="488"/>
      <c r="AS488" s="488"/>
      <c r="AT488" s="488"/>
      <c r="AU488" s="488"/>
      <c r="AV488" s="488"/>
      <c r="AW488" s="488"/>
      <c r="AX488" s="488"/>
      <c r="AY488" s="488"/>
      <c r="AZ488" s="488"/>
      <c r="BA488" s="488"/>
      <c r="BB488" s="488"/>
      <c r="BC488" s="488"/>
      <c r="BD488" s="488"/>
    </row>
    <row r="489" spans="3:56">
      <c r="C489" s="488"/>
      <c r="D489" s="488"/>
      <c r="E489" s="488"/>
      <c r="F489" s="488"/>
      <c r="G489" s="488"/>
      <c r="H489" s="488"/>
      <c r="I489" s="488"/>
      <c r="J489" s="488"/>
      <c r="K489" s="488"/>
      <c r="L489" s="488"/>
      <c r="M489" s="488"/>
      <c r="N489" s="488"/>
      <c r="O489" s="488"/>
      <c r="P489" s="488"/>
      <c r="Q489" s="488"/>
      <c r="R489" s="488"/>
      <c r="S489" s="488"/>
      <c r="T489" s="488"/>
      <c r="U489" s="488"/>
      <c r="V489" s="488"/>
      <c r="W489" s="488"/>
      <c r="X489" s="488"/>
      <c r="Y489" s="488"/>
      <c r="Z489" s="488"/>
      <c r="AA489" s="488"/>
      <c r="AB489" s="488"/>
      <c r="AC489" s="488"/>
      <c r="AD489" s="488"/>
      <c r="AE489" s="488"/>
      <c r="AF489" s="488"/>
      <c r="AG489" s="488"/>
      <c r="AH489" s="488"/>
      <c r="AI489" s="488"/>
      <c r="AJ489" s="488"/>
      <c r="AK489" s="488"/>
      <c r="AL489" s="488"/>
      <c r="AM489" s="488"/>
      <c r="AN489" s="488"/>
      <c r="AO489" s="488"/>
      <c r="AP489" s="488"/>
      <c r="AQ489" s="488"/>
      <c r="AR489" s="488"/>
      <c r="AS489" s="488"/>
      <c r="AT489" s="488"/>
      <c r="AU489" s="488"/>
      <c r="AV489" s="488"/>
      <c r="AW489" s="488"/>
      <c r="AX489" s="488"/>
      <c r="AY489" s="488"/>
      <c r="AZ489" s="488"/>
      <c r="BA489" s="488"/>
      <c r="BB489" s="488"/>
      <c r="BC489" s="488"/>
      <c r="BD489" s="488"/>
    </row>
    <row r="490" spans="3:56">
      <c r="C490" s="488"/>
      <c r="D490" s="488"/>
      <c r="E490" s="488"/>
      <c r="F490" s="488"/>
      <c r="G490" s="488"/>
      <c r="H490" s="488"/>
      <c r="I490" s="488"/>
      <c r="J490" s="488"/>
      <c r="K490" s="488"/>
      <c r="L490" s="488"/>
      <c r="M490" s="488"/>
      <c r="N490" s="488"/>
      <c r="O490" s="488"/>
      <c r="P490" s="488"/>
      <c r="Q490" s="488"/>
      <c r="R490" s="488"/>
      <c r="S490" s="488"/>
      <c r="T490" s="488"/>
      <c r="U490" s="488"/>
      <c r="V490" s="488"/>
      <c r="W490" s="488"/>
      <c r="X490" s="488"/>
      <c r="Y490" s="488"/>
      <c r="Z490" s="488"/>
      <c r="AA490" s="488"/>
      <c r="AB490" s="488"/>
      <c r="AC490" s="488"/>
      <c r="AD490" s="488"/>
      <c r="AE490" s="488"/>
      <c r="AF490" s="488"/>
      <c r="AG490" s="488"/>
      <c r="AH490" s="488"/>
      <c r="AI490" s="488"/>
      <c r="AJ490" s="488"/>
      <c r="AK490" s="488"/>
      <c r="AL490" s="488"/>
      <c r="AM490" s="488"/>
      <c r="AN490" s="488"/>
      <c r="AO490" s="488"/>
      <c r="AP490" s="488"/>
      <c r="AQ490" s="488"/>
      <c r="AR490" s="488"/>
      <c r="AS490" s="488"/>
      <c r="AT490" s="488"/>
      <c r="AU490" s="488"/>
      <c r="AV490" s="488"/>
      <c r="AW490" s="488"/>
      <c r="AX490" s="488"/>
      <c r="AY490" s="488"/>
      <c r="AZ490" s="488"/>
      <c r="BA490" s="488"/>
      <c r="BB490" s="488"/>
      <c r="BC490" s="488"/>
      <c r="BD490" s="488"/>
    </row>
    <row r="491" spans="3:56">
      <c r="C491" s="488"/>
      <c r="D491" s="488"/>
      <c r="E491" s="488"/>
      <c r="F491" s="488"/>
      <c r="G491" s="488"/>
      <c r="H491" s="488"/>
      <c r="I491" s="488"/>
      <c r="J491" s="488"/>
      <c r="K491" s="488"/>
      <c r="L491" s="488"/>
      <c r="M491" s="488"/>
      <c r="N491" s="488"/>
      <c r="O491" s="488"/>
      <c r="P491" s="488"/>
      <c r="Q491" s="488"/>
      <c r="R491" s="488"/>
      <c r="S491" s="488"/>
      <c r="T491" s="488"/>
      <c r="U491" s="488"/>
      <c r="V491" s="488"/>
      <c r="W491" s="488"/>
      <c r="X491" s="488"/>
      <c r="Y491" s="488"/>
      <c r="Z491" s="488"/>
      <c r="AA491" s="488"/>
      <c r="AB491" s="488"/>
      <c r="AC491" s="488"/>
      <c r="AD491" s="488"/>
      <c r="AE491" s="488"/>
      <c r="AF491" s="488"/>
      <c r="AG491" s="488"/>
      <c r="AH491" s="488"/>
      <c r="AI491" s="488"/>
      <c r="AJ491" s="488"/>
      <c r="AK491" s="488"/>
      <c r="AL491" s="488"/>
      <c r="AM491" s="488"/>
      <c r="AN491" s="488"/>
      <c r="AO491" s="488"/>
      <c r="AP491" s="488"/>
      <c r="AQ491" s="488"/>
      <c r="AR491" s="488"/>
      <c r="AS491" s="488"/>
      <c r="AT491" s="488"/>
      <c r="AU491" s="488"/>
      <c r="AV491" s="488"/>
      <c r="AW491" s="488"/>
      <c r="AX491" s="488"/>
      <c r="AY491" s="488"/>
      <c r="AZ491" s="488"/>
      <c r="BA491" s="488"/>
      <c r="BB491" s="488"/>
      <c r="BC491" s="488"/>
      <c r="BD491" s="488"/>
    </row>
    <row r="492" spans="3:56">
      <c r="C492" s="488"/>
      <c r="D492" s="488"/>
      <c r="E492" s="488"/>
      <c r="F492" s="488"/>
      <c r="G492" s="488"/>
      <c r="H492" s="488"/>
      <c r="I492" s="488"/>
      <c r="J492" s="488"/>
      <c r="K492" s="488"/>
      <c r="L492" s="488"/>
      <c r="M492" s="488"/>
      <c r="N492" s="488"/>
      <c r="O492" s="488"/>
      <c r="P492" s="488"/>
      <c r="Q492" s="488"/>
      <c r="R492" s="488"/>
      <c r="S492" s="488"/>
      <c r="T492" s="488"/>
      <c r="U492" s="488"/>
      <c r="V492" s="488"/>
      <c r="W492" s="488"/>
      <c r="X492" s="488"/>
      <c r="Y492" s="488"/>
      <c r="Z492" s="488"/>
      <c r="AA492" s="488"/>
      <c r="AB492" s="488"/>
      <c r="AC492" s="488"/>
      <c r="AD492" s="488"/>
      <c r="AE492" s="488"/>
      <c r="AF492" s="488"/>
      <c r="AG492" s="488"/>
      <c r="AH492" s="488"/>
      <c r="AI492" s="488"/>
      <c r="AJ492" s="488"/>
      <c r="AK492" s="488"/>
      <c r="AL492" s="488"/>
      <c r="AM492" s="488"/>
      <c r="AN492" s="488"/>
      <c r="AO492" s="488"/>
      <c r="AP492" s="488"/>
      <c r="AQ492" s="488"/>
      <c r="AR492" s="488"/>
      <c r="AS492" s="488"/>
      <c r="AT492" s="488"/>
      <c r="AU492" s="488"/>
      <c r="AV492" s="488"/>
      <c r="AW492" s="488"/>
      <c r="AX492" s="488"/>
      <c r="AY492" s="488"/>
      <c r="AZ492" s="488"/>
      <c r="BA492" s="488"/>
      <c r="BB492" s="488"/>
      <c r="BC492" s="488"/>
      <c r="BD492" s="488"/>
    </row>
    <row r="493" spans="3:56">
      <c r="C493" s="488"/>
      <c r="D493" s="488"/>
      <c r="E493" s="488"/>
      <c r="F493" s="488"/>
      <c r="G493" s="488"/>
      <c r="H493" s="488"/>
      <c r="I493" s="488"/>
      <c r="J493" s="488"/>
      <c r="K493" s="488"/>
      <c r="L493" s="488"/>
      <c r="M493" s="488"/>
      <c r="N493" s="488"/>
      <c r="O493" s="488"/>
      <c r="P493" s="488"/>
      <c r="Q493" s="488"/>
      <c r="R493" s="488"/>
      <c r="S493" s="488"/>
      <c r="T493" s="488"/>
      <c r="U493" s="488"/>
      <c r="V493" s="488"/>
      <c r="W493" s="488"/>
      <c r="X493" s="488"/>
      <c r="Y493" s="488"/>
      <c r="Z493" s="488"/>
      <c r="AA493" s="488"/>
      <c r="AB493" s="488"/>
      <c r="AC493" s="488"/>
      <c r="AD493" s="488"/>
      <c r="AE493" s="488"/>
      <c r="AF493" s="488"/>
      <c r="AG493" s="488"/>
      <c r="AH493" s="488"/>
      <c r="AI493" s="488"/>
      <c r="AJ493" s="488"/>
      <c r="AK493" s="488"/>
      <c r="AL493" s="488"/>
      <c r="AM493" s="488"/>
      <c r="AN493" s="488"/>
      <c r="AO493" s="488"/>
      <c r="AP493" s="488"/>
      <c r="AQ493" s="488"/>
      <c r="AR493" s="488"/>
      <c r="AS493" s="488"/>
      <c r="AT493" s="488"/>
      <c r="AU493" s="488"/>
      <c r="AV493" s="488"/>
      <c r="AW493" s="488"/>
      <c r="AX493" s="488"/>
      <c r="AY493" s="488"/>
      <c r="AZ493" s="488"/>
      <c r="BA493" s="488"/>
      <c r="BB493" s="488"/>
      <c r="BC493" s="488"/>
      <c r="BD493" s="488"/>
    </row>
    <row r="494" spans="3:56">
      <c r="C494" s="488"/>
      <c r="D494" s="488"/>
      <c r="E494" s="488"/>
      <c r="F494" s="488"/>
      <c r="G494" s="488"/>
      <c r="H494" s="488"/>
      <c r="I494" s="488"/>
      <c r="J494" s="488"/>
      <c r="K494" s="488"/>
      <c r="L494" s="488"/>
      <c r="M494" s="488"/>
      <c r="N494" s="488"/>
      <c r="O494" s="488"/>
      <c r="P494" s="488"/>
      <c r="Q494" s="488"/>
      <c r="R494" s="488"/>
      <c r="S494" s="488"/>
      <c r="T494" s="488"/>
      <c r="U494" s="488"/>
      <c r="V494" s="488"/>
      <c r="W494" s="488"/>
      <c r="X494" s="488"/>
      <c r="Y494" s="488"/>
      <c r="Z494" s="488"/>
      <c r="AA494" s="488"/>
      <c r="AB494" s="488"/>
      <c r="AC494" s="488"/>
      <c r="AD494" s="488"/>
      <c r="AE494" s="488"/>
      <c r="AF494" s="488"/>
      <c r="AG494" s="488"/>
      <c r="AH494" s="488"/>
      <c r="AI494" s="488"/>
      <c r="AJ494" s="488"/>
      <c r="AK494" s="488"/>
      <c r="AL494" s="488"/>
      <c r="AM494" s="488"/>
      <c r="AN494" s="488"/>
      <c r="AO494" s="488"/>
      <c r="AP494" s="488"/>
      <c r="AQ494" s="488"/>
      <c r="AR494" s="488"/>
      <c r="AS494" s="488"/>
      <c r="AT494" s="488"/>
      <c r="AU494" s="488"/>
      <c r="AV494" s="488"/>
      <c r="AW494" s="488"/>
      <c r="AX494" s="488"/>
      <c r="AY494" s="488"/>
      <c r="AZ494" s="488"/>
      <c r="BA494" s="488"/>
      <c r="BB494" s="488"/>
      <c r="BC494" s="488"/>
      <c r="BD494" s="488"/>
    </row>
    <row r="495" spans="3:56">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8"/>
      <c r="Z495" s="488"/>
      <c r="AA495" s="488"/>
      <c r="AB495" s="488"/>
      <c r="AC495" s="488"/>
      <c r="AD495" s="488"/>
      <c r="AE495" s="488"/>
      <c r="AF495" s="488"/>
      <c r="AG495" s="488"/>
      <c r="AH495" s="488"/>
      <c r="AI495" s="488"/>
      <c r="AJ495" s="488"/>
      <c r="AK495" s="488"/>
      <c r="AL495" s="488"/>
      <c r="AM495" s="488"/>
      <c r="AN495" s="488"/>
      <c r="AO495" s="488"/>
      <c r="AP495" s="488"/>
      <c r="AQ495" s="488"/>
      <c r="AR495" s="488"/>
      <c r="AS495" s="488"/>
      <c r="AT495" s="488"/>
      <c r="AU495" s="488"/>
      <c r="AV495" s="488"/>
      <c r="AW495" s="488"/>
      <c r="AX495" s="488"/>
      <c r="AY495" s="488"/>
      <c r="AZ495" s="488"/>
      <c r="BA495" s="488"/>
      <c r="BB495" s="488"/>
      <c r="BC495" s="488"/>
      <c r="BD495" s="488"/>
    </row>
    <row r="496" spans="3:56">
      <c r="C496" s="488"/>
      <c r="D496" s="488"/>
      <c r="E496" s="488"/>
      <c r="F496" s="488"/>
      <c r="G496" s="488"/>
      <c r="H496" s="488"/>
      <c r="I496" s="488"/>
      <c r="J496" s="488"/>
      <c r="K496" s="488"/>
      <c r="L496" s="488"/>
      <c r="M496" s="488"/>
      <c r="N496" s="488"/>
      <c r="O496" s="488"/>
      <c r="P496" s="488"/>
      <c r="Q496" s="488"/>
      <c r="R496" s="488"/>
      <c r="S496" s="488"/>
      <c r="T496" s="488"/>
      <c r="U496" s="488"/>
      <c r="V496" s="488"/>
      <c r="W496" s="488"/>
      <c r="X496" s="488"/>
      <c r="Y496" s="488"/>
      <c r="Z496" s="488"/>
      <c r="AA496" s="488"/>
      <c r="AB496" s="488"/>
      <c r="AC496" s="488"/>
      <c r="AD496" s="488"/>
      <c r="AE496" s="488"/>
      <c r="AF496" s="488"/>
      <c r="AG496" s="488"/>
      <c r="AH496" s="488"/>
      <c r="AI496" s="488"/>
      <c r="AJ496" s="488"/>
      <c r="AK496" s="488"/>
      <c r="AL496" s="488"/>
      <c r="AM496" s="488"/>
      <c r="AN496" s="488"/>
      <c r="AO496" s="488"/>
      <c r="AP496" s="488"/>
      <c r="AQ496" s="488"/>
      <c r="AR496" s="488"/>
      <c r="AS496" s="488"/>
      <c r="AT496" s="488"/>
      <c r="AU496" s="488"/>
      <c r="AV496" s="488"/>
      <c r="AW496" s="488"/>
      <c r="AX496" s="488"/>
      <c r="AY496" s="488"/>
      <c r="AZ496" s="488"/>
      <c r="BA496" s="488"/>
      <c r="BB496" s="488"/>
      <c r="BC496" s="488"/>
      <c r="BD496" s="488"/>
    </row>
    <row r="497" spans="3:56">
      <c r="C497" s="488"/>
      <c r="D497" s="488"/>
      <c r="E497" s="488"/>
      <c r="F497" s="488"/>
      <c r="G497" s="488"/>
      <c r="H497" s="488"/>
      <c r="I497" s="488"/>
      <c r="J497" s="488"/>
      <c r="K497" s="488"/>
      <c r="L497" s="488"/>
      <c r="M497" s="488"/>
      <c r="N497" s="488"/>
      <c r="O497" s="488"/>
      <c r="P497" s="488"/>
      <c r="Q497" s="488"/>
      <c r="R497" s="488"/>
      <c r="S497" s="488"/>
      <c r="T497" s="488"/>
      <c r="U497" s="488"/>
      <c r="V497" s="488"/>
      <c r="W497" s="488"/>
      <c r="X497" s="488"/>
      <c r="Y497" s="488"/>
      <c r="Z497" s="488"/>
      <c r="AA497" s="488"/>
      <c r="AB497" s="488"/>
      <c r="AC497" s="488"/>
      <c r="AD497" s="488"/>
      <c r="AE497" s="488"/>
      <c r="AF497" s="488"/>
      <c r="AG497" s="488"/>
      <c r="AH497" s="488"/>
      <c r="AI497" s="488"/>
      <c r="AJ497" s="488"/>
      <c r="AK497" s="488"/>
      <c r="AL497" s="488"/>
      <c r="AM497" s="488"/>
      <c r="AN497" s="488"/>
      <c r="AO497" s="488"/>
      <c r="AP497" s="488"/>
      <c r="AQ497" s="488"/>
      <c r="AR497" s="488"/>
      <c r="AS497" s="488"/>
      <c r="AT497" s="488"/>
      <c r="AU497" s="488"/>
      <c r="AV497" s="488"/>
      <c r="AW497" s="488"/>
      <c r="AX497" s="488"/>
      <c r="AY497" s="488"/>
      <c r="AZ497" s="488"/>
      <c r="BA497" s="488"/>
      <c r="BB497" s="488"/>
      <c r="BC497" s="488"/>
      <c r="BD497" s="488"/>
    </row>
    <row r="498" spans="3:56">
      <c r="C498" s="488"/>
      <c r="D498" s="488"/>
      <c r="E498" s="488"/>
      <c r="F498" s="488"/>
      <c r="G498" s="488"/>
      <c r="H498" s="488"/>
      <c r="I498" s="488"/>
      <c r="J498" s="488"/>
      <c r="K498" s="488"/>
      <c r="L498" s="488"/>
      <c r="M498" s="488"/>
      <c r="N498" s="488"/>
      <c r="O498" s="488"/>
      <c r="P498" s="488"/>
      <c r="Q498" s="488"/>
      <c r="R498" s="488"/>
      <c r="S498" s="488"/>
      <c r="T498" s="488"/>
      <c r="U498" s="488"/>
      <c r="V498" s="488"/>
      <c r="W498" s="488"/>
      <c r="X498" s="488"/>
      <c r="Y498" s="488"/>
      <c r="Z498" s="488"/>
      <c r="AA498" s="488"/>
      <c r="AB498" s="488"/>
      <c r="AC498" s="488"/>
      <c r="AD498" s="488"/>
      <c r="AE498" s="488"/>
      <c r="AF498" s="488"/>
      <c r="AG498" s="488"/>
      <c r="AH498" s="488"/>
      <c r="AI498" s="488"/>
      <c r="AJ498" s="488"/>
      <c r="AK498" s="488"/>
      <c r="AL498" s="488"/>
      <c r="AM498" s="488"/>
      <c r="AN498" s="488"/>
      <c r="AO498" s="488"/>
      <c r="AP498" s="488"/>
      <c r="AQ498" s="488"/>
      <c r="AR498" s="488"/>
      <c r="AS498" s="488"/>
      <c r="AT498" s="488"/>
      <c r="AU498" s="488"/>
      <c r="AV498" s="488"/>
      <c r="AW498" s="488"/>
      <c r="AX498" s="488"/>
      <c r="AY498" s="488"/>
      <c r="AZ498" s="488"/>
      <c r="BA498" s="488"/>
      <c r="BB498" s="488"/>
      <c r="BC498" s="488"/>
      <c r="BD498" s="488"/>
    </row>
    <row r="499" spans="3:56">
      <c r="C499" s="488"/>
      <c r="D499" s="488"/>
      <c r="E499" s="488"/>
      <c r="F499" s="488"/>
      <c r="G499" s="488"/>
      <c r="H499" s="488"/>
      <c r="I499" s="488"/>
      <c r="J499" s="488"/>
      <c r="K499" s="488"/>
      <c r="L499" s="488"/>
      <c r="M499" s="488"/>
      <c r="N499" s="488"/>
      <c r="O499" s="488"/>
      <c r="P499" s="488"/>
      <c r="Q499" s="488"/>
      <c r="R499" s="488"/>
      <c r="S499" s="488"/>
      <c r="T499" s="488"/>
      <c r="U499" s="488"/>
      <c r="V499" s="488"/>
      <c r="W499" s="488"/>
      <c r="X499" s="488"/>
      <c r="Y499" s="488"/>
      <c r="Z499" s="488"/>
      <c r="AA499" s="488"/>
      <c r="AB499" s="488"/>
      <c r="AC499" s="488"/>
      <c r="AD499" s="488"/>
      <c r="AE499" s="488"/>
      <c r="AF499" s="488"/>
      <c r="AG499" s="488"/>
      <c r="AH499" s="488"/>
      <c r="AI499" s="488"/>
      <c r="AJ499" s="488"/>
      <c r="AK499" s="488"/>
      <c r="AL499" s="488"/>
      <c r="AM499" s="488"/>
      <c r="AN499" s="488"/>
      <c r="AO499" s="488"/>
      <c r="AP499" s="488"/>
      <c r="AQ499" s="488"/>
      <c r="AR499" s="488"/>
      <c r="AS499" s="488"/>
      <c r="AT499" s="488"/>
      <c r="AU499" s="488"/>
      <c r="AV499" s="488"/>
      <c r="AW499" s="488"/>
      <c r="AX499" s="488"/>
      <c r="AY499" s="488"/>
      <c r="AZ499" s="488"/>
      <c r="BA499" s="488"/>
      <c r="BB499" s="488"/>
      <c r="BC499" s="488"/>
      <c r="BD499" s="488"/>
    </row>
    <row r="500" spans="3:56">
      <c r="C500" s="488"/>
      <c r="D500" s="488"/>
      <c r="E500" s="488"/>
      <c r="F500" s="488"/>
      <c r="G500" s="488"/>
      <c r="H500" s="488"/>
      <c r="I500" s="488"/>
      <c r="J500" s="488"/>
      <c r="K500" s="488"/>
      <c r="L500" s="488"/>
      <c r="M500" s="488"/>
      <c r="N500" s="488"/>
      <c r="O500" s="488"/>
      <c r="P500" s="488"/>
      <c r="Q500" s="488"/>
      <c r="R500" s="488"/>
      <c r="S500" s="488"/>
      <c r="T500" s="488"/>
      <c r="U500" s="488"/>
      <c r="V500" s="488"/>
      <c r="W500" s="488"/>
      <c r="X500" s="488"/>
      <c r="Y500" s="488"/>
      <c r="Z500" s="488"/>
      <c r="AA500" s="488"/>
      <c r="AB500" s="488"/>
      <c r="AC500" s="488"/>
      <c r="AD500" s="488"/>
      <c r="AE500" s="488"/>
      <c r="AF500" s="488"/>
      <c r="AG500" s="488"/>
      <c r="AH500" s="488"/>
      <c r="AI500" s="488"/>
      <c r="AJ500" s="488"/>
      <c r="AK500" s="488"/>
      <c r="AL500" s="488"/>
      <c r="AM500" s="488"/>
      <c r="AN500" s="488"/>
      <c r="AO500" s="488"/>
      <c r="AP500" s="488"/>
      <c r="AQ500" s="488"/>
      <c r="AR500" s="488"/>
      <c r="AS500" s="488"/>
      <c r="AT500" s="488"/>
      <c r="AU500" s="488"/>
      <c r="AV500" s="488"/>
      <c r="AW500" s="488"/>
      <c r="AX500" s="488"/>
      <c r="AY500" s="488"/>
      <c r="AZ500" s="488"/>
      <c r="BA500" s="488"/>
      <c r="BB500" s="488"/>
      <c r="BC500" s="488"/>
      <c r="BD500" s="488"/>
    </row>
    <row r="501" spans="3:56">
      <c r="C501" s="488"/>
      <c r="D501" s="488"/>
      <c r="E501" s="488"/>
      <c r="F501" s="488"/>
      <c r="G501" s="488"/>
      <c r="H501" s="488"/>
      <c r="I501" s="488"/>
      <c r="J501" s="488"/>
      <c r="K501" s="488"/>
      <c r="L501" s="488"/>
      <c r="M501" s="488"/>
      <c r="N501" s="488"/>
      <c r="O501" s="488"/>
      <c r="P501" s="488"/>
      <c r="Q501" s="488"/>
      <c r="R501" s="488"/>
      <c r="S501" s="488"/>
      <c r="T501" s="488"/>
      <c r="U501" s="488"/>
      <c r="V501" s="488"/>
      <c r="W501" s="488"/>
      <c r="X501" s="488"/>
      <c r="Y501" s="488"/>
      <c r="Z501" s="488"/>
      <c r="AA501" s="488"/>
      <c r="AB501" s="488"/>
      <c r="AC501" s="488"/>
      <c r="AD501" s="488"/>
      <c r="AE501" s="488"/>
      <c r="AF501" s="488"/>
      <c r="AG501" s="488"/>
      <c r="AH501" s="488"/>
      <c r="AI501" s="488"/>
      <c r="AJ501" s="488"/>
      <c r="AK501" s="488"/>
      <c r="AL501" s="488"/>
      <c r="AM501" s="488"/>
      <c r="AN501" s="488"/>
      <c r="AO501" s="488"/>
      <c r="AP501" s="488"/>
      <c r="AQ501" s="488"/>
      <c r="AR501" s="488"/>
      <c r="AS501" s="488"/>
      <c r="AT501" s="488"/>
      <c r="AU501" s="488"/>
      <c r="AV501" s="488"/>
      <c r="AW501" s="488"/>
      <c r="AX501" s="488"/>
      <c r="AY501" s="488"/>
      <c r="AZ501" s="488"/>
      <c r="BA501" s="488"/>
      <c r="BB501" s="488"/>
      <c r="BC501" s="488"/>
      <c r="BD501" s="488"/>
    </row>
    <row r="502" spans="3:56">
      <c r="C502" s="488"/>
      <c r="D502" s="488"/>
      <c r="E502" s="488"/>
      <c r="F502" s="488"/>
      <c r="G502" s="488"/>
      <c r="H502" s="488"/>
      <c r="I502" s="488"/>
      <c r="J502" s="488"/>
      <c r="K502" s="488"/>
      <c r="L502" s="488"/>
      <c r="M502" s="488"/>
      <c r="N502" s="488"/>
      <c r="O502" s="488"/>
      <c r="P502" s="488"/>
      <c r="Q502" s="488"/>
      <c r="R502" s="488"/>
      <c r="S502" s="488"/>
      <c r="T502" s="488"/>
      <c r="U502" s="488"/>
      <c r="V502" s="488"/>
      <c r="W502" s="488"/>
      <c r="X502" s="488"/>
      <c r="Y502" s="488"/>
      <c r="Z502" s="488"/>
      <c r="AA502" s="488"/>
      <c r="AB502" s="488"/>
      <c r="AC502" s="488"/>
      <c r="AD502" s="488"/>
      <c r="AE502" s="488"/>
      <c r="AF502" s="488"/>
      <c r="AG502" s="488"/>
      <c r="AH502" s="488"/>
      <c r="AI502" s="488"/>
      <c r="AJ502" s="488"/>
      <c r="AK502" s="488"/>
      <c r="AL502" s="488"/>
      <c r="AM502" s="488"/>
      <c r="AN502" s="488"/>
      <c r="AO502" s="488"/>
      <c r="AP502" s="488"/>
      <c r="AQ502" s="488"/>
      <c r="AR502" s="488"/>
      <c r="AS502" s="488"/>
      <c r="AT502" s="488"/>
      <c r="AU502" s="488"/>
      <c r="AV502" s="488"/>
      <c r="AW502" s="488"/>
      <c r="AX502" s="488"/>
      <c r="AY502" s="488"/>
      <c r="AZ502" s="488"/>
      <c r="BA502" s="488"/>
      <c r="BB502" s="488"/>
      <c r="BC502" s="488"/>
      <c r="BD502" s="488"/>
    </row>
    <row r="503" spans="3:56">
      <c r="C503" s="488"/>
      <c r="D503" s="488"/>
      <c r="E503" s="488"/>
      <c r="F503" s="488"/>
      <c r="G503" s="488"/>
      <c r="H503" s="488"/>
      <c r="I503" s="488"/>
      <c r="J503" s="488"/>
      <c r="K503" s="488"/>
      <c r="L503" s="488"/>
      <c r="M503" s="488"/>
      <c r="N503" s="488"/>
      <c r="O503" s="488"/>
      <c r="P503" s="488"/>
      <c r="Q503" s="488"/>
      <c r="R503" s="488"/>
      <c r="S503" s="488"/>
      <c r="T503" s="488"/>
      <c r="U503" s="488"/>
      <c r="V503" s="488"/>
      <c r="W503" s="488"/>
      <c r="X503" s="488"/>
      <c r="Y503" s="488"/>
      <c r="Z503" s="488"/>
      <c r="AA503" s="488"/>
      <c r="AB503" s="488"/>
      <c r="AC503" s="488"/>
      <c r="AD503" s="488"/>
      <c r="AE503" s="488"/>
      <c r="AF503" s="488"/>
      <c r="AG503" s="488"/>
      <c r="AH503" s="488"/>
      <c r="AI503" s="488"/>
      <c r="AJ503" s="488"/>
      <c r="AK503" s="488"/>
      <c r="AL503" s="488"/>
      <c r="AM503" s="488"/>
      <c r="AN503" s="488"/>
      <c r="AO503" s="488"/>
      <c r="AP503" s="488"/>
      <c r="AQ503" s="488"/>
      <c r="AR503" s="488"/>
      <c r="AS503" s="488"/>
      <c r="AT503" s="488"/>
      <c r="AU503" s="488"/>
      <c r="AV503" s="488"/>
      <c r="AW503" s="488"/>
      <c r="AX503" s="488"/>
      <c r="AY503" s="488"/>
      <c r="AZ503" s="488"/>
      <c r="BA503" s="488"/>
      <c r="BB503" s="488"/>
      <c r="BC503" s="488"/>
      <c r="BD503" s="488"/>
    </row>
    <row r="504" spans="3:56">
      <c r="C504" s="488"/>
      <c r="D504" s="488"/>
      <c r="E504" s="488"/>
      <c r="F504" s="488"/>
      <c r="G504" s="488"/>
      <c r="H504" s="488"/>
      <c r="I504" s="488"/>
      <c r="J504" s="488"/>
      <c r="K504" s="488"/>
      <c r="L504" s="488"/>
      <c r="M504" s="488"/>
      <c r="N504" s="488"/>
      <c r="O504" s="488"/>
      <c r="P504" s="488"/>
      <c r="Q504" s="488"/>
      <c r="R504" s="488"/>
      <c r="S504" s="488"/>
      <c r="T504" s="488"/>
      <c r="U504" s="488"/>
      <c r="V504" s="488"/>
      <c r="W504" s="488"/>
      <c r="X504" s="488"/>
      <c r="Y504" s="488"/>
      <c r="Z504" s="488"/>
      <c r="AA504" s="488"/>
      <c r="AB504" s="488"/>
      <c r="AC504" s="488"/>
      <c r="AD504" s="488"/>
      <c r="AE504" s="488"/>
      <c r="AF504" s="488"/>
      <c r="AG504" s="488"/>
      <c r="AH504" s="488"/>
      <c r="AI504" s="488"/>
      <c r="AJ504" s="488"/>
      <c r="AK504" s="488"/>
      <c r="AL504" s="488"/>
      <c r="AM504" s="488"/>
      <c r="AN504" s="488"/>
      <c r="AO504" s="488"/>
      <c r="AP504" s="488"/>
      <c r="AQ504" s="488"/>
      <c r="AR504" s="488"/>
      <c r="AS504" s="488"/>
      <c r="AT504" s="488"/>
      <c r="AU504" s="488"/>
      <c r="AV504" s="488"/>
      <c r="AW504" s="488"/>
      <c r="AX504" s="488"/>
      <c r="AY504" s="488"/>
      <c r="AZ504" s="488"/>
      <c r="BA504" s="488"/>
      <c r="BB504" s="488"/>
      <c r="BC504" s="488"/>
      <c r="BD504" s="488"/>
    </row>
    <row r="505" spans="3:56">
      <c r="C505" s="488"/>
      <c r="D505" s="488"/>
      <c r="E505" s="488"/>
      <c r="F505" s="488"/>
      <c r="G505" s="488"/>
      <c r="H505" s="488"/>
      <c r="I505" s="488"/>
      <c r="J505" s="488"/>
      <c r="K505" s="488"/>
      <c r="L505" s="488"/>
      <c r="M505" s="488"/>
      <c r="N505" s="488"/>
      <c r="O505" s="488"/>
      <c r="P505" s="488"/>
      <c r="Q505" s="488"/>
      <c r="R505" s="488"/>
      <c r="S505" s="488"/>
      <c r="T505" s="488"/>
      <c r="U505" s="488"/>
      <c r="V505" s="488"/>
      <c r="W505" s="488"/>
      <c r="X505" s="488"/>
      <c r="Y505" s="488"/>
      <c r="Z505" s="488"/>
      <c r="AA505" s="488"/>
      <c r="AB505" s="488"/>
      <c r="AC505" s="488"/>
      <c r="AD505" s="488"/>
      <c r="AE505" s="488"/>
      <c r="AF505" s="488"/>
      <c r="AG505" s="488"/>
      <c r="AH505" s="488"/>
      <c r="AI505" s="488"/>
      <c r="AJ505" s="488"/>
      <c r="AK505" s="488"/>
      <c r="AL505" s="488"/>
      <c r="AM505" s="488"/>
      <c r="AN505" s="488"/>
      <c r="AO505" s="488"/>
      <c r="AP505" s="488"/>
      <c r="AQ505" s="488"/>
      <c r="AR505" s="488"/>
      <c r="AS505" s="488"/>
      <c r="AT505" s="488"/>
      <c r="AU505" s="488"/>
      <c r="AV505" s="488"/>
      <c r="AW505" s="488"/>
      <c r="AX505" s="488"/>
      <c r="AY505" s="488"/>
      <c r="AZ505" s="488"/>
      <c r="BA505" s="488"/>
      <c r="BB505" s="488"/>
      <c r="BC505" s="488"/>
      <c r="BD505" s="488"/>
    </row>
    <row r="506" spans="3:56">
      <c r="C506" s="488"/>
      <c r="D506" s="488"/>
      <c r="E506" s="488"/>
      <c r="F506" s="488"/>
      <c r="G506" s="488"/>
      <c r="H506" s="488"/>
      <c r="I506" s="488"/>
      <c r="J506" s="488"/>
      <c r="K506" s="488"/>
      <c r="L506" s="488"/>
      <c r="M506" s="488"/>
      <c r="N506" s="488"/>
      <c r="O506" s="488"/>
      <c r="P506" s="488"/>
      <c r="Q506" s="488"/>
      <c r="R506" s="488"/>
      <c r="S506" s="488"/>
      <c r="T506" s="488"/>
      <c r="U506" s="488"/>
      <c r="V506" s="488"/>
      <c r="W506" s="488"/>
      <c r="X506" s="488"/>
      <c r="Y506" s="488"/>
      <c r="Z506" s="488"/>
      <c r="AA506" s="488"/>
      <c r="AB506" s="488"/>
      <c r="AC506" s="488"/>
      <c r="AD506" s="488"/>
      <c r="AE506" s="488"/>
      <c r="AF506" s="488"/>
      <c r="AG506" s="488"/>
      <c r="AH506" s="488"/>
      <c r="AI506" s="488"/>
      <c r="AJ506" s="488"/>
      <c r="AK506" s="488"/>
      <c r="AL506" s="488"/>
      <c r="AM506" s="488"/>
      <c r="AN506" s="488"/>
      <c r="AO506" s="488"/>
      <c r="AP506" s="488"/>
      <c r="AQ506" s="488"/>
      <c r="AR506" s="488"/>
      <c r="AS506" s="488"/>
      <c r="AT506" s="488"/>
      <c r="AU506" s="488"/>
      <c r="AV506" s="488"/>
      <c r="AW506" s="488"/>
      <c r="AX506" s="488"/>
      <c r="AY506" s="488"/>
      <c r="AZ506" s="488"/>
      <c r="BA506" s="488"/>
      <c r="BB506" s="488"/>
      <c r="BC506" s="488"/>
      <c r="BD506" s="488"/>
    </row>
    <row r="507" spans="3:56">
      <c r="C507" s="488"/>
      <c r="D507" s="488"/>
      <c r="E507" s="488"/>
      <c r="F507" s="488"/>
      <c r="G507" s="488"/>
      <c r="H507" s="488"/>
      <c r="I507" s="488"/>
      <c r="J507" s="488"/>
      <c r="K507" s="488"/>
      <c r="L507" s="488"/>
      <c r="M507" s="488"/>
      <c r="N507" s="488"/>
      <c r="O507" s="488"/>
      <c r="P507" s="488"/>
      <c r="Q507" s="488"/>
      <c r="R507" s="488"/>
      <c r="S507" s="488"/>
      <c r="T507" s="488"/>
      <c r="U507" s="488"/>
      <c r="V507" s="488"/>
      <c r="W507" s="488"/>
      <c r="X507" s="488"/>
      <c r="Y507" s="488"/>
      <c r="Z507" s="488"/>
      <c r="AA507" s="488"/>
      <c r="AB507" s="488"/>
      <c r="AC507" s="488"/>
      <c r="AD507" s="488"/>
      <c r="AE507" s="488"/>
      <c r="AF507" s="488"/>
      <c r="AG507" s="488"/>
      <c r="AH507" s="488"/>
      <c r="AI507" s="488"/>
      <c r="AJ507" s="488"/>
      <c r="AK507" s="488"/>
      <c r="AL507" s="488"/>
      <c r="AM507" s="488"/>
      <c r="AN507" s="488"/>
      <c r="AO507" s="488"/>
      <c r="AP507" s="488"/>
      <c r="AQ507" s="488"/>
      <c r="AR507" s="488"/>
      <c r="AS507" s="488"/>
      <c r="AT507" s="488"/>
      <c r="AU507" s="488"/>
      <c r="AV507" s="488"/>
      <c r="AW507" s="488"/>
      <c r="AX507" s="488"/>
      <c r="AY507" s="488"/>
      <c r="AZ507" s="488"/>
      <c r="BA507" s="488"/>
      <c r="BB507" s="488"/>
      <c r="BC507" s="488"/>
      <c r="BD507" s="488"/>
    </row>
    <row r="508" spans="3:56">
      <c r="C508" s="488"/>
      <c r="D508" s="488"/>
      <c r="E508" s="488"/>
      <c r="F508" s="488"/>
      <c r="G508" s="488"/>
      <c r="H508" s="488"/>
      <c r="I508" s="488"/>
      <c r="J508" s="488"/>
      <c r="K508" s="488"/>
      <c r="L508" s="488"/>
      <c r="M508" s="488"/>
      <c r="N508" s="488"/>
      <c r="O508" s="488"/>
      <c r="P508" s="488"/>
      <c r="Q508" s="488"/>
      <c r="R508" s="488"/>
      <c r="S508" s="488"/>
      <c r="T508" s="488"/>
      <c r="U508" s="488"/>
      <c r="V508" s="488"/>
      <c r="W508" s="488"/>
      <c r="X508" s="488"/>
      <c r="Y508" s="488"/>
      <c r="Z508" s="488"/>
      <c r="AA508" s="488"/>
      <c r="AB508" s="488"/>
      <c r="AC508" s="488"/>
      <c r="AD508" s="488"/>
      <c r="AE508" s="488"/>
      <c r="AF508" s="488"/>
      <c r="AG508" s="488"/>
      <c r="AH508" s="488"/>
      <c r="AI508" s="488"/>
      <c r="AJ508" s="488"/>
      <c r="AK508" s="488"/>
      <c r="AL508" s="488"/>
      <c r="AM508" s="488"/>
      <c r="AN508" s="488"/>
      <c r="AO508" s="488"/>
      <c r="AP508" s="488"/>
      <c r="AQ508" s="488"/>
      <c r="AR508" s="488"/>
      <c r="AS508" s="488"/>
      <c r="AT508" s="488"/>
      <c r="AU508" s="488"/>
      <c r="AV508" s="488"/>
      <c r="AW508" s="488"/>
      <c r="AX508" s="488"/>
      <c r="AY508" s="488"/>
      <c r="AZ508" s="488"/>
      <c r="BA508" s="488"/>
      <c r="BB508" s="488"/>
      <c r="BC508" s="488"/>
      <c r="BD508" s="488"/>
    </row>
    <row r="509" spans="3:56">
      <c r="C509" s="488"/>
      <c r="D509" s="488"/>
      <c r="E509" s="488"/>
      <c r="F509" s="488"/>
      <c r="G509" s="488"/>
      <c r="H509" s="488"/>
      <c r="I509" s="488"/>
      <c r="J509" s="488"/>
      <c r="K509" s="488"/>
      <c r="L509" s="488"/>
      <c r="M509" s="488"/>
      <c r="N509" s="488"/>
      <c r="O509" s="488"/>
      <c r="P509" s="488"/>
      <c r="Q509" s="488"/>
      <c r="R509" s="488"/>
      <c r="S509" s="488"/>
      <c r="T509" s="488"/>
      <c r="U509" s="488"/>
      <c r="V509" s="488"/>
      <c r="W509" s="488"/>
      <c r="X509" s="488"/>
      <c r="Y509" s="488"/>
      <c r="Z509" s="488"/>
      <c r="AA509" s="488"/>
      <c r="AB509" s="488"/>
      <c r="AC509" s="488"/>
      <c r="AD509" s="488"/>
      <c r="AE509" s="488"/>
      <c r="AF509" s="488"/>
      <c r="AG509" s="488"/>
      <c r="AH509" s="488"/>
      <c r="AI509" s="488"/>
      <c r="AJ509" s="488"/>
      <c r="AK509" s="488"/>
      <c r="AL509" s="488"/>
      <c r="AM509" s="488"/>
      <c r="AN509" s="488"/>
      <c r="AO509" s="488"/>
      <c r="AP509" s="488"/>
      <c r="AQ509" s="488"/>
      <c r="AR509" s="488"/>
      <c r="AS509" s="488"/>
      <c r="AT509" s="488"/>
      <c r="AU509" s="488"/>
      <c r="AV509" s="488"/>
      <c r="AW509" s="488"/>
      <c r="AX509" s="488"/>
      <c r="AY509" s="488"/>
      <c r="AZ509" s="488"/>
      <c r="BA509" s="488"/>
      <c r="BB509" s="488"/>
      <c r="BC509" s="488"/>
      <c r="BD509" s="488"/>
    </row>
    <row r="510" spans="3:56">
      <c r="C510" s="488"/>
      <c r="D510" s="488"/>
      <c r="E510" s="488"/>
      <c r="F510" s="488"/>
      <c r="G510" s="488"/>
      <c r="H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G510" s="488"/>
      <c r="AH510" s="488"/>
      <c r="AI510" s="488"/>
      <c r="AJ510" s="488"/>
      <c r="AK510" s="488"/>
      <c r="AL510" s="488"/>
      <c r="AM510" s="488"/>
      <c r="AN510" s="488"/>
      <c r="AO510" s="488"/>
      <c r="AP510" s="488"/>
      <c r="AQ510" s="488"/>
      <c r="AR510" s="488"/>
      <c r="AS510" s="488"/>
      <c r="AT510" s="488"/>
      <c r="AU510" s="488"/>
      <c r="AV510" s="488"/>
      <c r="AW510" s="488"/>
      <c r="AX510" s="488"/>
      <c r="AY510" s="488"/>
      <c r="AZ510" s="488"/>
      <c r="BA510" s="488"/>
      <c r="BB510" s="488"/>
      <c r="BC510" s="488"/>
      <c r="BD510" s="488"/>
    </row>
    <row r="511" spans="3:56">
      <c r="C511" s="488"/>
      <c r="D511" s="488"/>
      <c r="E511" s="488"/>
      <c r="F511" s="488"/>
      <c r="G511" s="488"/>
      <c r="H511" s="488"/>
      <c r="I511" s="488"/>
      <c r="J511" s="488"/>
      <c r="K511" s="488"/>
      <c r="L511" s="488"/>
      <c r="M511" s="488"/>
      <c r="N511" s="488"/>
      <c r="O511" s="488"/>
      <c r="P511" s="488"/>
      <c r="Q511" s="488"/>
      <c r="R511" s="488"/>
      <c r="S511" s="488"/>
      <c r="T511" s="488"/>
      <c r="U511" s="488"/>
      <c r="V511" s="488"/>
      <c r="W511" s="488"/>
      <c r="X511" s="488"/>
      <c r="Y511" s="488"/>
      <c r="Z511" s="488"/>
      <c r="AA511" s="488"/>
      <c r="AB511" s="488"/>
      <c r="AC511" s="488"/>
      <c r="AD511" s="488"/>
      <c r="AE511" s="488"/>
      <c r="AF511" s="488"/>
      <c r="AG511" s="488"/>
      <c r="AH511" s="488"/>
      <c r="AI511" s="488"/>
      <c r="AJ511" s="488"/>
      <c r="AK511" s="488"/>
      <c r="AL511" s="488"/>
      <c r="AM511" s="488"/>
      <c r="AN511" s="488"/>
      <c r="AO511" s="488"/>
      <c r="AP511" s="488"/>
      <c r="AQ511" s="488"/>
      <c r="AR511" s="488"/>
      <c r="AS511" s="488"/>
      <c r="AT511" s="488"/>
      <c r="AU511" s="488"/>
      <c r="AV511" s="488"/>
      <c r="AW511" s="488"/>
      <c r="AX511" s="488"/>
      <c r="AY511" s="488"/>
      <c r="AZ511" s="488"/>
      <c r="BA511" s="488"/>
      <c r="BB511" s="488"/>
      <c r="BC511" s="488"/>
      <c r="BD511" s="488"/>
    </row>
    <row r="512" spans="3:56">
      <c r="C512" s="488"/>
      <c r="D512" s="488"/>
      <c r="E512" s="488"/>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c r="AI512" s="488"/>
      <c r="AJ512" s="488"/>
      <c r="AK512" s="488"/>
      <c r="AL512" s="488"/>
      <c r="AM512" s="488"/>
      <c r="AN512" s="488"/>
      <c r="AO512" s="488"/>
      <c r="AP512" s="488"/>
      <c r="AQ512" s="488"/>
      <c r="AR512" s="488"/>
      <c r="AS512" s="488"/>
      <c r="AT512" s="488"/>
      <c r="AU512" s="488"/>
      <c r="AV512" s="488"/>
      <c r="AW512" s="488"/>
      <c r="AX512" s="488"/>
      <c r="AY512" s="488"/>
      <c r="AZ512" s="488"/>
      <c r="BA512" s="488"/>
      <c r="BB512" s="488"/>
      <c r="BC512" s="488"/>
      <c r="BD512" s="488"/>
    </row>
    <row r="513" spans="3:56">
      <c r="C513" s="488"/>
      <c r="D513" s="488"/>
      <c r="E513" s="488"/>
      <c r="F513" s="488"/>
      <c r="G513" s="488"/>
      <c r="H513" s="488"/>
      <c r="I513" s="488"/>
      <c r="J513" s="488"/>
      <c r="K513" s="488"/>
      <c r="L513" s="488"/>
      <c r="M513" s="488"/>
      <c r="N513" s="488"/>
      <c r="O513" s="488"/>
      <c r="P513" s="488"/>
      <c r="Q513" s="488"/>
      <c r="R513" s="488"/>
      <c r="S513" s="488"/>
      <c r="T513" s="488"/>
      <c r="U513" s="488"/>
      <c r="V513" s="488"/>
      <c r="W513" s="488"/>
      <c r="X513" s="488"/>
      <c r="Y513" s="488"/>
      <c r="Z513" s="488"/>
      <c r="AA513" s="488"/>
      <c r="AB513" s="488"/>
      <c r="AC513" s="488"/>
      <c r="AD513" s="488"/>
      <c r="AE513" s="488"/>
      <c r="AF513" s="488"/>
      <c r="AG513" s="488"/>
      <c r="AH513" s="488"/>
      <c r="AI513" s="488"/>
      <c r="AJ513" s="488"/>
      <c r="AK513" s="488"/>
      <c r="AL513" s="488"/>
      <c r="AM513" s="488"/>
      <c r="AN513" s="488"/>
      <c r="AO513" s="488"/>
      <c r="AP513" s="488"/>
      <c r="AQ513" s="488"/>
      <c r="AR513" s="488"/>
      <c r="AS513" s="488"/>
      <c r="AT513" s="488"/>
      <c r="AU513" s="488"/>
      <c r="AV513" s="488"/>
      <c r="AW513" s="488"/>
      <c r="AX513" s="488"/>
      <c r="AY513" s="488"/>
      <c r="AZ513" s="488"/>
      <c r="BA513" s="488"/>
      <c r="BB513" s="488"/>
      <c r="BC513" s="488"/>
      <c r="BD513" s="488"/>
    </row>
    <row r="514" spans="3:56">
      <c r="C514" s="488"/>
      <c r="D514" s="488"/>
      <c r="E514" s="488"/>
      <c r="F514" s="488"/>
      <c r="G514" s="488"/>
      <c r="H514" s="488"/>
      <c r="I514" s="488"/>
      <c r="J514" s="488"/>
      <c r="K514" s="488"/>
      <c r="L514" s="488"/>
      <c r="M514" s="488"/>
      <c r="N514" s="488"/>
      <c r="O514" s="488"/>
      <c r="P514" s="488"/>
      <c r="Q514" s="488"/>
      <c r="R514" s="488"/>
      <c r="S514" s="488"/>
      <c r="T514" s="488"/>
      <c r="U514" s="488"/>
      <c r="V514" s="488"/>
      <c r="W514" s="488"/>
      <c r="X514" s="488"/>
      <c r="Y514" s="488"/>
      <c r="Z514" s="488"/>
      <c r="AA514" s="488"/>
      <c r="AB514" s="488"/>
      <c r="AC514" s="488"/>
      <c r="AD514" s="488"/>
      <c r="AE514" s="488"/>
      <c r="AF514" s="488"/>
      <c r="AG514" s="488"/>
      <c r="AH514" s="488"/>
      <c r="AI514" s="488"/>
      <c r="AJ514" s="488"/>
      <c r="AK514" s="488"/>
      <c r="AL514" s="488"/>
      <c r="AM514" s="488"/>
      <c r="AN514" s="488"/>
      <c r="AO514" s="488"/>
      <c r="AP514" s="488"/>
      <c r="AQ514" s="488"/>
      <c r="AR514" s="488"/>
      <c r="AS514" s="488"/>
      <c r="AT514" s="488"/>
      <c r="AU514" s="488"/>
      <c r="AV514" s="488"/>
      <c r="AW514" s="488"/>
      <c r="AX514" s="488"/>
      <c r="AY514" s="488"/>
      <c r="AZ514" s="488"/>
      <c r="BA514" s="488"/>
      <c r="BB514" s="488"/>
      <c r="BC514" s="488"/>
      <c r="BD514" s="488"/>
    </row>
    <row r="515" spans="3:56">
      <c r="C515" s="488"/>
      <c r="D515" s="488"/>
      <c r="E515" s="488"/>
      <c r="F515" s="488"/>
      <c r="G515" s="488"/>
      <c r="H515" s="488"/>
      <c r="I515" s="488"/>
      <c r="J515" s="488"/>
      <c r="K515" s="488"/>
      <c r="L515" s="488"/>
      <c r="M515" s="488"/>
      <c r="N515" s="488"/>
      <c r="O515" s="488"/>
      <c r="P515" s="488"/>
      <c r="Q515" s="488"/>
      <c r="R515" s="488"/>
      <c r="S515" s="488"/>
      <c r="T515" s="488"/>
      <c r="U515" s="488"/>
      <c r="V515" s="488"/>
      <c r="W515" s="488"/>
      <c r="X515" s="488"/>
      <c r="Y515" s="488"/>
      <c r="Z515" s="488"/>
      <c r="AA515" s="488"/>
      <c r="AB515" s="488"/>
      <c r="AC515" s="488"/>
      <c r="AD515" s="488"/>
      <c r="AE515" s="488"/>
      <c r="AF515" s="488"/>
      <c r="AG515" s="488"/>
      <c r="AH515" s="488"/>
      <c r="AI515" s="488"/>
      <c r="AJ515" s="488"/>
      <c r="AK515" s="488"/>
      <c r="AL515" s="488"/>
      <c r="AM515" s="488"/>
      <c r="AN515" s="488"/>
      <c r="AO515" s="488"/>
      <c r="AP515" s="488"/>
      <c r="AQ515" s="488"/>
      <c r="AR515" s="488"/>
      <c r="AS515" s="488"/>
      <c r="AT515" s="488"/>
      <c r="AU515" s="488"/>
      <c r="AV515" s="488"/>
      <c r="AW515" s="488"/>
      <c r="AX515" s="488"/>
      <c r="AY515" s="488"/>
      <c r="AZ515" s="488"/>
      <c r="BA515" s="488"/>
      <c r="BB515" s="488"/>
      <c r="BC515" s="488"/>
      <c r="BD515" s="488"/>
    </row>
    <row r="516" spans="3:56">
      <c r="C516" s="488"/>
      <c r="D516" s="488"/>
      <c r="E516" s="488"/>
      <c r="F516" s="488"/>
      <c r="G516" s="488"/>
      <c r="H516" s="488"/>
      <c r="I516" s="488"/>
      <c r="J516" s="488"/>
      <c r="K516" s="488"/>
      <c r="L516" s="488"/>
      <c r="M516" s="488"/>
      <c r="N516" s="488"/>
      <c r="O516" s="488"/>
      <c r="P516" s="488"/>
      <c r="Q516" s="488"/>
      <c r="R516" s="488"/>
      <c r="S516" s="488"/>
      <c r="T516" s="488"/>
      <c r="U516" s="488"/>
      <c r="V516" s="488"/>
      <c r="W516" s="488"/>
      <c r="X516" s="488"/>
      <c r="Y516" s="488"/>
      <c r="Z516" s="488"/>
      <c r="AA516" s="488"/>
      <c r="AB516" s="488"/>
      <c r="AC516" s="488"/>
      <c r="AD516" s="488"/>
      <c r="AE516" s="488"/>
      <c r="AF516" s="488"/>
      <c r="AG516" s="488"/>
      <c r="AH516" s="488"/>
      <c r="AI516" s="488"/>
      <c r="AJ516" s="488"/>
      <c r="AK516" s="488"/>
      <c r="AL516" s="488"/>
      <c r="AM516" s="488"/>
      <c r="AN516" s="488"/>
      <c r="AO516" s="488"/>
      <c r="AP516" s="488"/>
      <c r="AQ516" s="488"/>
      <c r="AR516" s="488"/>
      <c r="AS516" s="488"/>
      <c r="AT516" s="488"/>
      <c r="AU516" s="488"/>
      <c r="AV516" s="488"/>
      <c r="AW516" s="488"/>
      <c r="AX516" s="488"/>
      <c r="AY516" s="488"/>
      <c r="AZ516" s="488"/>
      <c r="BA516" s="488"/>
      <c r="BB516" s="488"/>
      <c r="BC516" s="488"/>
      <c r="BD516" s="488"/>
    </row>
    <row r="517" spans="3:56">
      <c r="C517" s="488"/>
      <c r="D517" s="488"/>
      <c r="E517" s="488"/>
      <c r="F517" s="488"/>
      <c r="G517" s="488"/>
      <c r="H517" s="488"/>
      <c r="I517" s="488"/>
      <c r="J517" s="488"/>
      <c r="K517" s="488"/>
      <c r="L517" s="488"/>
      <c r="M517" s="488"/>
      <c r="N517" s="488"/>
      <c r="O517" s="488"/>
      <c r="P517" s="488"/>
      <c r="Q517" s="488"/>
      <c r="R517" s="488"/>
      <c r="S517" s="488"/>
      <c r="T517" s="488"/>
      <c r="U517" s="488"/>
      <c r="V517" s="488"/>
      <c r="W517" s="488"/>
      <c r="X517" s="488"/>
      <c r="Y517" s="488"/>
      <c r="Z517" s="488"/>
      <c r="AA517" s="488"/>
      <c r="AB517" s="488"/>
      <c r="AC517" s="488"/>
      <c r="AD517" s="488"/>
      <c r="AE517" s="488"/>
      <c r="AF517" s="488"/>
      <c r="AG517" s="488"/>
      <c r="AH517" s="488"/>
      <c r="AI517" s="488"/>
      <c r="AJ517" s="488"/>
      <c r="AK517" s="488"/>
      <c r="AL517" s="488"/>
      <c r="AM517" s="488"/>
      <c r="AN517" s="488"/>
      <c r="AO517" s="488"/>
      <c r="AP517" s="488"/>
      <c r="AQ517" s="488"/>
      <c r="AR517" s="488"/>
      <c r="AS517" s="488"/>
      <c r="AT517" s="488"/>
      <c r="AU517" s="488"/>
      <c r="AV517" s="488"/>
      <c r="AW517" s="488"/>
      <c r="AX517" s="488"/>
      <c r="AY517" s="488"/>
      <c r="AZ517" s="488"/>
      <c r="BA517" s="488"/>
      <c r="BB517" s="488"/>
      <c r="BC517" s="488"/>
      <c r="BD517" s="488"/>
    </row>
    <row r="518" spans="3:56">
      <c r="C518" s="488"/>
      <c r="D518" s="488"/>
      <c r="E518" s="488"/>
      <c r="F518" s="488"/>
      <c r="G518" s="488"/>
      <c r="H518" s="488"/>
      <c r="I518" s="488"/>
      <c r="J518" s="488"/>
      <c r="K518" s="488"/>
      <c r="L518" s="488"/>
      <c r="M518" s="488"/>
      <c r="N518" s="488"/>
      <c r="O518" s="488"/>
      <c r="P518" s="488"/>
      <c r="Q518" s="488"/>
      <c r="R518" s="488"/>
      <c r="S518" s="488"/>
      <c r="T518" s="488"/>
      <c r="U518" s="488"/>
      <c r="V518" s="488"/>
      <c r="W518" s="488"/>
      <c r="X518" s="488"/>
      <c r="Y518" s="488"/>
      <c r="Z518" s="488"/>
      <c r="AA518" s="488"/>
      <c r="AB518" s="488"/>
      <c r="AC518" s="488"/>
      <c r="AD518" s="488"/>
      <c r="AE518" s="488"/>
      <c r="AF518" s="488"/>
      <c r="AG518" s="488"/>
      <c r="AH518" s="488"/>
      <c r="AI518" s="488"/>
      <c r="AJ518" s="488"/>
      <c r="AK518" s="488"/>
      <c r="AL518" s="488"/>
      <c r="AM518" s="488"/>
      <c r="AN518" s="488"/>
      <c r="AO518" s="488"/>
      <c r="AP518" s="488"/>
      <c r="AQ518" s="488"/>
      <c r="AR518" s="488"/>
      <c r="AS518" s="488"/>
      <c r="AT518" s="488"/>
      <c r="AU518" s="488"/>
      <c r="AV518" s="488"/>
      <c r="AW518" s="488"/>
      <c r="AX518" s="488"/>
      <c r="AY518" s="488"/>
      <c r="AZ518" s="488"/>
      <c r="BA518" s="488"/>
      <c r="BB518" s="488"/>
      <c r="BC518" s="488"/>
      <c r="BD518" s="488"/>
    </row>
    <row r="519" spans="3:56">
      <c r="C519" s="488"/>
      <c r="D519" s="488"/>
      <c r="E519" s="488"/>
      <c r="F519" s="488"/>
      <c r="G519" s="488"/>
      <c r="H519" s="488"/>
      <c r="I519" s="488"/>
      <c r="J519" s="488"/>
      <c r="K519" s="488"/>
      <c r="L519" s="488"/>
      <c r="M519" s="488"/>
      <c r="N519" s="488"/>
      <c r="O519" s="488"/>
      <c r="P519" s="488"/>
      <c r="Q519" s="488"/>
      <c r="R519" s="488"/>
      <c r="S519" s="488"/>
      <c r="T519" s="488"/>
      <c r="U519" s="488"/>
      <c r="V519" s="488"/>
      <c r="W519" s="488"/>
      <c r="X519" s="488"/>
      <c r="Y519" s="488"/>
      <c r="Z519" s="488"/>
      <c r="AA519" s="488"/>
      <c r="AB519" s="488"/>
      <c r="AC519" s="488"/>
      <c r="AD519" s="488"/>
      <c r="AE519" s="488"/>
      <c r="AF519" s="488"/>
      <c r="AG519" s="488"/>
      <c r="AH519" s="488"/>
      <c r="AI519" s="488"/>
      <c r="AJ519" s="488"/>
      <c r="AK519" s="488"/>
      <c r="AL519" s="488"/>
      <c r="AM519" s="488"/>
      <c r="AN519" s="488"/>
      <c r="AO519" s="488"/>
      <c r="AP519" s="488"/>
      <c r="AQ519" s="488"/>
      <c r="AR519" s="488"/>
      <c r="AS519" s="488"/>
      <c r="AT519" s="488"/>
      <c r="AU519" s="488"/>
      <c r="AV519" s="488"/>
      <c r="AW519" s="488"/>
      <c r="AX519" s="488"/>
      <c r="AY519" s="488"/>
      <c r="AZ519" s="488"/>
      <c r="BA519" s="488"/>
      <c r="BB519" s="488"/>
      <c r="BC519" s="488"/>
      <c r="BD519" s="488"/>
    </row>
    <row r="520" spans="3:56">
      <c r="C520" s="488"/>
      <c r="D520" s="488"/>
      <c r="E520" s="488"/>
      <c r="F520" s="488"/>
      <c r="G520" s="488"/>
      <c r="H520" s="488"/>
      <c r="I520" s="488"/>
      <c r="J520" s="488"/>
      <c r="K520" s="488"/>
      <c r="L520" s="488"/>
      <c r="M520" s="488"/>
      <c r="N520" s="488"/>
      <c r="O520" s="488"/>
      <c r="P520" s="488"/>
      <c r="Q520" s="488"/>
      <c r="R520" s="488"/>
      <c r="S520" s="488"/>
      <c r="T520" s="488"/>
      <c r="U520" s="488"/>
      <c r="V520" s="488"/>
      <c r="W520" s="488"/>
      <c r="X520" s="488"/>
      <c r="Y520" s="488"/>
      <c r="Z520" s="488"/>
      <c r="AA520" s="488"/>
      <c r="AB520" s="488"/>
      <c r="AC520" s="488"/>
      <c r="AD520" s="488"/>
      <c r="AE520" s="488"/>
      <c r="AF520" s="488"/>
      <c r="AG520" s="488"/>
      <c r="AH520" s="488"/>
      <c r="AI520" s="488"/>
      <c r="AJ520" s="488"/>
      <c r="AK520" s="488"/>
      <c r="AL520" s="488"/>
      <c r="AM520" s="488"/>
      <c r="AN520" s="488"/>
      <c r="AO520" s="488"/>
      <c r="AP520" s="488"/>
      <c r="AQ520" s="488"/>
      <c r="AR520" s="488"/>
      <c r="AS520" s="488"/>
      <c r="AT520" s="488"/>
      <c r="AU520" s="488"/>
      <c r="AV520" s="488"/>
      <c r="AW520" s="488"/>
      <c r="AX520" s="488"/>
      <c r="AY520" s="488"/>
      <c r="AZ520" s="488"/>
      <c r="BA520" s="488"/>
      <c r="BB520" s="488"/>
      <c r="BC520" s="488"/>
      <c r="BD520" s="488"/>
    </row>
    <row r="521" spans="3:56">
      <c r="C521" s="488"/>
      <c r="D521" s="488"/>
      <c r="E521" s="488"/>
      <c r="F521" s="488"/>
      <c r="G521" s="488"/>
      <c r="H521" s="488"/>
      <c r="I521" s="488"/>
      <c r="J521" s="488"/>
      <c r="K521" s="488"/>
      <c r="L521" s="488"/>
      <c r="M521" s="488"/>
      <c r="N521" s="488"/>
      <c r="O521" s="488"/>
      <c r="P521" s="488"/>
      <c r="Q521" s="488"/>
      <c r="R521" s="488"/>
      <c r="S521" s="488"/>
      <c r="T521" s="488"/>
      <c r="U521" s="488"/>
      <c r="V521" s="488"/>
      <c r="W521" s="488"/>
      <c r="X521" s="488"/>
      <c r="Y521" s="488"/>
      <c r="Z521" s="488"/>
      <c r="AA521" s="488"/>
      <c r="AB521" s="488"/>
      <c r="AC521" s="488"/>
      <c r="AD521" s="488"/>
      <c r="AE521" s="488"/>
      <c r="AF521" s="488"/>
      <c r="AG521" s="488"/>
      <c r="AH521" s="488"/>
      <c r="AI521" s="488"/>
      <c r="AJ521" s="488"/>
      <c r="AK521" s="488"/>
      <c r="AL521" s="488"/>
      <c r="AM521" s="488"/>
      <c r="AN521" s="488"/>
      <c r="AO521" s="488"/>
      <c r="AP521" s="488"/>
      <c r="AQ521" s="488"/>
      <c r="AR521" s="488"/>
      <c r="AS521" s="488"/>
      <c r="AT521" s="488"/>
      <c r="AU521" s="488"/>
      <c r="AV521" s="488"/>
      <c r="AW521" s="488"/>
      <c r="AX521" s="488"/>
      <c r="AY521" s="488"/>
      <c r="AZ521" s="488"/>
      <c r="BA521" s="488"/>
      <c r="BB521" s="488"/>
      <c r="BC521" s="488"/>
      <c r="BD521" s="488"/>
    </row>
    <row r="522" spans="3:56">
      <c r="C522" s="488"/>
      <c r="D522" s="488"/>
      <c r="E522" s="488"/>
      <c r="F522" s="488"/>
      <c r="G522" s="488"/>
      <c r="H522" s="488"/>
      <c r="I522" s="488"/>
      <c r="J522" s="488"/>
      <c r="K522" s="488"/>
      <c r="L522" s="488"/>
      <c r="M522" s="488"/>
      <c r="N522" s="488"/>
      <c r="O522" s="488"/>
      <c r="P522" s="488"/>
      <c r="Q522" s="488"/>
      <c r="R522" s="488"/>
      <c r="S522" s="488"/>
      <c r="T522" s="488"/>
      <c r="U522" s="488"/>
      <c r="V522" s="488"/>
      <c r="W522" s="488"/>
      <c r="X522" s="488"/>
      <c r="Y522" s="488"/>
      <c r="Z522" s="488"/>
      <c r="AA522" s="488"/>
      <c r="AB522" s="488"/>
      <c r="AC522" s="488"/>
      <c r="AD522" s="488"/>
      <c r="AE522" s="488"/>
      <c r="AF522" s="488"/>
      <c r="AG522" s="488"/>
      <c r="AH522" s="488"/>
      <c r="AI522" s="488"/>
      <c r="AJ522" s="488"/>
      <c r="AK522" s="488"/>
      <c r="AL522" s="488"/>
      <c r="AM522" s="488"/>
      <c r="AN522" s="488"/>
      <c r="AO522" s="488"/>
      <c r="AP522" s="488"/>
      <c r="AQ522" s="488"/>
      <c r="AR522" s="488"/>
      <c r="AS522" s="488"/>
      <c r="AT522" s="488"/>
      <c r="AU522" s="488"/>
      <c r="AV522" s="488"/>
      <c r="AW522" s="488"/>
      <c r="AX522" s="488"/>
      <c r="AY522" s="488"/>
      <c r="AZ522" s="488"/>
      <c r="BA522" s="488"/>
      <c r="BB522" s="488"/>
      <c r="BC522" s="488"/>
      <c r="BD522" s="488"/>
    </row>
    <row r="523" spans="3:56">
      <c r="C523" s="488"/>
      <c r="D523" s="488"/>
      <c r="E523" s="488"/>
      <c r="F523" s="488"/>
      <c r="G523" s="488"/>
      <c r="H523" s="488"/>
      <c r="I523" s="488"/>
      <c r="J523" s="488"/>
      <c r="K523" s="488"/>
      <c r="L523" s="488"/>
      <c r="M523" s="488"/>
      <c r="N523" s="488"/>
      <c r="O523" s="488"/>
      <c r="P523" s="488"/>
      <c r="Q523" s="488"/>
      <c r="R523" s="488"/>
      <c r="S523" s="488"/>
      <c r="T523" s="488"/>
      <c r="U523" s="488"/>
      <c r="V523" s="488"/>
      <c r="W523" s="488"/>
      <c r="X523" s="488"/>
      <c r="Y523" s="488"/>
      <c r="Z523" s="488"/>
      <c r="AA523" s="488"/>
      <c r="AB523" s="488"/>
      <c r="AC523" s="488"/>
      <c r="AD523" s="488"/>
      <c r="AE523" s="488"/>
      <c r="AF523" s="488"/>
      <c r="AG523" s="488"/>
      <c r="AH523" s="488"/>
      <c r="AI523" s="488"/>
      <c r="AJ523" s="488"/>
      <c r="AK523" s="488"/>
      <c r="AL523" s="488"/>
      <c r="AM523" s="488"/>
      <c r="AN523" s="488"/>
      <c r="AO523" s="488"/>
      <c r="AP523" s="488"/>
      <c r="AQ523" s="488"/>
      <c r="AR523" s="488"/>
      <c r="AS523" s="488"/>
      <c r="AT523" s="488"/>
      <c r="AU523" s="488"/>
      <c r="AV523" s="488"/>
      <c r="AW523" s="488"/>
      <c r="AX523" s="488"/>
      <c r="AY523" s="488"/>
      <c r="AZ523" s="488"/>
      <c r="BA523" s="488"/>
      <c r="BB523" s="488"/>
      <c r="BC523" s="488"/>
      <c r="BD523" s="488"/>
    </row>
    <row r="524" spans="3:56">
      <c r="C524" s="488"/>
      <c r="D524" s="488"/>
      <c r="E524" s="488"/>
      <c r="F524" s="488"/>
      <c r="G524" s="488"/>
      <c r="H524" s="488"/>
      <c r="I524" s="488"/>
      <c r="J524" s="488"/>
      <c r="K524" s="488"/>
      <c r="L524" s="488"/>
      <c r="M524" s="488"/>
      <c r="N524" s="488"/>
      <c r="O524" s="488"/>
      <c r="P524" s="488"/>
      <c r="Q524" s="488"/>
      <c r="R524" s="488"/>
      <c r="S524" s="488"/>
      <c r="T524" s="488"/>
      <c r="U524" s="488"/>
      <c r="V524" s="488"/>
      <c r="W524" s="488"/>
      <c r="X524" s="488"/>
      <c r="Y524" s="488"/>
      <c r="Z524" s="488"/>
      <c r="AA524" s="488"/>
      <c r="AB524" s="488"/>
      <c r="AC524" s="488"/>
      <c r="AD524" s="488"/>
      <c r="AE524" s="488"/>
      <c r="AF524" s="488"/>
      <c r="AG524" s="488"/>
      <c r="AH524" s="488"/>
      <c r="AI524" s="488"/>
      <c r="AJ524" s="488"/>
      <c r="AK524" s="488"/>
      <c r="AL524" s="488"/>
      <c r="AM524" s="488"/>
      <c r="AN524" s="488"/>
      <c r="AO524" s="488"/>
      <c r="AP524" s="488"/>
      <c r="AQ524" s="488"/>
      <c r="AR524" s="488"/>
      <c r="AS524" s="488"/>
      <c r="AT524" s="488"/>
      <c r="AU524" s="488"/>
      <c r="AV524" s="488"/>
      <c r="AW524" s="488"/>
      <c r="AX524" s="488"/>
      <c r="AY524" s="488"/>
      <c r="AZ524" s="488"/>
      <c r="BA524" s="488"/>
      <c r="BB524" s="488"/>
      <c r="BC524" s="488"/>
      <c r="BD524" s="488"/>
    </row>
    <row r="525" spans="3:56">
      <c r="C525" s="488"/>
      <c r="D525" s="488"/>
      <c r="E525" s="488"/>
      <c r="F525" s="488"/>
      <c r="G525" s="488"/>
      <c r="H525" s="488"/>
      <c r="I525" s="488"/>
      <c r="J525" s="488"/>
      <c r="K525" s="488"/>
      <c r="L525" s="488"/>
      <c r="M525" s="488"/>
      <c r="N525" s="488"/>
      <c r="O525" s="488"/>
      <c r="P525" s="488"/>
      <c r="Q525" s="488"/>
      <c r="R525" s="488"/>
      <c r="S525" s="488"/>
      <c r="T525" s="488"/>
      <c r="U525" s="488"/>
      <c r="V525" s="488"/>
      <c r="W525" s="488"/>
      <c r="X525" s="488"/>
      <c r="Y525" s="488"/>
      <c r="Z525" s="488"/>
      <c r="AA525" s="488"/>
      <c r="AB525" s="488"/>
      <c r="AC525" s="488"/>
      <c r="AD525" s="488"/>
      <c r="AE525" s="488"/>
      <c r="AF525" s="488"/>
      <c r="AG525" s="488"/>
      <c r="AH525" s="488"/>
      <c r="AI525" s="488"/>
      <c r="AJ525" s="488"/>
      <c r="AK525" s="488"/>
      <c r="AL525" s="488"/>
      <c r="AM525" s="488"/>
      <c r="AN525" s="488"/>
      <c r="AO525" s="488"/>
      <c r="AP525" s="488"/>
      <c r="AQ525" s="488"/>
      <c r="AR525" s="488"/>
      <c r="AS525" s="488"/>
      <c r="AT525" s="488"/>
      <c r="AU525" s="488"/>
      <c r="AV525" s="488"/>
      <c r="AW525" s="488"/>
      <c r="AX525" s="488"/>
      <c r="AY525" s="488"/>
      <c r="AZ525" s="488"/>
      <c r="BA525" s="488"/>
      <c r="BB525" s="488"/>
      <c r="BC525" s="488"/>
      <c r="BD525" s="488"/>
    </row>
    <row r="526" spans="3:56">
      <c r="C526" s="488"/>
      <c r="D526" s="488"/>
      <c r="E526" s="488"/>
      <c r="F526" s="488"/>
      <c r="G526" s="488"/>
      <c r="H526" s="488"/>
      <c r="I526" s="488"/>
      <c r="J526" s="488"/>
      <c r="K526" s="488"/>
      <c r="L526" s="488"/>
      <c r="M526" s="488"/>
      <c r="N526" s="488"/>
      <c r="O526" s="488"/>
      <c r="P526" s="488"/>
      <c r="Q526" s="488"/>
      <c r="R526" s="488"/>
      <c r="S526" s="488"/>
      <c r="T526" s="488"/>
      <c r="U526" s="488"/>
      <c r="V526" s="488"/>
      <c r="W526" s="488"/>
      <c r="X526" s="488"/>
      <c r="Y526" s="488"/>
      <c r="Z526" s="488"/>
      <c r="AA526" s="488"/>
      <c r="AB526" s="488"/>
      <c r="AC526" s="488"/>
      <c r="AD526" s="488"/>
      <c r="AE526" s="488"/>
      <c r="AF526" s="488"/>
      <c r="AG526" s="488"/>
      <c r="AH526" s="488"/>
      <c r="AI526" s="488"/>
      <c r="AJ526" s="488"/>
      <c r="AK526" s="488"/>
      <c r="AL526" s="488"/>
      <c r="AM526" s="488"/>
      <c r="AN526" s="488"/>
      <c r="AO526" s="488"/>
      <c r="AP526" s="488"/>
      <c r="AQ526" s="488"/>
      <c r="AR526" s="488"/>
      <c r="AS526" s="488"/>
      <c r="AT526" s="488"/>
      <c r="AU526" s="488"/>
      <c r="AV526" s="488"/>
      <c r="AW526" s="488"/>
      <c r="AX526" s="488"/>
      <c r="AY526" s="488"/>
      <c r="AZ526" s="488"/>
      <c r="BA526" s="488"/>
      <c r="BB526" s="488"/>
      <c r="BC526" s="488"/>
      <c r="BD526" s="488"/>
    </row>
    <row r="527" spans="3:56">
      <c r="C527" s="488"/>
      <c r="D527" s="488"/>
      <c r="E527" s="488"/>
      <c r="F527" s="488"/>
      <c r="G527" s="488"/>
      <c r="H527" s="488"/>
      <c r="I527" s="488"/>
      <c r="J527" s="488"/>
      <c r="K527" s="488"/>
      <c r="L527" s="488"/>
      <c r="M527" s="488"/>
      <c r="N527" s="488"/>
      <c r="O527" s="488"/>
      <c r="P527" s="488"/>
      <c r="Q527" s="488"/>
      <c r="R527" s="488"/>
      <c r="S527" s="488"/>
      <c r="T527" s="488"/>
      <c r="U527" s="488"/>
      <c r="V527" s="488"/>
      <c r="W527" s="488"/>
      <c r="X527" s="488"/>
      <c r="Y527" s="488"/>
      <c r="Z527" s="488"/>
      <c r="AA527" s="488"/>
      <c r="AB527" s="488"/>
      <c r="AC527" s="488"/>
      <c r="AD527" s="488"/>
      <c r="AE527" s="488"/>
      <c r="AF527" s="488"/>
      <c r="AG527" s="488"/>
      <c r="AH527" s="488"/>
      <c r="AI527" s="488"/>
      <c r="AJ527" s="488"/>
      <c r="AK527" s="488"/>
      <c r="AL527" s="488"/>
      <c r="AM527" s="488"/>
      <c r="AN527" s="488"/>
      <c r="AO527" s="488"/>
      <c r="AP527" s="488"/>
      <c r="AQ527" s="488"/>
      <c r="AR527" s="488"/>
      <c r="AS527" s="488"/>
      <c r="AT527" s="488"/>
      <c r="AU527" s="488"/>
      <c r="AV527" s="488"/>
      <c r="AW527" s="488"/>
      <c r="AX527" s="488"/>
      <c r="AY527" s="488"/>
      <c r="AZ527" s="488"/>
      <c r="BA527" s="488"/>
      <c r="BB527" s="488"/>
      <c r="BC527" s="488"/>
      <c r="BD527" s="488"/>
    </row>
    <row r="528" spans="3:56">
      <c r="C528" s="488"/>
      <c r="D528" s="488"/>
      <c r="E528" s="488"/>
      <c r="F528" s="488"/>
      <c r="G528" s="488"/>
      <c r="H528" s="488"/>
      <c r="I528" s="488"/>
      <c r="J528" s="488"/>
      <c r="K528" s="488"/>
      <c r="L528" s="488"/>
      <c r="M528" s="488"/>
      <c r="N528" s="488"/>
      <c r="O528" s="488"/>
      <c r="P528" s="488"/>
      <c r="Q528" s="488"/>
      <c r="R528" s="488"/>
      <c r="S528" s="488"/>
      <c r="T528" s="488"/>
      <c r="U528" s="488"/>
      <c r="V528" s="488"/>
      <c r="W528" s="488"/>
      <c r="X528" s="488"/>
      <c r="Y528" s="488"/>
      <c r="Z528" s="488"/>
      <c r="AA528" s="488"/>
      <c r="AB528" s="488"/>
      <c r="AC528" s="488"/>
      <c r="AD528" s="488"/>
      <c r="AE528" s="488"/>
      <c r="AF528" s="488"/>
      <c r="AG528" s="488"/>
      <c r="AH528" s="488"/>
      <c r="AI528" s="488"/>
      <c r="AJ528" s="488"/>
      <c r="AK528" s="488"/>
      <c r="AL528" s="488"/>
      <c r="AM528" s="488"/>
      <c r="AN528" s="488"/>
      <c r="AO528" s="488"/>
      <c r="AP528" s="488"/>
      <c r="AQ528" s="488"/>
      <c r="AR528" s="488"/>
      <c r="AS528" s="488"/>
      <c r="AT528" s="488"/>
      <c r="AU528" s="488"/>
      <c r="AV528" s="488"/>
      <c r="AW528" s="488"/>
      <c r="AX528" s="488"/>
      <c r="AY528" s="488"/>
      <c r="AZ528" s="488"/>
      <c r="BA528" s="488"/>
      <c r="BB528" s="488"/>
      <c r="BC528" s="488"/>
      <c r="BD528" s="488"/>
    </row>
    <row r="529" spans="3:56">
      <c r="C529" s="488"/>
      <c r="D529" s="488"/>
      <c r="E529" s="488"/>
      <c r="F529" s="488"/>
      <c r="G529" s="488"/>
      <c r="H529" s="488"/>
      <c r="I529" s="488"/>
      <c r="J529" s="488"/>
      <c r="K529" s="488"/>
      <c r="L529" s="488"/>
      <c r="M529" s="488"/>
      <c r="N529" s="488"/>
      <c r="O529" s="488"/>
      <c r="P529" s="488"/>
      <c r="Q529" s="488"/>
      <c r="R529" s="488"/>
      <c r="S529" s="488"/>
      <c r="T529" s="488"/>
      <c r="U529" s="488"/>
      <c r="V529" s="488"/>
      <c r="W529" s="488"/>
      <c r="X529" s="488"/>
      <c r="Y529" s="488"/>
      <c r="Z529" s="488"/>
      <c r="AA529" s="488"/>
      <c r="AB529" s="488"/>
      <c r="AC529" s="488"/>
      <c r="AD529" s="488"/>
      <c r="AE529" s="488"/>
      <c r="AF529" s="488"/>
      <c r="AG529" s="488"/>
      <c r="AH529" s="488"/>
      <c r="AI529" s="488"/>
      <c r="AJ529" s="488"/>
      <c r="AK529" s="488"/>
      <c r="AL529" s="488"/>
      <c r="AM529" s="488"/>
      <c r="AN529" s="488"/>
      <c r="AO529" s="488"/>
      <c r="AP529" s="488"/>
      <c r="AQ529" s="488"/>
      <c r="AR529" s="488"/>
      <c r="AS529" s="488"/>
      <c r="AT529" s="488"/>
      <c r="AU529" s="488"/>
      <c r="AV529" s="488"/>
      <c r="AW529" s="488"/>
      <c r="AX529" s="488"/>
      <c r="AY529" s="488"/>
      <c r="AZ529" s="488"/>
      <c r="BA529" s="488"/>
      <c r="BB529" s="488"/>
      <c r="BC529" s="488"/>
      <c r="BD529" s="488"/>
    </row>
    <row r="530" spans="3:56">
      <c r="C530" s="488"/>
      <c r="D530" s="488"/>
      <c r="E530" s="488"/>
      <c r="F530" s="488"/>
      <c r="G530" s="488"/>
      <c r="H530" s="488"/>
      <c r="I530" s="488"/>
      <c r="J530" s="488"/>
      <c r="K530" s="488"/>
      <c r="L530" s="488"/>
      <c r="M530" s="488"/>
      <c r="N530" s="488"/>
      <c r="O530" s="488"/>
      <c r="P530" s="488"/>
      <c r="Q530" s="488"/>
      <c r="R530" s="488"/>
      <c r="S530" s="488"/>
      <c r="T530" s="488"/>
      <c r="U530" s="488"/>
      <c r="V530" s="488"/>
      <c r="W530" s="488"/>
      <c r="X530" s="488"/>
      <c r="Y530" s="488"/>
      <c r="Z530" s="488"/>
      <c r="AA530" s="488"/>
      <c r="AB530" s="488"/>
      <c r="AC530" s="488"/>
      <c r="AD530" s="488"/>
      <c r="AE530" s="488"/>
      <c r="AF530" s="488"/>
      <c r="AG530" s="488"/>
      <c r="AH530" s="488"/>
      <c r="AI530" s="488"/>
      <c r="AJ530" s="488"/>
      <c r="AK530" s="488"/>
      <c r="AL530" s="488"/>
      <c r="AM530" s="488"/>
      <c r="AN530" s="488"/>
      <c r="AO530" s="488"/>
      <c r="AP530" s="488"/>
      <c r="AQ530" s="488"/>
      <c r="AR530" s="488"/>
      <c r="AS530" s="488"/>
      <c r="AT530" s="488"/>
      <c r="AU530" s="488"/>
      <c r="AV530" s="488"/>
      <c r="AW530" s="488"/>
      <c r="AX530" s="488"/>
      <c r="AY530" s="488"/>
      <c r="AZ530" s="488"/>
      <c r="BA530" s="488"/>
      <c r="BB530" s="488"/>
      <c r="BC530" s="488"/>
      <c r="BD530" s="488"/>
    </row>
    <row r="531" spans="3:56">
      <c r="C531" s="488"/>
      <c r="D531" s="488"/>
      <c r="E531" s="488"/>
      <c r="F531" s="488"/>
      <c r="G531" s="488"/>
      <c r="H531" s="488"/>
      <c r="I531" s="488"/>
      <c r="J531" s="488"/>
      <c r="K531" s="488"/>
      <c r="L531" s="488"/>
      <c r="M531" s="488"/>
      <c r="N531" s="488"/>
      <c r="O531" s="488"/>
      <c r="P531" s="488"/>
      <c r="Q531" s="488"/>
      <c r="R531" s="488"/>
      <c r="S531" s="488"/>
      <c r="T531" s="488"/>
      <c r="U531" s="488"/>
      <c r="V531" s="488"/>
      <c r="W531" s="488"/>
      <c r="X531" s="488"/>
      <c r="Y531" s="488"/>
      <c r="Z531" s="488"/>
      <c r="AA531" s="488"/>
      <c r="AB531" s="488"/>
      <c r="AC531" s="488"/>
      <c r="AD531" s="488"/>
      <c r="AE531" s="488"/>
      <c r="AF531" s="488"/>
      <c r="AG531" s="488"/>
      <c r="AH531" s="488"/>
      <c r="AI531" s="488"/>
      <c r="AJ531" s="488"/>
      <c r="AK531" s="488"/>
      <c r="AL531" s="488"/>
      <c r="AM531" s="488"/>
      <c r="AN531" s="488"/>
      <c r="AO531" s="488"/>
      <c r="AP531" s="488"/>
      <c r="AQ531" s="488"/>
      <c r="AR531" s="488"/>
      <c r="AS531" s="488"/>
      <c r="AT531" s="488"/>
      <c r="AU531" s="488"/>
      <c r="AV531" s="488"/>
      <c r="AW531" s="488"/>
      <c r="AX531" s="488"/>
      <c r="AY531" s="488"/>
      <c r="AZ531" s="488"/>
      <c r="BA531" s="488"/>
      <c r="BB531" s="488"/>
      <c r="BC531" s="488"/>
      <c r="BD531" s="488"/>
    </row>
    <row r="532" spans="3:56">
      <c r="C532" s="488"/>
      <c r="D532" s="488"/>
      <c r="E532" s="488"/>
      <c r="F532" s="488"/>
      <c r="G532" s="488"/>
      <c r="H532" s="488"/>
      <c r="I532" s="488"/>
      <c r="J532" s="488"/>
      <c r="K532" s="488"/>
      <c r="L532" s="488"/>
      <c r="M532" s="488"/>
      <c r="N532" s="488"/>
      <c r="O532" s="488"/>
      <c r="P532" s="488"/>
      <c r="Q532" s="488"/>
      <c r="R532" s="488"/>
      <c r="S532" s="488"/>
      <c r="T532" s="488"/>
      <c r="U532" s="488"/>
      <c r="V532" s="488"/>
      <c r="W532" s="488"/>
      <c r="X532" s="488"/>
      <c r="Y532" s="488"/>
      <c r="Z532" s="488"/>
      <c r="AA532" s="488"/>
      <c r="AB532" s="488"/>
      <c r="AC532" s="488"/>
      <c r="AD532" s="488"/>
      <c r="AE532" s="488"/>
      <c r="AF532" s="488"/>
      <c r="AG532" s="488"/>
      <c r="AH532" s="488"/>
      <c r="AI532" s="488"/>
      <c r="AJ532" s="488"/>
      <c r="AK532" s="488"/>
      <c r="AL532" s="488"/>
      <c r="AM532" s="488"/>
      <c r="AN532" s="488"/>
      <c r="AO532" s="488"/>
      <c r="AP532" s="488"/>
      <c r="AQ532" s="488"/>
      <c r="AR532" s="488"/>
      <c r="AS532" s="488"/>
      <c r="AT532" s="488"/>
      <c r="AU532" s="488"/>
      <c r="AV532" s="488"/>
      <c r="AW532" s="488"/>
      <c r="AX532" s="488"/>
      <c r="AY532" s="488"/>
      <c r="AZ532" s="488"/>
      <c r="BA532" s="488"/>
      <c r="BB532" s="488"/>
      <c r="BC532" s="488"/>
      <c r="BD532" s="488"/>
    </row>
    <row r="533" spans="3:56">
      <c r="C533" s="488"/>
      <c r="D533" s="488"/>
      <c r="E533" s="488"/>
      <c r="F533" s="488"/>
      <c r="G533" s="488"/>
      <c r="H533" s="488"/>
      <c r="I533" s="488"/>
      <c r="J533" s="488"/>
      <c r="K533" s="488"/>
      <c r="L533" s="488"/>
      <c r="M533" s="488"/>
      <c r="N533" s="488"/>
      <c r="O533" s="488"/>
      <c r="P533" s="488"/>
      <c r="Q533" s="488"/>
      <c r="R533" s="488"/>
      <c r="S533" s="488"/>
      <c r="T533" s="488"/>
      <c r="U533" s="488"/>
      <c r="V533" s="488"/>
      <c r="W533" s="488"/>
      <c r="X533" s="488"/>
      <c r="Y533" s="488"/>
      <c r="Z533" s="488"/>
      <c r="AA533" s="488"/>
      <c r="AB533" s="488"/>
      <c r="AC533" s="488"/>
      <c r="AD533" s="488"/>
      <c r="AE533" s="488"/>
      <c r="AF533" s="488"/>
      <c r="AG533" s="488"/>
      <c r="AH533" s="488"/>
      <c r="AI533" s="488"/>
      <c r="AJ533" s="488"/>
      <c r="AK533" s="488"/>
      <c r="AL533" s="488"/>
      <c r="AM533" s="488"/>
      <c r="AN533" s="488"/>
      <c r="AO533" s="488"/>
      <c r="AP533" s="488"/>
      <c r="AQ533" s="488"/>
      <c r="AR533" s="488"/>
      <c r="AS533" s="488"/>
      <c r="AT533" s="488"/>
      <c r="AU533" s="488"/>
      <c r="AV533" s="488"/>
      <c r="AW533" s="488"/>
      <c r="AX533" s="488"/>
      <c r="AY533" s="488"/>
      <c r="AZ533" s="488"/>
      <c r="BA533" s="488"/>
      <c r="BB533" s="488"/>
      <c r="BC533" s="488"/>
      <c r="BD533" s="488"/>
    </row>
    <row r="534" spans="3:56">
      <c r="C534" s="488"/>
      <c r="D534" s="488"/>
      <c r="E534" s="488"/>
      <c r="F534" s="488"/>
      <c r="G534" s="488"/>
      <c r="H534" s="488"/>
      <c r="I534" s="488"/>
      <c r="J534" s="488"/>
      <c r="K534" s="488"/>
      <c r="L534" s="488"/>
      <c r="M534" s="488"/>
      <c r="N534" s="488"/>
      <c r="O534" s="488"/>
      <c r="P534" s="488"/>
      <c r="Q534" s="488"/>
      <c r="R534" s="488"/>
      <c r="S534" s="488"/>
      <c r="T534" s="488"/>
      <c r="U534" s="488"/>
      <c r="V534" s="488"/>
      <c r="W534" s="488"/>
      <c r="X534" s="488"/>
      <c r="Y534" s="488"/>
      <c r="Z534" s="488"/>
      <c r="AA534" s="488"/>
      <c r="AB534" s="488"/>
      <c r="AC534" s="488"/>
      <c r="AD534" s="488"/>
      <c r="AE534" s="488"/>
      <c r="AF534" s="488"/>
      <c r="AG534" s="488"/>
      <c r="AH534" s="488"/>
      <c r="AI534" s="488"/>
      <c r="AJ534" s="488"/>
      <c r="AK534" s="488"/>
      <c r="AL534" s="488"/>
      <c r="AM534" s="488"/>
      <c r="AN534" s="488"/>
      <c r="AO534" s="488"/>
      <c r="AP534" s="488"/>
      <c r="AQ534" s="488"/>
      <c r="AR534" s="488"/>
      <c r="AS534" s="488"/>
      <c r="AT534" s="488"/>
      <c r="AU534" s="488"/>
      <c r="AV534" s="488"/>
      <c r="AW534" s="488"/>
      <c r="AX534" s="488"/>
      <c r="AY534" s="488"/>
      <c r="AZ534" s="488"/>
      <c r="BA534" s="488"/>
      <c r="BB534" s="488"/>
      <c r="BC534" s="488"/>
      <c r="BD534" s="488"/>
    </row>
    <row r="535" spans="3:56">
      <c r="C535" s="488"/>
      <c r="D535" s="488"/>
      <c r="E535" s="488"/>
      <c r="F535" s="488"/>
      <c r="G535" s="488"/>
      <c r="H535" s="488"/>
      <c r="I535" s="488"/>
      <c r="J535" s="488"/>
      <c r="K535" s="488"/>
      <c r="L535" s="488"/>
      <c r="M535" s="488"/>
      <c r="N535" s="488"/>
      <c r="O535" s="488"/>
      <c r="P535" s="488"/>
      <c r="Q535" s="488"/>
      <c r="R535" s="488"/>
      <c r="S535" s="488"/>
      <c r="T535" s="488"/>
      <c r="U535" s="488"/>
      <c r="V535" s="488"/>
      <c r="W535" s="488"/>
      <c r="X535" s="488"/>
      <c r="Y535" s="488"/>
      <c r="Z535" s="488"/>
      <c r="AA535" s="488"/>
      <c r="AB535" s="488"/>
      <c r="AC535" s="488"/>
      <c r="AD535" s="488"/>
      <c r="AE535" s="488"/>
      <c r="AF535" s="488"/>
      <c r="AG535" s="488"/>
      <c r="AH535" s="488"/>
      <c r="AI535" s="488"/>
      <c r="AJ535" s="488"/>
      <c r="AK535" s="488"/>
      <c r="AL535" s="488"/>
      <c r="AM535" s="488"/>
      <c r="AN535" s="488"/>
      <c r="AO535" s="488"/>
      <c r="AP535" s="488"/>
      <c r="AQ535" s="488"/>
      <c r="AR535" s="488"/>
      <c r="AS535" s="488"/>
      <c r="AT535" s="488"/>
      <c r="AU535" s="488"/>
      <c r="AV535" s="488"/>
      <c r="AW535" s="488"/>
      <c r="AX535" s="488"/>
      <c r="AY535" s="488"/>
      <c r="AZ535" s="488"/>
      <c r="BA535" s="488"/>
      <c r="BB535" s="488"/>
      <c r="BC535" s="488"/>
      <c r="BD535" s="488"/>
    </row>
    <row r="536" spans="3:56">
      <c r="C536" s="488"/>
      <c r="D536" s="488"/>
      <c r="E536" s="488"/>
      <c r="F536" s="488"/>
      <c r="G536" s="488"/>
      <c r="H536" s="488"/>
      <c r="I536" s="488"/>
      <c r="J536" s="488"/>
      <c r="K536" s="488"/>
      <c r="L536" s="488"/>
      <c r="M536" s="488"/>
      <c r="N536" s="488"/>
      <c r="O536" s="488"/>
      <c r="P536" s="488"/>
      <c r="Q536" s="488"/>
      <c r="R536" s="488"/>
      <c r="S536" s="488"/>
      <c r="T536" s="488"/>
      <c r="U536" s="488"/>
      <c r="V536" s="488"/>
      <c r="W536" s="488"/>
      <c r="X536" s="488"/>
      <c r="Y536" s="488"/>
      <c r="Z536" s="488"/>
      <c r="AA536" s="488"/>
      <c r="AB536" s="488"/>
      <c r="AC536" s="488"/>
      <c r="AD536" s="488"/>
      <c r="AE536" s="488"/>
      <c r="AF536" s="488"/>
      <c r="AG536" s="488"/>
      <c r="AH536" s="488"/>
      <c r="AI536" s="488"/>
      <c r="AJ536" s="488"/>
      <c r="AK536" s="488"/>
      <c r="AL536" s="488"/>
      <c r="AM536" s="488"/>
      <c r="AN536" s="488"/>
      <c r="AO536" s="488"/>
      <c r="AP536" s="488"/>
      <c r="AQ536" s="488"/>
      <c r="AR536" s="488"/>
      <c r="AS536" s="488"/>
      <c r="AT536" s="488"/>
      <c r="AU536" s="488"/>
      <c r="AV536" s="488"/>
      <c r="AW536" s="488"/>
      <c r="AX536" s="488"/>
      <c r="AY536" s="488"/>
      <c r="AZ536" s="488"/>
      <c r="BA536" s="488"/>
      <c r="BB536" s="488"/>
      <c r="BC536" s="488"/>
      <c r="BD536" s="488"/>
    </row>
    <row r="537" spans="3:56">
      <c r="C537" s="488"/>
      <c r="D537" s="488"/>
      <c r="E537" s="488"/>
      <c r="F537" s="488"/>
      <c r="G537" s="488"/>
      <c r="H537" s="488"/>
      <c r="I537" s="488"/>
      <c r="J537" s="488"/>
      <c r="K537" s="488"/>
      <c r="L537" s="488"/>
      <c r="M537" s="488"/>
      <c r="N537" s="488"/>
      <c r="O537" s="488"/>
      <c r="P537" s="488"/>
      <c r="Q537" s="488"/>
      <c r="R537" s="488"/>
      <c r="S537" s="488"/>
      <c r="T537" s="488"/>
      <c r="U537" s="488"/>
      <c r="V537" s="488"/>
      <c r="W537" s="488"/>
      <c r="X537" s="488"/>
      <c r="Y537" s="488"/>
      <c r="Z537" s="488"/>
      <c r="AA537" s="488"/>
      <c r="AB537" s="488"/>
      <c r="AC537" s="488"/>
      <c r="AD537" s="488"/>
      <c r="AE537" s="488"/>
      <c r="AF537" s="488"/>
      <c r="AG537" s="488"/>
      <c r="AH537" s="488"/>
      <c r="AI537" s="488"/>
      <c r="AJ537" s="488"/>
      <c r="AK537" s="488"/>
      <c r="AL537" s="488"/>
      <c r="AM537" s="488"/>
      <c r="AN537" s="488"/>
      <c r="AO537" s="488"/>
      <c r="AP537" s="488"/>
      <c r="AQ537" s="488"/>
      <c r="AR537" s="488"/>
      <c r="AS537" s="488"/>
      <c r="AT537" s="488"/>
      <c r="AU537" s="488"/>
      <c r="AV537" s="488"/>
      <c r="AW537" s="488"/>
      <c r="AX537" s="488"/>
      <c r="AY537" s="488"/>
      <c r="AZ537" s="488"/>
      <c r="BA537" s="488"/>
      <c r="BB537" s="488"/>
      <c r="BC537" s="488"/>
      <c r="BD537" s="488"/>
    </row>
    <row r="538" spans="3:56">
      <c r="C538" s="488"/>
      <c r="D538" s="488"/>
      <c r="E538" s="488"/>
      <c r="F538" s="488"/>
      <c r="G538" s="488"/>
      <c r="H538" s="488"/>
      <c r="I538" s="488"/>
      <c r="J538" s="488"/>
      <c r="K538" s="488"/>
      <c r="L538" s="488"/>
      <c r="M538" s="488"/>
      <c r="N538" s="488"/>
      <c r="O538" s="488"/>
      <c r="P538" s="488"/>
      <c r="Q538" s="488"/>
      <c r="R538" s="488"/>
      <c r="S538" s="488"/>
      <c r="T538" s="488"/>
      <c r="U538" s="488"/>
      <c r="V538" s="488"/>
      <c r="W538" s="488"/>
      <c r="X538" s="488"/>
      <c r="Y538" s="488"/>
      <c r="Z538" s="488"/>
      <c r="AA538" s="488"/>
      <c r="AB538" s="488"/>
      <c r="AC538" s="488"/>
      <c r="AD538" s="488"/>
      <c r="AE538" s="488"/>
      <c r="AF538" s="488"/>
      <c r="AG538" s="488"/>
      <c r="AH538" s="488"/>
      <c r="AI538" s="488"/>
      <c r="AJ538" s="488"/>
      <c r="AK538" s="488"/>
      <c r="AL538" s="488"/>
      <c r="AM538" s="488"/>
      <c r="AN538" s="488"/>
      <c r="AO538" s="488"/>
      <c r="AP538" s="488"/>
      <c r="AQ538" s="488"/>
      <c r="AR538" s="488"/>
      <c r="AS538" s="488"/>
      <c r="AT538" s="488"/>
      <c r="AU538" s="488"/>
      <c r="AV538" s="488"/>
      <c r="AW538" s="488"/>
      <c r="AX538" s="488"/>
      <c r="AY538" s="488"/>
      <c r="AZ538" s="488"/>
      <c r="BA538" s="488"/>
      <c r="BB538" s="488"/>
      <c r="BC538" s="488"/>
      <c r="BD538" s="488"/>
    </row>
    <row r="539" spans="3:56">
      <c r="C539" s="488"/>
      <c r="D539" s="488"/>
      <c r="E539" s="488"/>
      <c r="F539" s="488"/>
      <c r="G539" s="488"/>
      <c r="H539" s="488"/>
      <c r="I539" s="488"/>
      <c r="J539" s="488"/>
      <c r="K539" s="488"/>
      <c r="L539" s="488"/>
      <c r="M539" s="488"/>
      <c r="N539" s="488"/>
      <c r="O539" s="488"/>
      <c r="P539" s="488"/>
      <c r="Q539" s="488"/>
      <c r="R539" s="488"/>
      <c r="S539" s="488"/>
      <c r="T539" s="488"/>
      <c r="U539" s="488"/>
      <c r="V539" s="488"/>
      <c r="W539" s="488"/>
      <c r="X539" s="488"/>
      <c r="Y539" s="488"/>
      <c r="Z539" s="488"/>
      <c r="AA539" s="488"/>
      <c r="AB539" s="488"/>
      <c r="AC539" s="488"/>
      <c r="AD539" s="488"/>
      <c r="AE539" s="488"/>
      <c r="AF539" s="488"/>
      <c r="AG539" s="488"/>
      <c r="AH539" s="488"/>
      <c r="AI539" s="488"/>
      <c r="AJ539" s="488"/>
      <c r="AK539" s="488"/>
      <c r="AL539" s="488"/>
      <c r="AM539" s="488"/>
      <c r="AN539" s="488"/>
      <c r="AO539" s="488"/>
      <c r="AP539" s="488"/>
      <c r="AQ539" s="488"/>
      <c r="AR539" s="488"/>
      <c r="AS539" s="488"/>
      <c r="AT539" s="488"/>
      <c r="AU539" s="488"/>
      <c r="AV539" s="488"/>
      <c r="AW539" s="488"/>
      <c r="AX539" s="488"/>
      <c r="AY539" s="488"/>
      <c r="AZ539" s="488"/>
      <c r="BA539" s="488"/>
      <c r="BB539" s="488"/>
      <c r="BC539" s="488"/>
      <c r="BD539" s="488"/>
    </row>
    <row r="540" spans="3:56">
      <c r="C540" s="488"/>
      <c r="D540" s="488"/>
      <c r="E540" s="488"/>
      <c r="F540" s="488"/>
      <c r="G540" s="488"/>
      <c r="H540" s="488"/>
      <c r="I540" s="488"/>
      <c r="J540" s="488"/>
      <c r="K540" s="488"/>
      <c r="L540" s="488"/>
      <c r="M540" s="488"/>
      <c r="N540" s="488"/>
      <c r="O540" s="488"/>
      <c r="P540" s="488"/>
      <c r="Q540" s="488"/>
      <c r="R540" s="488"/>
      <c r="S540" s="488"/>
      <c r="T540" s="488"/>
      <c r="U540" s="488"/>
      <c r="V540" s="488"/>
      <c r="W540" s="488"/>
      <c r="X540" s="488"/>
      <c r="Y540" s="488"/>
      <c r="Z540" s="488"/>
      <c r="AA540" s="488"/>
      <c r="AB540" s="488"/>
      <c r="AC540" s="488"/>
      <c r="AD540" s="488"/>
      <c r="AE540" s="488"/>
      <c r="AF540" s="488"/>
      <c r="AG540" s="488"/>
      <c r="AH540" s="488"/>
      <c r="AI540" s="488"/>
      <c r="AJ540" s="488"/>
      <c r="AK540" s="488"/>
      <c r="AL540" s="488"/>
      <c r="AM540" s="488"/>
      <c r="AN540" s="488"/>
      <c r="AO540" s="488"/>
      <c r="AP540" s="488"/>
      <c r="AQ540" s="488"/>
      <c r="AR540" s="488"/>
      <c r="AS540" s="488"/>
      <c r="AT540" s="488"/>
      <c r="AU540" s="488"/>
      <c r="AV540" s="488"/>
      <c r="AW540" s="488"/>
      <c r="AX540" s="488"/>
      <c r="AY540" s="488"/>
      <c r="AZ540" s="488"/>
      <c r="BA540" s="488"/>
      <c r="BB540" s="488"/>
      <c r="BC540" s="488"/>
      <c r="BD540" s="488"/>
    </row>
    <row r="541" spans="3:56">
      <c r="C541" s="488"/>
      <c r="D541" s="488"/>
      <c r="E541" s="488"/>
      <c r="F541" s="488"/>
      <c r="G541" s="488"/>
      <c r="H541" s="488"/>
      <c r="I541" s="488"/>
      <c r="J541" s="488"/>
      <c r="K541" s="488"/>
      <c r="L541" s="488"/>
      <c r="M541" s="488"/>
      <c r="N541" s="488"/>
      <c r="O541" s="488"/>
      <c r="P541" s="488"/>
      <c r="Q541" s="488"/>
      <c r="R541" s="488"/>
      <c r="S541" s="488"/>
      <c r="T541" s="488"/>
      <c r="U541" s="488"/>
      <c r="V541" s="488"/>
      <c r="W541" s="488"/>
      <c r="X541" s="488"/>
      <c r="Y541" s="488"/>
      <c r="Z541" s="488"/>
      <c r="AA541" s="488"/>
      <c r="AB541" s="488"/>
      <c r="AC541" s="488"/>
      <c r="AD541" s="488"/>
      <c r="AE541" s="488"/>
      <c r="AF541" s="488"/>
      <c r="AG541" s="488"/>
      <c r="AH541" s="488"/>
      <c r="AI541" s="488"/>
      <c r="AJ541" s="488"/>
      <c r="AK541" s="488"/>
      <c r="AL541" s="488"/>
      <c r="AM541" s="488"/>
      <c r="AN541" s="488"/>
      <c r="AO541" s="488"/>
      <c r="AP541" s="488"/>
      <c r="AQ541" s="488"/>
      <c r="AR541" s="488"/>
      <c r="AS541" s="488"/>
      <c r="AT541" s="488"/>
      <c r="AU541" s="488"/>
      <c r="AV541" s="488"/>
      <c r="AW541" s="488"/>
      <c r="AX541" s="488"/>
      <c r="AY541" s="488"/>
      <c r="AZ541" s="488"/>
      <c r="BA541" s="488"/>
      <c r="BB541" s="488"/>
      <c r="BC541" s="488"/>
      <c r="BD541" s="488"/>
    </row>
    <row r="542" spans="3:56">
      <c r="C542" s="488"/>
      <c r="D542" s="488"/>
      <c r="E542" s="488"/>
      <c r="F542" s="488"/>
      <c r="G542" s="488"/>
      <c r="H542" s="488"/>
      <c r="I542" s="488"/>
      <c r="J542" s="488"/>
      <c r="K542" s="488"/>
      <c r="L542" s="488"/>
      <c r="M542" s="488"/>
      <c r="N542" s="488"/>
      <c r="O542" s="488"/>
      <c r="P542" s="488"/>
      <c r="Q542" s="488"/>
      <c r="R542" s="488"/>
      <c r="S542" s="488"/>
      <c r="T542" s="488"/>
      <c r="U542" s="488"/>
      <c r="V542" s="488"/>
      <c r="W542" s="488"/>
      <c r="X542" s="488"/>
      <c r="Y542" s="488"/>
      <c r="Z542" s="488"/>
      <c r="AA542" s="488"/>
      <c r="AB542" s="488"/>
      <c r="AC542" s="488"/>
      <c r="AD542" s="488"/>
      <c r="AE542" s="488"/>
      <c r="AF542" s="488"/>
      <c r="AG542" s="488"/>
      <c r="AH542" s="488"/>
      <c r="AI542" s="488"/>
      <c r="AJ542" s="488"/>
      <c r="AK542" s="488"/>
      <c r="AL542" s="488"/>
      <c r="AM542" s="488"/>
      <c r="AN542" s="488"/>
      <c r="AO542" s="488"/>
      <c r="AP542" s="488"/>
      <c r="AQ542" s="488"/>
      <c r="AR542" s="488"/>
      <c r="AS542" s="488"/>
      <c r="AT542" s="488"/>
      <c r="AU542" s="488"/>
      <c r="AV542" s="488"/>
      <c r="AW542" s="488"/>
      <c r="AX542" s="488"/>
      <c r="AY542" s="488"/>
      <c r="AZ542" s="488"/>
      <c r="BA542" s="488"/>
      <c r="BB542" s="488"/>
      <c r="BC542" s="488"/>
      <c r="BD542" s="488"/>
    </row>
    <row r="543" spans="3:56">
      <c r="C543" s="488"/>
      <c r="D543" s="488"/>
      <c r="E543" s="488"/>
      <c r="F543" s="488"/>
      <c r="G543" s="488"/>
      <c r="H543" s="488"/>
      <c r="I543" s="488"/>
      <c r="J543" s="488"/>
      <c r="K543" s="488"/>
      <c r="L543" s="488"/>
      <c r="M543" s="488"/>
      <c r="N543" s="488"/>
      <c r="O543" s="488"/>
      <c r="P543" s="488"/>
      <c r="Q543" s="488"/>
      <c r="R543" s="488"/>
      <c r="S543" s="488"/>
      <c r="T543" s="488"/>
      <c r="U543" s="488"/>
      <c r="V543" s="488"/>
      <c r="W543" s="488"/>
      <c r="X543" s="488"/>
      <c r="Y543" s="488"/>
      <c r="Z543" s="488"/>
      <c r="AA543" s="488"/>
      <c r="AB543" s="488"/>
      <c r="AC543" s="488"/>
      <c r="AD543" s="488"/>
      <c r="AE543" s="488"/>
      <c r="AF543" s="488"/>
      <c r="AG543" s="488"/>
      <c r="AH543" s="488"/>
      <c r="AI543" s="488"/>
      <c r="AJ543" s="488"/>
      <c r="AK543" s="488"/>
      <c r="AL543" s="488"/>
      <c r="AM543" s="488"/>
      <c r="AN543" s="488"/>
      <c r="AO543" s="488"/>
      <c r="AP543" s="488"/>
      <c r="AQ543" s="488"/>
      <c r="AR543" s="488"/>
      <c r="AS543" s="488"/>
      <c r="AT543" s="488"/>
      <c r="AU543" s="488"/>
      <c r="AV543" s="488"/>
      <c r="AW543" s="488"/>
      <c r="AX543" s="488"/>
      <c r="AY543" s="488"/>
      <c r="AZ543" s="488"/>
      <c r="BA543" s="488"/>
      <c r="BB543" s="488"/>
      <c r="BC543" s="488"/>
      <c r="BD543" s="488"/>
    </row>
    <row r="544" spans="3:56">
      <c r="C544" s="488"/>
      <c r="D544" s="488"/>
      <c r="E544" s="488"/>
      <c r="F544" s="488"/>
      <c r="G544" s="488"/>
      <c r="H544" s="488"/>
      <c r="I544" s="488"/>
      <c r="J544" s="488"/>
      <c r="K544" s="488"/>
      <c r="L544" s="488"/>
      <c r="M544" s="488"/>
      <c r="N544" s="488"/>
      <c r="O544" s="488"/>
      <c r="P544" s="488"/>
      <c r="Q544" s="488"/>
      <c r="R544" s="488"/>
      <c r="S544" s="488"/>
      <c r="T544" s="488"/>
      <c r="U544" s="488"/>
      <c r="V544" s="488"/>
      <c r="W544" s="488"/>
      <c r="X544" s="488"/>
      <c r="Y544" s="488"/>
      <c r="Z544" s="488"/>
      <c r="AA544" s="488"/>
      <c r="AB544" s="488"/>
      <c r="AC544" s="488"/>
      <c r="AD544" s="488"/>
      <c r="AE544" s="488"/>
      <c r="AF544" s="488"/>
      <c r="AG544" s="488"/>
      <c r="AH544" s="488"/>
      <c r="AI544" s="488"/>
      <c r="AJ544" s="488"/>
      <c r="AK544" s="488"/>
      <c r="AL544" s="488"/>
      <c r="AM544" s="488"/>
      <c r="AN544" s="488"/>
      <c r="AO544" s="488"/>
      <c r="AP544" s="488"/>
      <c r="AQ544" s="488"/>
      <c r="AR544" s="488"/>
      <c r="AS544" s="488"/>
      <c r="AT544" s="488"/>
      <c r="AU544" s="488"/>
      <c r="AV544" s="488"/>
      <c r="AW544" s="488"/>
      <c r="AX544" s="488"/>
      <c r="AY544" s="488"/>
      <c r="AZ544" s="488"/>
      <c r="BA544" s="488"/>
      <c r="BB544" s="488"/>
      <c r="BC544" s="488"/>
      <c r="BD544" s="488"/>
    </row>
    <row r="545" spans="3:56">
      <c r="C545" s="488"/>
      <c r="D545" s="488"/>
      <c r="E545" s="488"/>
      <c r="F545" s="488"/>
      <c r="G545" s="488"/>
      <c r="H545" s="488"/>
      <c r="I545" s="488"/>
      <c r="J545" s="488"/>
      <c r="K545" s="488"/>
      <c r="L545" s="488"/>
      <c r="M545" s="488"/>
      <c r="N545" s="488"/>
      <c r="O545" s="488"/>
      <c r="P545" s="488"/>
      <c r="Q545" s="488"/>
      <c r="R545" s="488"/>
      <c r="S545" s="488"/>
      <c r="T545" s="488"/>
      <c r="U545" s="488"/>
      <c r="V545" s="488"/>
      <c r="W545" s="488"/>
      <c r="X545" s="488"/>
      <c r="Y545" s="488"/>
      <c r="Z545" s="488"/>
      <c r="AA545" s="488"/>
      <c r="AB545" s="488"/>
      <c r="AC545" s="488"/>
      <c r="AD545" s="488"/>
      <c r="AE545" s="488"/>
      <c r="AF545" s="488"/>
      <c r="AG545" s="488"/>
      <c r="AH545" s="488"/>
      <c r="AI545" s="488"/>
      <c r="AJ545" s="488"/>
      <c r="AK545" s="488"/>
      <c r="AL545" s="488"/>
      <c r="AM545" s="488"/>
      <c r="AN545" s="488"/>
      <c r="AO545" s="488"/>
      <c r="AP545" s="488"/>
      <c r="AQ545" s="488"/>
      <c r="AR545" s="488"/>
      <c r="AS545" s="488"/>
      <c r="AT545" s="488"/>
      <c r="AU545" s="488"/>
      <c r="AV545" s="488"/>
      <c r="AW545" s="488"/>
      <c r="AX545" s="488"/>
      <c r="AY545" s="488"/>
      <c r="AZ545" s="488"/>
      <c r="BA545" s="488"/>
      <c r="BB545" s="488"/>
      <c r="BC545" s="488"/>
      <c r="BD545" s="488"/>
    </row>
    <row r="546" spans="3:56">
      <c r="C546" s="488"/>
      <c r="D546" s="488"/>
      <c r="E546" s="488"/>
      <c r="F546" s="488"/>
      <c r="G546" s="488"/>
      <c r="H546" s="488"/>
      <c r="I546" s="488"/>
      <c r="J546" s="488"/>
      <c r="K546" s="488"/>
      <c r="L546" s="488"/>
      <c r="M546" s="488"/>
      <c r="N546" s="488"/>
      <c r="O546" s="488"/>
      <c r="P546" s="488"/>
      <c r="Q546" s="488"/>
      <c r="R546" s="488"/>
      <c r="S546" s="488"/>
      <c r="T546" s="488"/>
      <c r="U546" s="488"/>
      <c r="V546" s="488"/>
      <c r="W546" s="488"/>
      <c r="X546" s="488"/>
      <c r="Y546" s="488"/>
      <c r="Z546" s="488"/>
      <c r="AA546" s="488"/>
      <c r="AB546" s="488"/>
      <c r="AC546" s="488"/>
      <c r="AD546" s="488"/>
      <c r="AE546" s="488"/>
      <c r="AF546" s="488"/>
      <c r="AG546" s="488"/>
      <c r="AH546" s="488"/>
      <c r="AI546" s="488"/>
      <c r="AJ546" s="488"/>
      <c r="AK546" s="488"/>
      <c r="AL546" s="488"/>
      <c r="AM546" s="488"/>
      <c r="AN546" s="488"/>
      <c r="AO546" s="488"/>
      <c r="AP546" s="488"/>
      <c r="AQ546" s="488"/>
      <c r="AR546" s="488"/>
      <c r="AS546" s="488"/>
      <c r="AT546" s="488"/>
      <c r="AU546" s="488"/>
      <c r="AV546" s="488"/>
      <c r="AW546" s="488"/>
      <c r="AX546" s="488"/>
      <c r="AY546" s="488"/>
      <c r="AZ546" s="488"/>
      <c r="BA546" s="488"/>
      <c r="BB546" s="488"/>
      <c r="BC546" s="488"/>
      <c r="BD546" s="488"/>
    </row>
    <row r="547" spans="3:56">
      <c r="C547" s="488"/>
      <c r="D547" s="488"/>
      <c r="E547" s="488"/>
      <c r="F547" s="488"/>
      <c r="G547" s="488"/>
      <c r="H547" s="488"/>
      <c r="I547" s="488"/>
      <c r="J547" s="488"/>
      <c r="K547" s="488"/>
      <c r="L547" s="488"/>
      <c r="M547" s="488"/>
      <c r="N547" s="488"/>
      <c r="O547" s="488"/>
      <c r="P547" s="488"/>
      <c r="Q547" s="488"/>
      <c r="R547" s="488"/>
      <c r="S547" s="488"/>
      <c r="T547" s="488"/>
      <c r="U547" s="488"/>
      <c r="V547" s="488"/>
      <c r="W547" s="488"/>
      <c r="X547" s="488"/>
      <c r="Y547" s="488"/>
      <c r="Z547" s="488"/>
      <c r="AA547" s="488"/>
      <c r="AB547" s="488"/>
      <c r="AC547" s="488"/>
      <c r="AD547" s="488"/>
      <c r="AE547" s="488"/>
      <c r="AF547" s="488"/>
      <c r="AG547" s="488"/>
      <c r="AH547" s="488"/>
      <c r="AI547" s="488"/>
      <c r="AJ547" s="488"/>
      <c r="AK547" s="488"/>
      <c r="AL547" s="488"/>
      <c r="AM547" s="488"/>
      <c r="AN547" s="488"/>
      <c r="AO547" s="488"/>
      <c r="AP547" s="488"/>
      <c r="AQ547" s="488"/>
      <c r="AR547" s="488"/>
      <c r="AS547" s="488"/>
      <c r="AT547" s="488"/>
      <c r="AU547" s="488"/>
      <c r="AV547" s="488"/>
      <c r="AW547" s="488"/>
      <c r="AX547" s="488"/>
      <c r="AY547" s="488"/>
      <c r="AZ547" s="488"/>
      <c r="BA547" s="488"/>
      <c r="BB547" s="488"/>
      <c r="BC547" s="488"/>
      <c r="BD547" s="488"/>
    </row>
    <row r="548" spans="3:56">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8"/>
      <c r="AI548" s="488"/>
      <c r="AJ548" s="488"/>
      <c r="AK548" s="488"/>
      <c r="AL548" s="488"/>
      <c r="AM548" s="488"/>
      <c r="AN548" s="488"/>
      <c r="AO548" s="488"/>
      <c r="AP548" s="488"/>
      <c r="AQ548" s="488"/>
      <c r="AR548" s="488"/>
      <c r="AS548" s="488"/>
      <c r="AT548" s="488"/>
      <c r="AU548" s="488"/>
      <c r="AV548" s="488"/>
      <c r="AW548" s="488"/>
      <c r="AX548" s="488"/>
      <c r="AY548" s="488"/>
      <c r="AZ548" s="488"/>
      <c r="BA548" s="488"/>
      <c r="BB548" s="488"/>
      <c r="BC548" s="488"/>
      <c r="BD548" s="488"/>
    </row>
    <row r="549" spans="3:56">
      <c r="C549" s="488"/>
      <c r="D549" s="488"/>
      <c r="E549" s="488"/>
      <c r="F549" s="488"/>
      <c r="G549" s="488"/>
      <c r="H549" s="488"/>
      <c r="I549" s="488"/>
      <c r="J549" s="488"/>
      <c r="K549" s="488"/>
      <c r="L549" s="488"/>
      <c r="M549" s="488"/>
      <c r="N549" s="488"/>
      <c r="O549" s="488"/>
      <c r="P549" s="488"/>
      <c r="Q549" s="488"/>
      <c r="R549" s="488"/>
      <c r="S549" s="488"/>
      <c r="T549" s="488"/>
      <c r="U549" s="488"/>
      <c r="V549" s="488"/>
      <c r="W549" s="488"/>
      <c r="X549" s="488"/>
      <c r="Y549" s="488"/>
      <c r="Z549" s="488"/>
      <c r="AA549" s="488"/>
      <c r="AB549" s="488"/>
      <c r="AC549" s="488"/>
      <c r="AD549" s="488"/>
      <c r="AE549" s="488"/>
      <c r="AF549" s="488"/>
      <c r="AG549" s="488"/>
      <c r="AH549" s="488"/>
      <c r="AI549" s="488"/>
      <c r="AJ549" s="488"/>
      <c r="AK549" s="488"/>
      <c r="AL549" s="488"/>
      <c r="AM549" s="488"/>
      <c r="AN549" s="488"/>
      <c r="AO549" s="488"/>
      <c r="AP549" s="488"/>
      <c r="AQ549" s="488"/>
      <c r="AR549" s="488"/>
      <c r="AS549" s="488"/>
      <c r="AT549" s="488"/>
      <c r="AU549" s="488"/>
      <c r="AV549" s="488"/>
      <c r="AW549" s="488"/>
      <c r="AX549" s="488"/>
      <c r="AY549" s="488"/>
      <c r="AZ549" s="488"/>
      <c r="BA549" s="488"/>
      <c r="BB549" s="488"/>
      <c r="BC549" s="488"/>
      <c r="BD549" s="488"/>
    </row>
    <row r="550" spans="3:56">
      <c r="C550" s="488"/>
      <c r="D550" s="488"/>
      <c r="E550" s="488"/>
      <c r="F550" s="488"/>
      <c r="G550" s="488"/>
      <c r="H550" s="488"/>
      <c r="I550" s="488"/>
      <c r="J550" s="488"/>
      <c r="K550" s="488"/>
      <c r="L550" s="488"/>
      <c r="M550" s="488"/>
      <c r="N550" s="488"/>
      <c r="O550" s="488"/>
      <c r="P550" s="488"/>
      <c r="Q550" s="488"/>
      <c r="R550" s="488"/>
      <c r="S550" s="488"/>
      <c r="T550" s="488"/>
      <c r="U550" s="488"/>
      <c r="V550" s="488"/>
      <c r="W550" s="488"/>
      <c r="X550" s="488"/>
      <c r="Y550" s="488"/>
      <c r="Z550" s="488"/>
      <c r="AA550" s="488"/>
      <c r="AB550" s="488"/>
      <c r="AC550" s="488"/>
      <c r="AD550" s="488"/>
      <c r="AE550" s="488"/>
      <c r="AF550" s="488"/>
      <c r="AG550" s="488"/>
      <c r="AH550" s="488"/>
      <c r="AI550" s="488"/>
      <c r="AJ550" s="488"/>
      <c r="AK550" s="488"/>
      <c r="AL550" s="488"/>
      <c r="AM550" s="488"/>
      <c r="AN550" s="488"/>
      <c r="AO550" s="488"/>
      <c r="AP550" s="488"/>
      <c r="AQ550" s="488"/>
      <c r="AR550" s="488"/>
      <c r="AS550" s="488"/>
      <c r="AT550" s="488"/>
      <c r="AU550" s="488"/>
      <c r="AV550" s="488"/>
      <c r="AW550" s="488"/>
      <c r="AX550" s="488"/>
      <c r="AY550" s="488"/>
      <c r="AZ550" s="488"/>
      <c r="BA550" s="488"/>
      <c r="BB550" s="488"/>
      <c r="BC550" s="488"/>
      <c r="BD550" s="488"/>
    </row>
    <row r="551" spans="3:56">
      <c r="C551" s="488"/>
      <c r="D551" s="488"/>
      <c r="E551" s="488"/>
      <c r="F551" s="488"/>
      <c r="G551" s="488"/>
      <c r="H551" s="488"/>
      <c r="I551" s="488"/>
      <c r="J551" s="488"/>
      <c r="K551" s="488"/>
      <c r="L551" s="488"/>
      <c r="M551" s="488"/>
      <c r="N551" s="488"/>
      <c r="O551" s="488"/>
      <c r="P551" s="488"/>
      <c r="Q551" s="488"/>
      <c r="R551" s="488"/>
      <c r="S551" s="488"/>
      <c r="T551" s="488"/>
      <c r="U551" s="488"/>
      <c r="V551" s="488"/>
      <c r="W551" s="488"/>
      <c r="X551" s="488"/>
      <c r="Y551" s="488"/>
      <c r="Z551" s="488"/>
      <c r="AA551" s="488"/>
      <c r="AB551" s="488"/>
      <c r="AC551" s="488"/>
      <c r="AD551" s="488"/>
      <c r="AE551" s="488"/>
      <c r="AF551" s="488"/>
      <c r="AG551" s="488"/>
      <c r="AH551" s="488"/>
      <c r="AI551" s="488"/>
      <c r="AJ551" s="488"/>
      <c r="AK551" s="488"/>
      <c r="AL551" s="488"/>
      <c r="AM551" s="488"/>
      <c r="AN551" s="488"/>
      <c r="AO551" s="488"/>
      <c r="AP551" s="488"/>
      <c r="AQ551" s="488"/>
      <c r="AR551" s="488"/>
      <c r="AS551" s="488"/>
      <c r="AT551" s="488"/>
      <c r="AU551" s="488"/>
      <c r="AV551" s="488"/>
      <c r="AW551" s="488"/>
      <c r="AX551" s="488"/>
      <c r="AY551" s="488"/>
      <c r="AZ551" s="488"/>
      <c r="BA551" s="488"/>
      <c r="BB551" s="488"/>
      <c r="BC551" s="488"/>
      <c r="BD551" s="488"/>
    </row>
    <row r="552" spans="3:56">
      <c r="C552" s="488"/>
      <c r="D552" s="488"/>
      <c r="E552" s="488"/>
      <c r="F552" s="488"/>
      <c r="G552" s="488"/>
      <c r="H552" s="488"/>
      <c r="I552" s="488"/>
      <c r="J552" s="488"/>
      <c r="K552" s="488"/>
      <c r="L552" s="488"/>
      <c r="M552" s="488"/>
      <c r="N552" s="488"/>
      <c r="O552" s="488"/>
      <c r="P552" s="488"/>
      <c r="Q552" s="488"/>
      <c r="R552" s="488"/>
      <c r="S552" s="488"/>
      <c r="T552" s="488"/>
      <c r="U552" s="488"/>
      <c r="V552" s="488"/>
      <c r="W552" s="488"/>
      <c r="X552" s="488"/>
      <c r="Y552" s="488"/>
      <c r="Z552" s="488"/>
      <c r="AA552" s="488"/>
      <c r="AB552" s="488"/>
      <c r="AC552" s="488"/>
      <c r="AD552" s="488"/>
      <c r="AE552" s="488"/>
      <c r="AF552" s="488"/>
      <c r="AG552" s="488"/>
      <c r="AH552" s="488"/>
      <c r="AI552" s="488"/>
      <c r="AJ552" s="488"/>
      <c r="AK552" s="488"/>
      <c r="AL552" s="488"/>
      <c r="AM552" s="488"/>
      <c r="AN552" s="488"/>
      <c r="AO552" s="488"/>
      <c r="AP552" s="488"/>
      <c r="AQ552" s="488"/>
      <c r="AR552" s="488"/>
      <c r="AS552" s="488"/>
      <c r="AT552" s="488"/>
      <c r="AU552" s="488"/>
      <c r="AV552" s="488"/>
      <c r="AW552" s="488"/>
      <c r="AX552" s="488"/>
      <c r="AY552" s="488"/>
      <c r="AZ552" s="488"/>
      <c r="BA552" s="488"/>
      <c r="BB552" s="488"/>
      <c r="BC552" s="488"/>
      <c r="BD552" s="488"/>
    </row>
    <row r="553" spans="3:56">
      <c r="C553" s="488"/>
      <c r="D553" s="488"/>
      <c r="E553" s="488"/>
      <c r="F553" s="488"/>
      <c r="G553" s="488"/>
      <c r="H553" s="488"/>
      <c r="I553" s="488"/>
      <c r="J553" s="488"/>
      <c r="K553" s="488"/>
      <c r="L553" s="488"/>
      <c r="M553" s="488"/>
      <c r="N553" s="488"/>
      <c r="O553" s="488"/>
      <c r="P553" s="488"/>
      <c r="Q553" s="488"/>
      <c r="R553" s="488"/>
      <c r="S553" s="488"/>
      <c r="T553" s="488"/>
      <c r="U553" s="488"/>
      <c r="V553" s="488"/>
      <c r="W553" s="488"/>
      <c r="X553" s="488"/>
      <c r="Y553" s="488"/>
      <c r="Z553" s="488"/>
      <c r="AA553" s="488"/>
      <c r="AB553" s="488"/>
      <c r="AC553" s="488"/>
      <c r="AD553" s="488"/>
      <c r="AE553" s="488"/>
      <c r="AF553" s="488"/>
      <c r="AG553" s="488"/>
      <c r="AH553" s="488"/>
      <c r="AI553" s="488"/>
      <c r="AJ553" s="488"/>
      <c r="AK553" s="488"/>
      <c r="AL553" s="488"/>
      <c r="AM553" s="488"/>
      <c r="AN553" s="488"/>
      <c r="AO553" s="488"/>
      <c r="AP553" s="488"/>
      <c r="AQ553" s="488"/>
      <c r="AR553" s="488"/>
      <c r="AS553" s="488"/>
      <c r="AT553" s="488"/>
      <c r="AU553" s="488"/>
      <c r="AV553" s="488"/>
      <c r="AW553" s="488"/>
      <c r="AX553" s="488"/>
      <c r="AY553" s="488"/>
      <c r="AZ553" s="488"/>
      <c r="BA553" s="488"/>
      <c r="BB553" s="488"/>
      <c r="BC553" s="488"/>
      <c r="BD553" s="488"/>
    </row>
    <row r="554" spans="3:56">
      <c r="C554" s="488"/>
      <c r="D554" s="488"/>
      <c r="E554" s="488"/>
      <c r="F554" s="488"/>
      <c r="G554" s="488"/>
      <c r="H554" s="488"/>
      <c r="I554" s="488"/>
      <c r="J554" s="488"/>
      <c r="K554" s="488"/>
      <c r="L554" s="488"/>
      <c r="M554" s="488"/>
      <c r="N554" s="488"/>
      <c r="O554" s="488"/>
      <c r="P554" s="488"/>
      <c r="Q554" s="488"/>
      <c r="R554" s="488"/>
      <c r="S554" s="488"/>
      <c r="T554" s="488"/>
      <c r="U554" s="488"/>
      <c r="V554" s="488"/>
      <c r="W554" s="488"/>
      <c r="X554" s="488"/>
      <c r="Y554" s="488"/>
      <c r="Z554" s="488"/>
      <c r="AA554" s="488"/>
      <c r="AB554" s="488"/>
      <c r="AC554" s="488"/>
      <c r="AD554" s="488"/>
      <c r="AE554" s="488"/>
      <c r="AF554" s="488"/>
      <c r="AG554" s="488"/>
      <c r="AH554" s="488"/>
      <c r="AI554" s="488"/>
      <c r="AJ554" s="488"/>
      <c r="AK554" s="488"/>
      <c r="AL554" s="488"/>
      <c r="AM554" s="488"/>
      <c r="AN554" s="488"/>
      <c r="AO554" s="488"/>
      <c r="AP554" s="488"/>
      <c r="AQ554" s="488"/>
      <c r="AR554" s="488"/>
      <c r="AS554" s="488"/>
      <c r="AT554" s="488"/>
      <c r="AU554" s="488"/>
      <c r="AV554" s="488"/>
      <c r="AW554" s="488"/>
      <c r="AX554" s="488"/>
      <c r="AY554" s="488"/>
      <c r="AZ554" s="488"/>
      <c r="BA554" s="488"/>
      <c r="BB554" s="488"/>
      <c r="BC554" s="488"/>
      <c r="BD554" s="488"/>
    </row>
    <row r="555" spans="3:56">
      <c r="C555" s="488"/>
      <c r="D555" s="488"/>
      <c r="E555" s="488"/>
      <c r="F555" s="488"/>
      <c r="G555" s="488"/>
      <c r="H555" s="488"/>
      <c r="I555" s="488"/>
      <c r="J555" s="488"/>
      <c r="K555" s="488"/>
      <c r="L555" s="488"/>
      <c r="M555" s="488"/>
      <c r="N555" s="488"/>
      <c r="O555" s="488"/>
      <c r="P555" s="488"/>
      <c r="Q555" s="488"/>
      <c r="R555" s="488"/>
      <c r="S555" s="488"/>
      <c r="T555" s="488"/>
      <c r="U555" s="488"/>
      <c r="V555" s="488"/>
      <c r="W555" s="488"/>
      <c r="X555" s="488"/>
      <c r="Y555" s="488"/>
      <c r="Z555" s="488"/>
      <c r="AA555" s="488"/>
      <c r="AB555" s="488"/>
      <c r="AC555" s="488"/>
      <c r="AD555" s="488"/>
      <c r="AE555" s="488"/>
      <c r="AF555" s="488"/>
      <c r="AG555" s="488"/>
      <c r="AH555" s="488"/>
      <c r="AI555" s="488"/>
      <c r="AJ555" s="488"/>
      <c r="AK555" s="488"/>
      <c r="AL555" s="488"/>
      <c r="AM555" s="488"/>
      <c r="AN555" s="488"/>
      <c r="AO555" s="488"/>
      <c r="AP555" s="488"/>
      <c r="AQ555" s="488"/>
      <c r="AR555" s="488"/>
      <c r="AS555" s="488"/>
      <c r="AT555" s="488"/>
      <c r="AU555" s="488"/>
      <c r="AV555" s="488"/>
      <c r="AW555" s="488"/>
      <c r="AX555" s="488"/>
      <c r="AY555" s="488"/>
      <c r="AZ555" s="488"/>
      <c r="BA555" s="488"/>
      <c r="BB555" s="488"/>
      <c r="BC555" s="488"/>
      <c r="BD555" s="488"/>
    </row>
    <row r="556" spans="3:56">
      <c r="C556" s="488"/>
      <c r="D556" s="488"/>
      <c r="E556" s="488"/>
      <c r="F556" s="488"/>
      <c r="G556" s="488"/>
      <c r="H556" s="488"/>
      <c r="I556" s="488"/>
      <c r="J556" s="488"/>
      <c r="K556" s="488"/>
      <c r="L556" s="488"/>
      <c r="M556" s="488"/>
      <c r="N556" s="488"/>
      <c r="O556" s="488"/>
      <c r="P556" s="488"/>
      <c r="Q556" s="488"/>
      <c r="R556" s="488"/>
      <c r="S556" s="488"/>
      <c r="T556" s="488"/>
      <c r="U556" s="488"/>
      <c r="V556" s="488"/>
      <c r="W556" s="488"/>
      <c r="X556" s="488"/>
      <c r="Y556" s="488"/>
      <c r="Z556" s="488"/>
      <c r="AA556" s="488"/>
      <c r="AB556" s="488"/>
      <c r="AC556" s="488"/>
      <c r="AD556" s="488"/>
      <c r="AE556" s="488"/>
      <c r="AF556" s="488"/>
      <c r="AG556" s="488"/>
      <c r="AH556" s="488"/>
      <c r="AI556" s="488"/>
      <c r="AJ556" s="488"/>
      <c r="AK556" s="488"/>
      <c r="AL556" s="488"/>
      <c r="AM556" s="488"/>
      <c r="AN556" s="488"/>
      <c r="AO556" s="488"/>
      <c r="AP556" s="488"/>
      <c r="AQ556" s="488"/>
      <c r="AR556" s="488"/>
      <c r="AS556" s="488"/>
      <c r="AT556" s="488"/>
      <c r="AU556" s="488"/>
      <c r="AV556" s="488"/>
      <c r="AW556" s="488"/>
      <c r="AX556" s="488"/>
      <c r="AY556" s="488"/>
      <c r="AZ556" s="488"/>
      <c r="BA556" s="488"/>
      <c r="BB556" s="488"/>
      <c r="BC556" s="488"/>
      <c r="BD556" s="488"/>
    </row>
    <row r="557" spans="3:56">
      <c r="C557" s="488"/>
      <c r="D557" s="488"/>
      <c r="E557" s="488"/>
      <c r="F557" s="488"/>
      <c r="G557" s="488"/>
      <c r="H557" s="488"/>
      <c r="I557" s="488"/>
      <c r="J557" s="488"/>
      <c r="K557" s="488"/>
      <c r="L557" s="488"/>
      <c r="M557" s="488"/>
      <c r="N557" s="488"/>
      <c r="O557" s="488"/>
      <c r="P557" s="488"/>
      <c r="Q557" s="488"/>
      <c r="R557" s="488"/>
      <c r="S557" s="488"/>
      <c r="T557" s="488"/>
      <c r="U557" s="488"/>
      <c r="V557" s="488"/>
      <c r="W557" s="488"/>
      <c r="X557" s="488"/>
      <c r="Y557" s="488"/>
      <c r="Z557" s="488"/>
      <c r="AA557" s="488"/>
      <c r="AB557" s="488"/>
      <c r="AC557" s="488"/>
      <c r="AD557" s="488"/>
      <c r="AE557" s="488"/>
      <c r="AF557" s="488"/>
      <c r="AG557" s="488"/>
      <c r="AH557" s="488"/>
      <c r="AI557" s="488"/>
      <c r="AJ557" s="488"/>
      <c r="AK557" s="488"/>
      <c r="AL557" s="488"/>
      <c r="AM557" s="488"/>
      <c r="AN557" s="488"/>
      <c r="AO557" s="488"/>
      <c r="AP557" s="488"/>
      <c r="AQ557" s="488"/>
      <c r="AR557" s="488"/>
      <c r="AS557" s="488"/>
      <c r="AT557" s="488"/>
      <c r="AU557" s="488"/>
      <c r="AV557" s="488"/>
      <c r="AW557" s="488"/>
      <c r="AX557" s="488"/>
      <c r="AY557" s="488"/>
      <c r="AZ557" s="488"/>
      <c r="BA557" s="488"/>
      <c r="BB557" s="488"/>
      <c r="BC557" s="488"/>
      <c r="BD557" s="488"/>
    </row>
    <row r="558" spans="3:56">
      <c r="C558" s="488"/>
      <c r="D558" s="488"/>
      <c r="E558" s="488"/>
      <c r="F558" s="488"/>
      <c r="G558" s="488"/>
      <c r="H558" s="488"/>
      <c r="I558" s="488"/>
      <c r="J558" s="488"/>
      <c r="K558" s="488"/>
      <c r="L558" s="488"/>
      <c r="M558" s="488"/>
      <c r="N558" s="488"/>
      <c r="O558" s="488"/>
      <c r="P558" s="488"/>
      <c r="Q558" s="488"/>
      <c r="R558" s="488"/>
      <c r="S558" s="488"/>
      <c r="T558" s="488"/>
      <c r="U558" s="488"/>
      <c r="V558" s="488"/>
      <c r="W558" s="488"/>
      <c r="X558" s="488"/>
      <c r="Y558" s="488"/>
      <c r="Z558" s="488"/>
      <c r="AA558" s="488"/>
      <c r="AB558" s="488"/>
      <c r="AC558" s="488"/>
      <c r="AD558" s="488"/>
      <c r="AE558" s="488"/>
      <c r="AF558" s="488"/>
      <c r="AG558" s="488"/>
      <c r="AH558" s="488"/>
      <c r="AI558" s="488"/>
      <c r="AJ558" s="488"/>
      <c r="AK558" s="488"/>
      <c r="AL558" s="488"/>
      <c r="AM558" s="488"/>
      <c r="AN558" s="488"/>
      <c r="AO558" s="488"/>
      <c r="AP558" s="488"/>
      <c r="AQ558" s="488"/>
      <c r="AR558" s="488"/>
      <c r="AS558" s="488"/>
      <c r="AT558" s="488"/>
      <c r="AU558" s="488"/>
      <c r="AV558" s="488"/>
      <c r="AW558" s="488"/>
      <c r="AX558" s="488"/>
      <c r="AY558" s="488"/>
      <c r="AZ558" s="488"/>
      <c r="BA558" s="488"/>
      <c r="BB558" s="488"/>
      <c r="BC558" s="488"/>
      <c r="BD558" s="488"/>
    </row>
    <row r="559" spans="3:56">
      <c r="C559" s="488"/>
      <c r="D559" s="488"/>
      <c r="E559" s="488"/>
      <c r="F559" s="488"/>
      <c r="G559" s="488"/>
      <c r="H559" s="488"/>
      <c r="I559" s="488"/>
      <c r="J559" s="488"/>
      <c r="K559" s="488"/>
      <c r="L559" s="488"/>
      <c r="M559" s="488"/>
      <c r="N559" s="488"/>
      <c r="O559" s="488"/>
      <c r="P559" s="488"/>
      <c r="Q559" s="488"/>
      <c r="R559" s="488"/>
      <c r="S559" s="488"/>
      <c r="T559" s="488"/>
      <c r="U559" s="488"/>
      <c r="V559" s="488"/>
      <c r="W559" s="488"/>
      <c r="X559" s="488"/>
      <c r="Y559" s="488"/>
      <c r="Z559" s="488"/>
      <c r="AA559" s="488"/>
      <c r="AB559" s="488"/>
      <c r="AC559" s="488"/>
      <c r="AD559" s="488"/>
      <c r="AE559" s="488"/>
      <c r="AF559" s="488"/>
      <c r="AG559" s="488"/>
      <c r="AH559" s="488"/>
      <c r="AI559" s="488"/>
      <c r="AJ559" s="488"/>
      <c r="AK559" s="488"/>
      <c r="AL559" s="488"/>
      <c r="AM559" s="488"/>
      <c r="AN559" s="488"/>
      <c r="AO559" s="488"/>
      <c r="AP559" s="488"/>
      <c r="AQ559" s="488"/>
      <c r="AR559" s="488"/>
      <c r="AS559" s="488"/>
      <c r="AT559" s="488"/>
      <c r="AU559" s="488"/>
      <c r="AV559" s="488"/>
      <c r="AW559" s="488"/>
      <c r="AX559" s="488"/>
      <c r="AY559" s="488"/>
      <c r="AZ559" s="488"/>
      <c r="BA559" s="488"/>
      <c r="BB559" s="488"/>
      <c r="BC559" s="488"/>
      <c r="BD559" s="488"/>
    </row>
    <row r="560" spans="3:56">
      <c r="C560" s="488"/>
      <c r="D560" s="488"/>
      <c r="E560" s="488"/>
      <c r="F560" s="488"/>
      <c r="G560" s="488"/>
      <c r="H560" s="488"/>
      <c r="I560" s="488"/>
      <c r="J560" s="488"/>
      <c r="K560" s="488"/>
      <c r="L560" s="488"/>
      <c r="M560" s="488"/>
      <c r="N560" s="488"/>
      <c r="O560" s="488"/>
      <c r="P560" s="488"/>
      <c r="Q560" s="488"/>
      <c r="R560" s="488"/>
      <c r="S560" s="488"/>
      <c r="T560" s="488"/>
      <c r="U560" s="488"/>
      <c r="V560" s="488"/>
      <c r="W560" s="488"/>
      <c r="X560" s="488"/>
      <c r="Y560" s="488"/>
      <c r="Z560" s="488"/>
      <c r="AA560" s="488"/>
      <c r="AB560" s="488"/>
      <c r="AC560" s="488"/>
      <c r="AD560" s="488"/>
      <c r="AE560" s="488"/>
      <c r="AF560" s="488"/>
      <c r="AG560" s="488"/>
      <c r="AH560" s="488"/>
      <c r="AI560" s="488"/>
      <c r="AJ560" s="488"/>
      <c r="AK560" s="488"/>
      <c r="AL560" s="488"/>
      <c r="AM560" s="488"/>
      <c r="AN560" s="488"/>
      <c r="AO560" s="488"/>
      <c r="AP560" s="488"/>
      <c r="AQ560" s="488"/>
      <c r="AR560" s="488"/>
      <c r="AS560" s="488"/>
      <c r="AT560" s="488"/>
      <c r="AU560" s="488"/>
      <c r="AV560" s="488"/>
      <c r="AW560" s="488"/>
      <c r="AX560" s="488"/>
      <c r="AY560" s="488"/>
      <c r="AZ560" s="488"/>
      <c r="BA560" s="488"/>
      <c r="BB560" s="488"/>
      <c r="BC560" s="488"/>
      <c r="BD560" s="488"/>
    </row>
    <row r="561" spans="3:56">
      <c r="C561" s="488"/>
      <c r="D561" s="488"/>
      <c r="E561" s="488"/>
      <c r="F561" s="488"/>
      <c r="G561" s="488"/>
      <c r="H561" s="488"/>
      <c r="I561" s="488"/>
      <c r="J561" s="488"/>
      <c r="K561" s="488"/>
      <c r="L561" s="488"/>
      <c r="M561" s="488"/>
      <c r="N561" s="488"/>
      <c r="O561" s="488"/>
      <c r="P561" s="488"/>
      <c r="Q561" s="488"/>
      <c r="R561" s="488"/>
      <c r="S561" s="488"/>
      <c r="T561" s="488"/>
      <c r="U561" s="488"/>
      <c r="V561" s="488"/>
      <c r="W561" s="488"/>
      <c r="X561" s="488"/>
      <c r="Y561" s="488"/>
      <c r="Z561" s="488"/>
      <c r="AA561" s="488"/>
      <c r="AB561" s="488"/>
      <c r="AC561" s="488"/>
      <c r="AD561" s="488"/>
      <c r="AE561" s="488"/>
      <c r="AF561" s="488"/>
      <c r="AG561" s="488"/>
      <c r="AH561" s="488"/>
      <c r="AI561" s="488"/>
      <c r="AJ561" s="488"/>
      <c r="AK561" s="488"/>
      <c r="AL561" s="488"/>
      <c r="AM561" s="488"/>
      <c r="AN561" s="488"/>
      <c r="AO561" s="488"/>
      <c r="AP561" s="488"/>
      <c r="AQ561" s="488"/>
      <c r="AR561" s="488"/>
      <c r="AS561" s="488"/>
      <c r="AT561" s="488"/>
      <c r="AU561" s="488"/>
      <c r="AV561" s="488"/>
      <c r="AW561" s="488"/>
      <c r="AX561" s="488"/>
      <c r="AY561" s="488"/>
      <c r="AZ561" s="488"/>
      <c r="BA561" s="488"/>
      <c r="BB561" s="488"/>
      <c r="BC561" s="488"/>
      <c r="BD561" s="488"/>
    </row>
    <row r="562" spans="3:56">
      <c r="C562" s="488"/>
      <c r="D562" s="488"/>
      <c r="E562" s="488"/>
      <c r="F562" s="488"/>
      <c r="G562" s="488"/>
      <c r="H562" s="488"/>
      <c r="I562" s="488"/>
      <c r="J562" s="488"/>
      <c r="K562" s="488"/>
      <c r="L562" s="488"/>
      <c r="M562" s="488"/>
      <c r="N562" s="488"/>
      <c r="O562" s="488"/>
      <c r="P562" s="488"/>
      <c r="Q562" s="488"/>
      <c r="R562" s="488"/>
      <c r="S562" s="488"/>
      <c r="T562" s="488"/>
      <c r="U562" s="488"/>
      <c r="V562" s="488"/>
      <c r="W562" s="488"/>
      <c r="X562" s="488"/>
      <c r="Y562" s="488"/>
      <c r="Z562" s="488"/>
      <c r="AA562" s="488"/>
      <c r="AB562" s="488"/>
      <c r="AC562" s="488"/>
      <c r="AD562" s="488"/>
      <c r="AE562" s="488"/>
      <c r="AF562" s="488"/>
      <c r="AG562" s="488"/>
      <c r="AH562" s="488"/>
      <c r="AI562" s="488"/>
      <c r="AJ562" s="488"/>
      <c r="AK562" s="488"/>
      <c r="AL562" s="488"/>
      <c r="AM562" s="488"/>
      <c r="AN562" s="488"/>
      <c r="AO562" s="488"/>
      <c r="AP562" s="488"/>
      <c r="AQ562" s="488"/>
      <c r="AR562" s="488"/>
      <c r="AS562" s="488"/>
      <c r="AT562" s="488"/>
      <c r="AU562" s="488"/>
      <c r="AV562" s="488"/>
      <c r="AW562" s="488"/>
      <c r="AX562" s="488"/>
      <c r="AY562" s="488"/>
      <c r="AZ562" s="488"/>
      <c r="BA562" s="488"/>
      <c r="BB562" s="488"/>
      <c r="BC562" s="488"/>
      <c r="BD562" s="488"/>
    </row>
    <row r="563" spans="3:56">
      <c r="C563" s="488"/>
      <c r="D563" s="488"/>
      <c r="E563" s="488"/>
      <c r="F563" s="488"/>
      <c r="G563" s="488"/>
      <c r="H563" s="488"/>
      <c r="I563" s="488"/>
      <c r="J563" s="488"/>
      <c r="K563" s="488"/>
      <c r="L563" s="488"/>
      <c r="M563" s="488"/>
      <c r="N563" s="488"/>
      <c r="O563" s="488"/>
      <c r="P563" s="488"/>
      <c r="Q563" s="488"/>
      <c r="R563" s="488"/>
      <c r="S563" s="488"/>
      <c r="T563" s="488"/>
      <c r="U563" s="488"/>
      <c r="V563" s="488"/>
      <c r="W563" s="488"/>
      <c r="X563" s="488"/>
      <c r="Y563" s="488"/>
      <c r="Z563" s="488"/>
      <c r="AA563" s="488"/>
      <c r="AB563" s="488"/>
      <c r="AC563" s="488"/>
      <c r="AD563" s="488"/>
      <c r="AE563" s="488"/>
      <c r="AF563" s="488"/>
      <c r="AG563" s="488"/>
      <c r="AH563" s="488"/>
      <c r="AI563" s="488"/>
      <c r="AJ563" s="488"/>
      <c r="AK563" s="488"/>
      <c r="AL563" s="488"/>
      <c r="AM563" s="488"/>
      <c r="AN563" s="488"/>
      <c r="AO563" s="488"/>
      <c r="AP563" s="488"/>
      <c r="AQ563" s="488"/>
      <c r="AR563" s="488"/>
      <c r="AS563" s="488"/>
      <c r="AT563" s="488"/>
      <c r="AU563" s="488"/>
      <c r="AV563" s="488"/>
      <c r="AW563" s="488"/>
      <c r="AX563" s="488"/>
      <c r="AY563" s="488"/>
      <c r="AZ563" s="488"/>
      <c r="BA563" s="488"/>
      <c r="BB563" s="488"/>
      <c r="BC563" s="488"/>
      <c r="BD563" s="488"/>
    </row>
    <row r="564" spans="3:56">
      <c r="C564" s="488"/>
      <c r="D564" s="488"/>
      <c r="E564" s="488"/>
      <c r="F564" s="488"/>
      <c r="G564" s="488"/>
      <c r="H564" s="488"/>
      <c r="I564" s="488"/>
      <c r="J564" s="488"/>
      <c r="K564" s="488"/>
      <c r="L564" s="488"/>
      <c r="M564" s="488"/>
      <c r="N564" s="488"/>
      <c r="O564" s="488"/>
      <c r="P564" s="488"/>
      <c r="Q564" s="488"/>
      <c r="R564" s="488"/>
      <c r="S564" s="488"/>
      <c r="T564" s="488"/>
      <c r="U564" s="488"/>
      <c r="V564" s="488"/>
      <c r="W564" s="488"/>
      <c r="X564" s="488"/>
      <c r="Y564" s="488"/>
      <c r="Z564" s="488"/>
      <c r="AA564" s="488"/>
      <c r="AB564" s="488"/>
      <c r="AC564" s="488"/>
      <c r="AD564" s="488"/>
      <c r="AE564" s="488"/>
      <c r="AF564" s="488"/>
      <c r="AG564" s="488"/>
      <c r="AH564" s="488"/>
      <c r="AI564" s="488"/>
      <c r="AJ564" s="488"/>
      <c r="AK564" s="488"/>
      <c r="AL564" s="488"/>
      <c r="AM564" s="488"/>
      <c r="AN564" s="488"/>
      <c r="AO564" s="488"/>
      <c r="AP564" s="488"/>
      <c r="AQ564" s="488"/>
      <c r="AR564" s="488"/>
      <c r="AS564" s="488"/>
      <c r="AT564" s="488"/>
      <c r="AU564" s="488"/>
      <c r="AV564" s="488"/>
      <c r="AW564" s="488"/>
      <c r="AX564" s="488"/>
      <c r="AY564" s="488"/>
      <c r="AZ564" s="488"/>
      <c r="BA564" s="488"/>
      <c r="BB564" s="488"/>
      <c r="BC564" s="488"/>
      <c r="BD564" s="488"/>
    </row>
    <row r="565" spans="3:56">
      <c r="C565" s="488"/>
      <c r="D565" s="488"/>
      <c r="E565" s="488"/>
      <c r="F565" s="488"/>
      <c r="G565" s="488"/>
      <c r="H565" s="488"/>
      <c r="I565" s="488"/>
      <c r="J565" s="488"/>
      <c r="K565" s="488"/>
      <c r="L565" s="488"/>
      <c r="M565" s="488"/>
      <c r="N565" s="488"/>
      <c r="O565" s="488"/>
      <c r="P565" s="488"/>
      <c r="Q565" s="488"/>
      <c r="R565" s="488"/>
      <c r="S565" s="488"/>
      <c r="T565" s="488"/>
      <c r="U565" s="488"/>
      <c r="V565" s="488"/>
      <c r="W565" s="488"/>
      <c r="X565" s="488"/>
      <c r="Y565" s="488"/>
      <c r="Z565" s="488"/>
      <c r="AA565" s="488"/>
      <c r="AB565" s="488"/>
      <c r="AC565" s="488"/>
      <c r="AD565" s="488"/>
      <c r="AE565" s="488"/>
      <c r="AF565" s="488"/>
      <c r="AG565" s="488"/>
      <c r="AH565" s="488"/>
      <c r="AI565" s="488"/>
      <c r="AJ565" s="488"/>
      <c r="AK565" s="488"/>
      <c r="AL565" s="488"/>
      <c r="AM565" s="488"/>
      <c r="AN565" s="488"/>
      <c r="AO565" s="488"/>
      <c r="AP565" s="488"/>
      <c r="AQ565" s="488"/>
      <c r="AR565" s="488"/>
      <c r="AS565" s="488"/>
      <c r="AT565" s="488"/>
      <c r="AU565" s="488"/>
      <c r="AV565" s="488"/>
      <c r="AW565" s="488"/>
      <c r="AX565" s="488"/>
      <c r="AY565" s="488"/>
      <c r="AZ565" s="488"/>
      <c r="BA565" s="488"/>
      <c r="BB565" s="488"/>
      <c r="BC565" s="488"/>
      <c r="BD565" s="488"/>
    </row>
    <row r="566" spans="3:56">
      <c r="C566" s="488"/>
      <c r="D566" s="488"/>
      <c r="E566" s="488"/>
      <c r="F566" s="488"/>
      <c r="G566" s="488"/>
      <c r="H566" s="488"/>
      <c r="I566" s="488"/>
      <c r="J566" s="488"/>
      <c r="K566" s="488"/>
      <c r="L566" s="488"/>
      <c r="M566" s="488"/>
      <c r="N566" s="488"/>
      <c r="O566" s="488"/>
      <c r="P566" s="488"/>
      <c r="Q566" s="488"/>
      <c r="R566" s="488"/>
      <c r="S566" s="488"/>
      <c r="T566" s="488"/>
      <c r="U566" s="488"/>
      <c r="V566" s="488"/>
      <c r="W566" s="488"/>
      <c r="X566" s="488"/>
      <c r="Y566" s="488"/>
      <c r="Z566" s="488"/>
      <c r="AA566" s="488"/>
      <c r="AB566" s="488"/>
      <c r="AC566" s="488"/>
      <c r="AD566" s="488"/>
      <c r="AE566" s="488"/>
      <c r="AF566" s="488"/>
      <c r="AG566" s="488"/>
      <c r="AH566" s="488"/>
      <c r="AI566" s="488"/>
      <c r="AJ566" s="488"/>
      <c r="AK566" s="488"/>
      <c r="AL566" s="488"/>
      <c r="AM566" s="488"/>
      <c r="AN566" s="488"/>
      <c r="AO566" s="488"/>
      <c r="AP566" s="488"/>
      <c r="AQ566" s="488"/>
      <c r="AR566" s="488"/>
      <c r="AS566" s="488"/>
      <c r="AT566" s="488"/>
      <c r="AU566" s="488"/>
      <c r="AV566" s="488"/>
      <c r="AW566" s="488"/>
      <c r="AX566" s="488"/>
      <c r="AY566" s="488"/>
      <c r="AZ566" s="488"/>
      <c r="BA566" s="488"/>
      <c r="BB566" s="488"/>
      <c r="BC566" s="488"/>
      <c r="BD566" s="488"/>
    </row>
    <row r="567" spans="3:56">
      <c r="C567" s="488"/>
      <c r="D567" s="488"/>
      <c r="E567" s="488"/>
      <c r="F567" s="488"/>
      <c r="G567" s="488"/>
      <c r="H567" s="488"/>
      <c r="I567" s="488"/>
      <c r="J567" s="488"/>
      <c r="K567" s="488"/>
      <c r="L567" s="488"/>
      <c r="M567" s="488"/>
      <c r="N567" s="488"/>
      <c r="O567" s="488"/>
      <c r="P567" s="488"/>
      <c r="Q567" s="488"/>
      <c r="R567" s="488"/>
      <c r="S567" s="488"/>
      <c r="T567" s="488"/>
      <c r="U567" s="488"/>
      <c r="V567" s="488"/>
      <c r="W567" s="488"/>
      <c r="X567" s="488"/>
      <c r="Y567" s="488"/>
      <c r="Z567" s="488"/>
      <c r="AA567" s="488"/>
      <c r="AB567" s="488"/>
      <c r="AC567" s="488"/>
      <c r="AD567" s="488"/>
      <c r="AE567" s="488"/>
      <c r="AF567" s="488"/>
      <c r="AG567" s="488"/>
      <c r="AH567" s="488"/>
      <c r="AI567" s="488"/>
      <c r="AJ567" s="488"/>
      <c r="AK567" s="488"/>
      <c r="AL567" s="488"/>
      <c r="AM567" s="488"/>
      <c r="AN567" s="488"/>
      <c r="AO567" s="488"/>
      <c r="AP567" s="488"/>
      <c r="AQ567" s="488"/>
      <c r="AR567" s="488"/>
      <c r="AS567" s="488"/>
      <c r="AT567" s="488"/>
      <c r="AU567" s="488"/>
      <c r="AV567" s="488"/>
      <c r="AW567" s="488"/>
      <c r="AX567" s="488"/>
      <c r="AY567" s="488"/>
      <c r="AZ567" s="488"/>
      <c r="BA567" s="488"/>
      <c r="BB567" s="488"/>
      <c r="BC567" s="488"/>
      <c r="BD567" s="488"/>
    </row>
    <row r="568" spans="3:56">
      <c r="C568" s="488"/>
      <c r="D568" s="488"/>
      <c r="E568" s="488"/>
      <c r="F568" s="488"/>
      <c r="G568" s="488"/>
      <c r="H568" s="488"/>
      <c r="I568" s="488"/>
      <c r="J568" s="488"/>
      <c r="K568" s="488"/>
      <c r="L568" s="488"/>
      <c r="M568" s="488"/>
      <c r="N568" s="488"/>
      <c r="O568" s="488"/>
      <c r="P568" s="488"/>
      <c r="Q568" s="488"/>
      <c r="R568" s="488"/>
      <c r="S568" s="488"/>
      <c r="T568" s="488"/>
      <c r="U568" s="488"/>
      <c r="V568" s="488"/>
      <c r="W568" s="488"/>
      <c r="X568" s="488"/>
      <c r="Y568" s="488"/>
      <c r="Z568" s="488"/>
      <c r="AA568" s="488"/>
      <c r="AB568" s="488"/>
      <c r="AC568" s="488"/>
      <c r="AD568" s="488"/>
      <c r="AE568" s="488"/>
      <c r="AF568" s="488"/>
      <c r="AG568" s="488"/>
      <c r="AH568" s="488"/>
      <c r="AI568" s="488"/>
      <c r="AJ568" s="488"/>
      <c r="AK568" s="488"/>
      <c r="AL568" s="488"/>
      <c r="AM568" s="488"/>
      <c r="AN568" s="488"/>
      <c r="AO568" s="488"/>
      <c r="AP568" s="488"/>
      <c r="AQ568" s="488"/>
      <c r="AR568" s="488"/>
      <c r="AS568" s="488"/>
      <c r="AT568" s="488"/>
      <c r="AU568" s="488"/>
      <c r="AV568" s="488"/>
      <c r="AW568" s="488"/>
      <c r="AX568" s="488"/>
      <c r="AY568" s="488"/>
      <c r="AZ568" s="488"/>
      <c r="BA568" s="488"/>
      <c r="BB568" s="488"/>
      <c r="BC568" s="488"/>
      <c r="BD568" s="488"/>
    </row>
    <row r="569" spans="3:56">
      <c r="C569" s="488"/>
      <c r="D569" s="488"/>
      <c r="E569" s="488"/>
      <c r="F569" s="488"/>
      <c r="G569" s="488"/>
      <c r="H569" s="488"/>
      <c r="I569" s="488"/>
      <c r="J569" s="488"/>
      <c r="K569" s="488"/>
      <c r="L569" s="488"/>
      <c r="M569" s="488"/>
      <c r="N569" s="488"/>
      <c r="O569" s="488"/>
      <c r="P569" s="488"/>
      <c r="Q569" s="488"/>
      <c r="R569" s="488"/>
      <c r="S569" s="488"/>
      <c r="T569" s="488"/>
      <c r="U569" s="488"/>
      <c r="V569" s="488"/>
      <c r="W569" s="488"/>
      <c r="X569" s="488"/>
      <c r="Y569" s="488"/>
      <c r="Z569" s="488"/>
      <c r="AA569" s="488"/>
      <c r="AB569" s="488"/>
      <c r="AC569" s="488"/>
      <c r="AD569" s="488"/>
      <c r="AE569" s="488"/>
      <c r="AF569" s="488"/>
      <c r="AG569" s="488"/>
      <c r="AH569" s="488"/>
      <c r="AI569" s="488"/>
      <c r="AJ569" s="488"/>
      <c r="AK569" s="488"/>
      <c r="AL569" s="488"/>
      <c r="AM569" s="488"/>
      <c r="AN569" s="488"/>
      <c r="AO569" s="488"/>
      <c r="AP569" s="488"/>
      <c r="AQ569" s="488"/>
      <c r="AR569" s="488"/>
      <c r="AS569" s="488"/>
      <c r="AT569" s="488"/>
      <c r="AU569" s="488"/>
      <c r="AV569" s="488"/>
      <c r="AW569" s="488"/>
      <c r="AX569" s="488"/>
      <c r="AY569" s="488"/>
      <c r="AZ569" s="488"/>
      <c r="BA569" s="488"/>
      <c r="BB569" s="488"/>
      <c r="BC569" s="488"/>
      <c r="BD569" s="488"/>
    </row>
    <row r="570" spans="3:56">
      <c r="C570" s="488"/>
      <c r="D570" s="488"/>
      <c r="E570" s="488"/>
      <c r="F570" s="488"/>
      <c r="G570" s="488"/>
      <c r="H570" s="488"/>
      <c r="I570" s="488"/>
      <c r="J570" s="488"/>
      <c r="K570" s="488"/>
      <c r="L570" s="488"/>
      <c r="M570" s="488"/>
      <c r="N570" s="488"/>
      <c r="O570" s="488"/>
      <c r="P570" s="488"/>
      <c r="Q570" s="488"/>
      <c r="R570" s="488"/>
      <c r="S570" s="488"/>
      <c r="T570" s="488"/>
      <c r="U570" s="488"/>
      <c r="V570" s="488"/>
      <c r="W570" s="488"/>
      <c r="X570" s="488"/>
      <c r="Y570" s="488"/>
      <c r="Z570" s="488"/>
      <c r="AA570" s="488"/>
      <c r="AB570" s="488"/>
      <c r="AC570" s="488"/>
      <c r="AD570" s="488"/>
      <c r="AE570" s="488"/>
      <c r="AF570" s="488"/>
      <c r="AG570" s="488"/>
      <c r="AH570" s="488"/>
      <c r="AI570" s="488"/>
      <c r="AJ570" s="488"/>
      <c r="AK570" s="488"/>
      <c r="AL570" s="488"/>
      <c r="AM570" s="488"/>
      <c r="AN570" s="488"/>
      <c r="AO570" s="488"/>
      <c r="AP570" s="488"/>
      <c r="AQ570" s="488"/>
      <c r="AR570" s="488"/>
      <c r="AS570" s="488"/>
      <c r="AT570" s="488"/>
      <c r="AU570" s="488"/>
      <c r="AV570" s="488"/>
      <c r="AW570" s="488"/>
      <c r="AX570" s="488"/>
      <c r="AY570" s="488"/>
      <c r="AZ570" s="488"/>
      <c r="BA570" s="488"/>
      <c r="BB570" s="488"/>
      <c r="BC570" s="488"/>
      <c r="BD570" s="488"/>
    </row>
    <row r="571" spans="3:56">
      <c r="C571" s="488"/>
      <c r="D571" s="488"/>
      <c r="E571" s="488"/>
      <c r="F571" s="488"/>
      <c r="G571" s="488"/>
      <c r="H571" s="488"/>
      <c r="I571" s="488"/>
      <c r="J571" s="488"/>
      <c r="K571" s="488"/>
      <c r="L571" s="488"/>
      <c r="M571" s="488"/>
      <c r="N571" s="488"/>
      <c r="O571" s="488"/>
      <c r="P571" s="488"/>
      <c r="Q571" s="488"/>
      <c r="R571" s="488"/>
      <c r="S571" s="488"/>
      <c r="T571" s="488"/>
      <c r="U571" s="488"/>
      <c r="V571" s="488"/>
      <c r="W571" s="488"/>
      <c r="X571" s="488"/>
      <c r="Y571" s="488"/>
      <c r="Z571" s="488"/>
      <c r="AA571" s="488"/>
      <c r="AB571" s="488"/>
      <c r="AC571" s="488"/>
      <c r="AD571" s="488"/>
      <c r="AE571" s="488"/>
      <c r="AF571" s="488"/>
      <c r="AG571" s="488"/>
      <c r="AH571" s="488"/>
      <c r="AI571" s="488"/>
      <c r="AJ571" s="488"/>
      <c r="AK571" s="488"/>
      <c r="AL571" s="488"/>
      <c r="AM571" s="488"/>
      <c r="AN571" s="488"/>
      <c r="AO571" s="488"/>
      <c r="AP571" s="488"/>
      <c r="AQ571" s="488"/>
      <c r="AR571" s="488"/>
      <c r="AS571" s="488"/>
      <c r="AT571" s="488"/>
      <c r="AU571" s="488"/>
      <c r="AV571" s="488"/>
      <c r="AW571" s="488"/>
      <c r="AX571" s="488"/>
      <c r="AY571" s="488"/>
      <c r="AZ571" s="488"/>
      <c r="BA571" s="488"/>
      <c r="BB571" s="488"/>
      <c r="BC571" s="488"/>
      <c r="BD571" s="488"/>
    </row>
    <row r="572" spans="3:56">
      <c r="C572" s="488"/>
      <c r="D572" s="488"/>
      <c r="E572" s="488"/>
      <c r="F572" s="488"/>
      <c r="G572" s="488"/>
      <c r="H572" s="488"/>
      <c r="I572" s="488"/>
      <c r="J572" s="488"/>
      <c r="K572" s="488"/>
      <c r="L572" s="488"/>
      <c r="M572" s="488"/>
      <c r="N572" s="488"/>
      <c r="O572" s="488"/>
      <c r="P572" s="488"/>
      <c r="Q572" s="488"/>
      <c r="R572" s="488"/>
      <c r="S572" s="488"/>
      <c r="T572" s="488"/>
      <c r="U572" s="488"/>
      <c r="V572" s="488"/>
      <c r="W572" s="488"/>
      <c r="X572" s="488"/>
      <c r="Y572" s="488"/>
      <c r="Z572" s="488"/>
      <c r="AA572" s="488"/>
      <c r="AB572" s="488"/>
      <c r="AC572" s="488"/>
      <c r="AD572" s="488"/>
      <c r="AE572" s="488"/>
      <c r="AF572" s="488"/>
      <c r="AG572" s="488"/>
      <c r="AH572" s="488"/>
      <c r="AI572" s="488"/>
      <c r="AJ572" s="488"/>
      <c r="AK572" s="488"/>
      <c r="AL572" s="488"/>
      <c r="AM572" s="488"/>
      <c r="AN572" s="488"/>
      <c r="AO572" s="488"/>
      <c r="AP572" s="488"/>
      <c r="AQ572" s="488"/>
      <c r="AR572" s="488"/>
      <c r="AS572" s="488"/>
      <c r="AT572" s="488"/>
      <c r="AU572" s="488"/>
      <c r="AV572" s="488"/>
      <c r="AW572" s="488"/>
      <c r="AX572" s="488"/>
      <c r="AY572" s="488"/>
      <c r="AZ572" s="488"/>
      <c r="BA572" s="488"/>
      <c r="BB572" s="488"/>
      <c r="BC572" s="488"/>
      <c r="BD572" s="488"/>
    </row>
    <row r="573" spans="3:56">
      <c r="C573" s="488"/>
      <c r="D573" s="488"/>
      <c r="E573" s="488"/>
      <c r="F573" s="488"/>
      <c r="G573" s="488"/>
      <c r="H573" s="488"/>
      <c r="I573" s="488"/>
      <c r="J573" s="488"/>
      <c r="K573" s="488"/>
      <c r="L573" s="488"/>
      <c r="M573" s="488"/>
      <c r="N573" s="488"/>
      <c r="O573" s="488"/>
      <c r="P573" s="488"/>
      <c r="Q573" s="488"/>
      <c r="R573" s="488"/>
      <c r="S573" s="488"/>
      <c r="T573" s="488"/>
      <c r="U573" s="488"/>
      <c r="V573" s="488"/>
      <c r="W573" s="488"/>
      <c r="X573" s="488"/>
      <c r="Y573" s="488"/>
      <c r="Z573" s="488"/>
      <c r="AA573" s="488"/>
      <c r="AB573" s="488"/>
      <c r="AC573" s="488"/>
      <c r="AD573" s="488"/>
      <c r="AE573" s="488"/>
      <c r="AF573" s="488"/>
      <c r="AG573" s="488"/>
      <c r="AH573" s="488"/>
      <c r="AI573" s="488"/>
      <c r="AJ573" s="488"/>
      <c r="AK573" s="488"/>
      <c r="AL573" s="488"/>
      <c r="AM573" s="488"/>
      <c r="AN573" s="488"/>
      <c r="AO573" s="488"/>
      <c r="AP573" s="488"/>
      <c r="AQ573" s="488"/>
      <c r="AR573" s="488"/>
      <c r="AS573" s="488"/>
      <c r="AT573" s="488"/>
      <c r="AU573" s="488"/>
      <c r="AV573" s="488"/>
      <c r="AW573" s="488"/>
      <c r="AX573" s="488"/>
      <c r="AY573" s="488"/>
      <c r="AZ573" s="488"/>
      <c r="BA573" s="488"/>
      <c r="BB573" s="488"/>
      <c r="BC573" s="488"/>
      <c r="BD573" s="488"/>
    </row>
    <row r="574" spans="3:56">
      <c r="C574" s="488"/>
      <c r="D574" s="488"/>
      <c r="E574" s="488"/>
      <c r="F574" s="488"/>
      <c r="G574" s="488"/>
      <c r="H574" s="488"/>
      <c r="I574" s="488"/>
      <c r="J574" s="488"/>
      <c r="K574" s="488"/>
      <c r="L574" s="488"/>
      <c r="M574" s="488"/>
      <c r="N574" s="488"/>
      <c r="O574" s="488"/>
      <c r="P574" s="488"/>
      <c r="Q574" s="488"/>
      <c r="R574" s="488"/>
      <c r="S574" s="488"/>
      <c r="T574" s="488"/>
      <c r="U574" s="488"/>
      <c r="V574" s="488"/>
      <c r="W574" s="488"/>
      <c r="X574" s="488"/>
      <c r="Y574" s="488"/>
      <c r="Z574" s="488"/>
      <c r="AA574" s="488"/>
      <c r="AB574" s="488"/>
      <c r="AC574" s="488"/>
      <c r="AD574" s="488"/>
      <c r="AE574" s="488"/>
      <c r="AF574" s="488"/>
      <c r="AG574" s="488"/>
      <c r="AH574" s="488"/>
      <c r="AI574" s="488"/>
      <c r="AJ574" s="488"/>
      <c r="AK574" s="488"/>
      <c r="AL574" s="488"/>
      <c r="AM574" s="488"/>
      <c r="AN574" s="488"/>
      <c r="AO574" s="488"/>
      <c r="AP574" s="488"/>
      <c r="AQ574" s="488"/>
      <c r="AR574" s="488"/>
      <c r="AS574" s="488"/>
      <c r="AT574" s="488"/>
      <c r="AU574" s="488"/>
      <c r="AV574" s="488"/>
      <c r="AW574" s="488"/>
      <c r="AX574" s="488"/>
      <c r="AY574" s="488"/>
      <c r="AZ574" s="488"/>
      <c r="BA574" s="488"/>
      <c r="BB574" s="488"/>
      <c r="BC574" s="488"/>
      <c r="BD574" s="488"/>
    </row>
    <row r="575" spans="3:56">
      <c r="C575" s="488"/>
      <c r="D575" s="488"/>
      <c r="E575" s="488"/>
      <c r="F575" s="488"/>
      <c r="G575" s="488"/>
      <c r="H575" s="488"/>
      <c r="I575" s="488"/>
      <c r="J575" s="488"/>
      <c r="K575" s="488"/>
      <c r="L575" s="488"/>
      <c r="M575" s="488"/>
      <c r="N575" s="488"/>
      <c r="O575" s="488"/>
      <c r="P575" s="488"/>
      <c r="Q575" s="488"/>
      <c r="R575" s="488"/>
      <c r="S575" s="488"/>
      <c r="T575" s="488"/>
      <c r="U575" s="488"/>
      <c r="V575" s="488"/>
      <c r="W575" s="488"/>
      <c r="X575" s="488"/>
      <c r="Y575" s="488"/>
      <c r="Z575" s="488"/>
      <c r="AA575" s="488"/>
      <c r="AB575" s="488"/>
      <c r="AC575" s="488"/>
      <c r="AD575" s="488"/>
      <c r="AE575" s="488"/>
      <c r="AF575" s="488"/>
      <c r="AG575" s="488"/>
      <c r="AH575" s="488"/>
      <c r="AI575" s="488"/>
      <c r="AJ575" s="488"/>
      <c r="AK575" s="488"/>
      <c r="AL575" s="488"/>
      <c r="AM575" s="488"/>
      <c r="AN575" s="488"/>
      <c r="AO575" s="488"/>
      <c r="AP575" s="488"/>
      <c r="AQ575" s="488"/>
      <c r="AR575" s="488"/>
      <c r="AS575" s="488"/>
      <c r="AT575" s="488"/>
      <c r="AU575" s="488"/>
      <c r="AV575" s="488"/>
      <c r="AW575" s="488"/>
      <c r="AX575" s="488"/>
      <c r="AY575" s="488"/>
      <c r="AZ575" s="488"/>
      <c r="BA575" s="488"/>
      <c r="BB575" s="488"/>
      <c r="BC575" s="488"/>
      <c r="BD575" s="488"/>
    </row>
    <row r="576" spans="3:56">
      <c r="C576" s="488"/>
      <c r="D576" s="488"/>
      <c r="E576" s="488"/>
      <c r="F576" s="488"/>
      <c r="G576" s="488"/>
      <c r="H576" s="488"/>
      <c r="I576" s="488"/>
      <c r="J576" s="488"/>
      <c r="K576" s="488"/>
      <c r="L576" s="488"/>
      <c r="M576" s="488"/>
      <c r="N576" s="488"/>
      <c r="O576" s="488"/>
      <c r="P576" s="488"/>
      <c r="Q576" s="488"/>
      <c r="R576" s="488"/>
      <c r="S576" s="488"/>
      <c r="T576" s="488"/>
      <c r="U576" s="488"/>
      <c r="V576" s="488"/>
      <c r="W576" s="488"/>
      <c r="X576" s="488"/>
      <c r="Y576" s="488"/>
      <c r="Z576" s="488"/>
      <c r="AA576" s="488"/>
      <c r="AB576" s="488"/>
      <c r="AC576" s="488"/>
      <c r="AD576" s="488"/>
      <c r="AE576" s="488"/>
      <c r="AF576" s="488"/>
      <c r="AG576" s="488"/>
      <c r="AH576" s="488"/>
      <c r="AI576" s="488"/>
      <c r="AJ576" s="488"/>
      <c r="AK576" s="488"/>
      <c r="AL576" s="488"/>
      <c r="AM576" s="488"/>
      <c r="AN576" s="488"/>
      <c r="AO576" s="488"/>
      <c r="AP576" s="488"/>
      <c r="AQ576" s="488"/>
      <c r="AR576" s="488"/>
      <c r="AS576" s="488"/>
      <c r="AT576" s="488"/>
      <c r="AU576" s="488"/>
      <c r="AV576" s="488"/>
      <c r="AW576" s="488"/>
      <c r="AX576" s="488"/>
      <c r="AY576" s="488"/>
      <c r="AZ576" s="488"/>
      <c r="BA576" s="488"/>
      <c r="BB576" s="488"/>
      <c r="BC576" s="488"/>
      <c r="BD576" s="488"/>
    </row>
    <row r="577" spans="3:56">
      <c r="C577" s="488"/>
      <c r="D577" s="488"/>
      <c r="E577" s="488"/>
      <c r="F577" s="488"/>
      <c r="G577" s="488"/>
      <c r="H577" s="488"/>
      <c r="I577" s="488"/>
      <c r="J577" s="488"/>
      <c r="K577" s="488"/>
      <c r="L577" s="488"/>
      <c r="M577" s="488"/>
      <c r="N577" s="488"/>
      <c r="O577" s="488"/>
      <c r="P577" s="488"/>
      <c r="Q577" s="488"/>
      <c r="R577" s="488"/>
      <c r="S577" s="488"/>
      <c r="T577" s="488"/>
      <c r="U577" s="488"/>
      <c r="V577" s="488"/>
      <c r="W577" s="488"/>
      <c r="X577" s="488"/>
      <c r="Y577" s="488"/>
      <c r="Z577" s="488"/>
      <c r="AA577" s="488"/>
      <c r="AB577" s="488"/>
      <c r="AC577" s="488"/>
      <c r="AD577" s="488"/>
      <c r="AE577" s="488"/>
      <c r="AF577" s="488"/>
      <c r="AG577" s="488"/>
      <c r="AH577" s="488"/>
      <c r="AI577" s="488"/>
      <c r="AJ577" s="488"/>
      <c r="AK577" s="488"/>
      <c r="AL577" s="488"/>
      <c r="AM577" s="488"/>
      <c r="AN577" s="488"/>
      <c r="AO577" s="488"/>
      <c r="AP577" s="488"/>
      <c r="AQ577" s="488"/>
      <c r="AR577" s="488"/>
      <c r="AS577" s="488"/>
      <c r="AT577" s="488"/>
      <c r="AU577" s="488"/>
      <c r="AV577" s="488"/>
      <c r="AW577" s="488"/>
      <c r="AX577" s="488"/>
      <c r="AY577" s="488"/>
      <c r="AZ577" s="488"/>
      <c r="BA577" s="488"/>
      <c r="BB577" s="488"/>
      <c r="BC577" s="488"/>
      <c r="BD577" s="488"/>
    </row>
    <row r="578" spans="3:56">
      <c r="C578" s="488"/>
      <c r="D578" s="488"/>
      <c r="E578" s="488"/>
      <c r="F578" s="488"/>
      <c r="G578" s="488"/>
      <c r="H578" s="488"/>
      <c r="I578" s="488"/>
      <c r="J578" s="488"/>
      <c r="K578" s="488"/>
      <c r="L578" s="488"/>
      <c r="M578" s="488"/>
      <c r="N578" s="488"/>
      <c r="O578" s="488"/>
      <c r="P578" s="488"/>
      <c r="Q578" s="488"/>
      <c r="R578" s="488"/>
      <c r="S578" s="488"/>
      <c r="T578" s="488"/>
      <c r="U578" s="488"/>
      <c r="V578" s="488"/>
      <c r="W578" s="488"/>
      <c r="X578" s="488"/>
      <c r="Y578" s="488"/>
      <c r="Z578" s="488"/>
      <c r="AA578" s="488"/>
      <c r="AB578" s="488"/>
      <c r="AC578" s="488"/>
      <c r="AD578" s="488"/>
      <c r="AE578" s="488"/>
      <c r="AF578" s="488"/>
      <c r="AG578" s="488"/>
      <c r="AH578" s="488"/>
      <c r="AI578" s="488"/>
      <c r="AJ578" s="488"/>
      <c r="AK578" s="488"/>
      <c r="AL578" s="488"/>
      <c r="AM578" s="488"/>
      <c r="AN578" s="488"/>
      <c r="AO578" s="488"/>
      <c r="AP578" s="488"/>
      <c r="AQ578" s="488"/>
      <c r="AR578" s="488"/>
      <c r="AS578" s="488"/>
      <c r="AT578" s="488"/>
      <c r="AU578" s="488"/>
      <c r="AV578" s="488"/>
      <c r="AW578" s="488"/>
      <c r="AX578" s="488"/>
      <c r="AY578" s="488"/>
      <c r="AZ578" s="488"/>
      <c r="BA578" s="488"/>
      <c r="BB578" s="488"/>
      <c r="BC578" s="488"/>
      <c r="BD578" s="488"/>
    </row>
    <row r="579" spans="3:56">
      <c r="C579" s="488"/>
      <c r="D579" s="488"/>
      <c r="E579" s="488"/>
      <c r="F579" s="488"/>
      <c r="G579" s="488"/>
      <c r="H579" s="488"/>
      <c r="I579" s="488"/>
      <c r="J579" s="488"/>
      <c r="K579" s="488"/>
      <c r="L579" s="488"/>
      <c r="M579" s="488"/>
      <c r="N579" s="488"/>
      <c r="O579" s="488"/>
      <c r="P579" s="488"/>
      <c r="Q579" s="488"/>
      <c r="R579" s="488"/>
      <c r="S579" s="488"/>
      <c r="T579" s="488"/>
      <c r="U579" s="488"/>
      <c r="V579" s="488"/>
      <c r="W579" s="488"/>
      <c r="X579" s="488"/>
      <c r="Y579" s="488"/>
      <c r="Z579" s="488"/>
      <c r="AA579" s="488"/>
      <c r="AB579" s="488"/>
      <c r="AC579" s="488"/>
      <c r="AD579" s="488"/>
      <c r="AE579" s="488"/>
      <c r="AF579" s="488"/>
      <c r="AG579" s="488"/>
      <c r="AH579" s="488"/>
      <c r="AI579" s="488"/>
      <c r="AJ579" s="488"/>
      <c r="AK579" s="488"/>
      <c r="AL579" s="488"/>
      <c r="AM579" s="488"/>
      <c r="AN579" s="488"/>
      <c r="AO579" s="488"/>
      <c r="AP579" s="488"/>
      <c r="AQ579" s="488"/>
      <c r="AR579" s="488"/>
      <c r="AS579" s="488"/>
      <c r="AT579" s="488"/>
      <c r="AU579" s="488"/>
      <c r="AV579" s="488"/>
      <c r="AW579" s="488"/>
      <c r="AX579" s="488"/>
      <c r="AY579" s="488"/>
      <c r="AZ579" s="488"/>
      <c r="BA579" s="488"/>
      <c r="BB579" s="488"/>
      <c r="BC579" s="488"/>
      <c r="BD579" s="488"/>
    </row>
    <row r="580" spans="3:56">
      <c r="C580" s="488"/>
      <c r="D580" s="488"/>
      <c r="E580" s="488"/>
      <c r="F580" s="488"/>
      <c r="G580" s="488"/>
      <c r="H580" s="488"/>
      <c r="I580" s="488"/>
      <c r="J580" s="488"/>
      <c r="K580" s="488"/>
      <c r="L580" s="488"/>
      <c r="M580" s="488"/>
      <c r="N580" s="488"/>
      <c r="O580" s="488"/>
      <c r="P580" s="488"/>
      <c r="Q580" s="488"/>
      <c r="R580" s="488"/>
      <c r="S580" s="488"/>
      <c r="T580" s="488"/>
      <c r="U580" s="488"/>
      <c r="V580" s="488"/>
      <c r="W580" s="488"/>
      <c r="X580" s="488"/>
      <c r="Y580" s="488"/>
      <c r="Z580" s="488"/>
      <c r="AA580" s="488"/>
      <c r="AB580" s="488"/>
      <c r="AC580" s="488"/>
      <c r="AD580" s="488"/>
      <c r="AE580" s="488"/>
      <c r="AF580" s="488"/>
      <c r="AG580" s="488"/>
      <c r="AH580" s="488"/>
      <c r="AI580" s="488"/>
      <c r="AJ580" s="488"/>
      <c r="AK580" s="488"/>
      <c r="AL580" s="488"/>
      <c r="AM580" s="488"/>
      <c r="AN580" s="488"/>
      <c r="AO580" s="488"/>
      <c r="AP580" s="488"/>
      <c r="AQ580" s="488"/>
      <c r="AR580" s="488"/>
      <c r="AS580" s="488"/>
      <c r="AT580" s="488"/>
      <c r="AU580" s="488"/>
      <c r="AV580" s="488"/>
      <c r="AW580" s="488"/>
      <c r="AX580" s="488"/>
      <c r="AY580" s="488"/>
      <c r="AZ580" s="488"/>
      <c r="BA580" s="488"/>
      <c r="BB580" s="488"/>
      <c r="BC580" s="488"/>
      <c r="BD580" s="488"/>
    </row>
    <row r="581" spans="3:56">
      <c r="C581" s="488"/>
      <c r="D581" s="488"/>
      <c r="E581" s="488"/>
      <c r="F581" s="488"/>
      <c r="G581" s="488"/>
      <c r="H581" s="488"/>
      <c r="I581" s="488"/>
      <c r="J581" s="488"/>
      <c r="K581" s="488"/>
      <c r="L581" s="488"/>
      <c r="M581" s="488"/>
      <c r="N581" s="488"/>
      <c r="O581" s="488"/>
      <c r="P581" s="488"/>
      <c r="Q581" s="488"/>
      <c r="R581" s="488"/>
      <c r="S581" s="488"/>
      <c r="T581" s="488"/>
      <c r="U581" s="488"/>
      <c r="V581" s="488"/>
      <c r="W581" s="488"/>
      <c r="X581" s="488"/>
      <c r="Y581" s="488"/>
      <c r="Z581" s="488"/>
      <c r="AA581" s="488"/>
      <c r="AB581" s="488"/>
      <c r="AC581" s="488"/>
      <c r="AD581" s="488"/>
      <c r="AE581" s="488"/>
      <c r="AF581" s="488"/>
      <c r="AG581" s="488"/>
      <c r="AH581" s="488"/>
      <c r="AI581" s="488"/>
      <c r="AJ581" s="488"/>
      <c r="AK581" s="488"/>
      <c r="AL581" s="488"/>
      <c r="AM581" s="488"/>
      <c r="AN581" s="488"/>
      <c r="AO581" s="488"/>
      <c r="AP581" s="488"/>
      <c r="AQ581" s="488"/>
      <c r="AR581" s="488"/>
      <c r="AS581" s="488"/>
      <c r="AT581" s="488"/>
      <c r="AU581" s="488"/>
      <c r="AV581" s="488"/>
      <c r="AW581" s="488"/>
      <c r="AX581" s="488"/>
      <c r="AY581" s="488"/>
      <c r="AZ581" s="488"/>
      <c r="BA581" s="488"/>
      <c r="BB581" s="488"/>
      <c r="BC581" s="488"/>
      <c r="BD581" s="488"/>
    </row>
    <row r="582" spans="3:56">
      <c r="C582" s="488"/>
      <c r="D582" s="488"/>
      <c r="E582" s="488"/>
      <c r="F582" s="488"/>
      <c r="G582" s="488"/>
      <c r="H582" s="488"/>
      <c r="I582" s="488"/>
      <c r="J582" s="488"/>
      <c r="K582" s="488"/>
      <c r="L582" s="488"/>
      <c r="M582" s="488"/>
      <c r="N582" s="488"/>
      <c r="O582" s="488"/>
      <c r="P582" s="488"/>
      <c r="Q582" s="488"/>
      <c r="R582" s="488"/>
      <c r="S582" s="488"/>
      <c r="T582" s="488"/>
      <c r="U582" s="488"/>
      <c r="V582" s="488"/>
      <c r="W582" s="488"/>
      <c r="X582" s="488"/>
      <c r="Y582" s="488"/>
      <c r="Z582" s="488"/>
      <c r="AA582" s="488"/>
      <c r="AB582" s="488"/>
      <c r="AC582" s="488"/>
      <c r="AD582" s="488"/>
      <c r="AE582" s="488"/>
      <c r="AF582" s="488"/>
      <c r="AG582" s="488"/>
      <c r="AH582" s="488"/>
      <c r="AI582" s="488"/>
      <c r="AJ582" s="488"/>
      <c r="AK582" s="488"/>
      <c r="AL582" s="488"/>
      <c r="AM582" s="488"/>
      <c r="AN582" s="488"/>
      <c r="AO582" s="488"/>
      <c r="AP582" s="488"/>
      <c r="AQ582" s="488"/>
      <c r="AR582" s="488"/>
      <c r="AS582" s="488"/>
      <c r="AT582" s="488"/>
      <c r="AU582" s="488"/>
      <c r="AV582" s="488"/>
      <c r="AW582" s="488"/>
      <c r="AX582" s="488"/>
      <c r="AY582" s="488"/>
      <c r="AZ582" s="488"/>
      <c r="BA582" s="488"/>
      <c r="BB582" s="488"/>
      <c r="BC582" s="488"/>
      <c r="BD582" s="488"/>
    </row>
    <row r="583" spans="3:56">
      <c r="C583" s="488"/>
      <c r="D583" s="488"/>
      <c r="E583" s="488"/>
      <c r="F583" s="488"/>
      <c r="G583" s="488"/>
      <c r="H583" s="488"/>
      <c r="I583" s="488"/>
      <c r="J583" s="488"/>
      <c r="K583" s="488"/>
      <c r="L583" s="488"/>
      <c r="M583" s="488"/>
      <c r="N583" s="488"/>
      <c r="O583" s="488"/>
      <c r="P583" s="488"/>
      <c r="Q583" s="488"/>
      <c r="R583" s="488"/>
      <c r="S583" s="488"/>
      <c r="T583" s="488"/>
      <c r="U583" s="488"/>
      <c r="V583" s="488"/>
      <c r="W583" s="488"/>
      <c r="X583" s="488"/>
      <c r="Y583" s="488"/>
      <c r="Z583" s="488"/>
      <c r="AA583" s="488"/>
      <c r="AB583" s="488"/>
      <c r="AC583" s="488"/>
      <c r="AD583" s="488"/>
      <c r="AE583" s="488"/>
      <c r="AF583" s="488"/>
      <c r="AG583" s="488"/>
      <c r="AH583" s="488"/>
      <c r="AI583" s="488"/>
      <c r="AJ583" s="488"/>
      <c r="AK583" s="488"/>
      <c r="AL583" s="488"/>
      <c r="AM583" s="488"/>
      <c r="AN583" s="488"/>
      <c r="AO583" s="488"/>
      <c r="AP583" s="488"/>
      <c r="AQ583" s="488"/>
      <c r="AR583" s="488"/>
      <c r="AS583" s="488"/>
      <c r="AT583" s="488"/>
      <c r="AU583" s="488"/>
      <c r="AV583" s="488"/>
      <c r="AW583" s="488"/>
      <c r="AX583" s="488"/>
      <c r="AY583" s="488"/>
      <c r="AZ583" s="488"/>
      <c r="BA583" s="488"/>
      <c r="BB583" s="488"/>
      <c r="BC583" s="488"/>
      <c r="BD583" s="488"/>
    </row>
    <row r="584" spans="3:56">
      <c r="C584" s="488"/>
      <c r="D584" s="488"/>
      <c r="E584" s="488"/>
      <c r="F584" s="488"/>
      <c r="G584" s="488"/>
      <c r="H584" s="488"/>
      <c r="I584" s="488"/>
      <c r="J584" s="488"/>
      <c r="K584" s="488"/>
      <c r="L584" s="488"/>
      <c r="M584" s="488"/>
      <c r="N584" s="488"/>
      <c r="O584" s="488"/>
      <c r="P584" s="488"/>
      <c r="Q584" s="488"/>
      <c r="R584" s="488"/>
      <c r="S584" s="488"/>
      <c r="T584" s="488"/>
      <c r="U584" s="488"/>
      <c r="V584" s="488"/>
      <c r="W584" s="488"/>
      <c r="X584" s="488"/>
      <c r="Y584" s="488"/>
      <c r="Z584" s="488"/>
      <c r="AA584" s="488"/>
      <c r="AB584" s="488"/>
      <c r="AC584" s="488"/>
      <c r="AD584" s="488"/>
      <c r="AE584" s="488"/>
      <c r="AF584" s="488"/>
      <c r="AG584" s="488"/>
      <c r="AH584" s="488"/>
      <c r="AI584" s="488"/>
      <c r="AJ584" s="488"/>
      <c r="AK584" s="488"/>
      <c r="AL584" s="488"/>
      <c r="AM584" s="488"/>
      <c r="AN584" s="488"/>
      <c r="AO584" s="488"/>
      <c r="AP584" s="488"/>
      <c r="AQ584" s="488"/>
      <c r="AR584" s="488"/>
      <c r="AS584" s="488"/>
      <c r="AT584" s="488"/>
      <c r="AU584" s="488"/>
      <c r="AV584" s="488"/>
      <c r="AW584" s="488"/>
      <c r="AX584" s="488"/>
      <c r="AY584" s="488"/>
      <c r="AZ584" s="488"/>
      <c r="BA584" s="488"/>
      <c r="BB584" s="488"/>
      <c r="BC584" s="488"/>
      <c r="BD584" s="488"/>
    </row>
    <row r="585" spans="3:56">
      <c r="C585" s="488"/>
      <c r="D585" s="488"/>
      <c r="E585" s="488"/>
      <c r="F585" s="488"/>
      <c r="G585" s="488"/>
      <c r="H585" s="488"/>
      <c r="I585" s="488"/>
      <c r="J585" s="488"/>
      <c r="K585" s="488"/>
      <c r="L585" s="488"/>
      <c r="M585" s="488"/>
      <c r="N585" s="488"/>
      <c r="O585" s="488"/>
      <c r="P585" s="488"/>
      <c r="Q585" s="488"/>
      <c r="R585" s="488"/>
      <c r="S585" s="488"/>
      <c r="T585" s="488"/>
      <c r="U585" s="488"/>
      <c r="V585" s="488"/>
      <c r="W585" s="488"/>
      <c r="X585" s="488"/>
      <c r="Y585" s="488"/>
      <c r="Z585" s="488"/>
      <c r="AA585" s="488"/>
      <c r="AB585" s="488"/>
      <c r="AC585" s="488"/>
      <c r="AD585" s="488"/>
      <c r="AE585" s="488"/>
      <c r="AF585" s="488"/>
      <c r="AG585" s="488"/>
      <c r="AH585" s="488"/>
      <c r="AI585" s="488"/>
      <c r="AJ585" s="488"/>
      <c r="AK585" s="488"/>
      <c r="AL585" s="488"/>
      <c r="AM585" s="488"/>
      <c r="AN585" s="488"/>
      <c r="AO585" s="488"/>
      <c r="AP585" s="488"/>
      <c r="AQ585" s="488"/>
      <c r="AR585" s="488"/>
      <c r="AS585" s="488"/>
      <c r="AT585" s="488"/>
      <c r="AU585" s="488"/>
      <c r="AV585" s="488"/>
      <c r="AW585" s="488"/>
      <c r="AX585" s="488"/>
      <c r="AY585" s="488"/>
      <c r="AZ585" s="488"/>
      <c r="BA585" s="488"/>
      <c r="BB585" s="488"/>
      <c r="BC585" s="488"/>
      <c r="BD585" s="488"/>
    </row>
    <row r="586" spans="3:56">
      <c r="C586" s="488"/>
      <c r="D586" s="488"/>
      <c r="E586" s="488"/>
      <c r="F586" s="488"/>
      <c r="G586" s="488"/>
      <c r="H586" s="488"/>
      <c r="I586" s="488"/>
      <c r="J586" s="488"/>
      <c r="K586" s="488"/>
      <c r="L586" s="488"/>
      <c r="M586" s="488"/>
      <c r="N586" s="488"/>
      <c r="O586" s="488"/>
      <c r="P586" s="488"/>
      <c r="Q586" s="488"/>
      <c r="R586" s="488"/>
      <c r="S586" s="488"/>
      <c r="T586" s="488"/>
      <c r="U586" s="488"/>
      <c r="V586" s="488"/>
      <c r="W586" s="488"/>
      <c r="X586" s="488"/>
      <c r="Y586" s="488"/>
      <c r="Z586" s="488"/>
      <c r="AA586" s="488"/>
      <c r="AB586" s="488"/>
      <c r="AC586" s="488"/>
      <c r="AD586" s="488"/>
      <c r="AE586" s="488"/>
      <c r="AF586" s="488"/>
      <c r="AG586" s="488"/>
      <c r="AH586" s="488"/>
      <c r="AI586" s="488"/>
      <c r="AJ586" s="488"/>
      <c r="AK586" s="488"/>
      <c r="AL586" s="488"/>
      <c r="AM586" s="488"/>
      <c r="AN586" s="488"/>
      <c r="AO586" s="488"/>
      <c r="AP586" s="488"/>
      <c r="AQ586" s="488"/>
      <c r="AR586" s="488"/>
      <c r="AS586" s="488"/>
      <c r="AT586" s="488"/>
      <c r="AU586" s="488"/>
      <c r="AV586" s="488"/>
      <c r="AW586" s="488"/>
      <c r="AX586" s="488"/>
      <c r="AY586" s="488"/>
      <c r="AZ586" s="488"/>
      <c r="BA586" s="488"/>
      <c r="BB586" s="488"/>
      <c r="BC586" s="488"/>
      <c r="BD586" s="488"/>
    </row>
    <row r="587" spans="3:56">
      <c r="C587" s="488"/>
      <c r="D587" s="488"/>
      <c r="E587" s="488"/>
      <c r="F587" s="488"/>
      <c r="G587" s="488"/>
      <c r="H587" s="488"/>
      <c r="I587" s="488"/>
      <c r="J587" s="488"/>
      <c r="K587" s="488"/>
      <c r="L587" s="488"/>
      <c r="M587" s="488"/>
      <c r="N587" s="488"/>
      <c r="O587" s="488"/>
      <c r="P587" s="488"/>
      <c r="Q587" s="488"/>
      <c r="R587" s="488"/>
      <c r="S587" s="488"/>
      <c r="T587" s="488"/>
      <c r="U587" s="488"/>
      <c r="V587" s="488"/>
      <c r="W587" s="488"/>
      <c r="X587" s="488"/>
      <c r="Y587" s="488"/>
      <c r="Z587" s="488"/>
      <c r="AA587" s="488"/>
      <c r="AB587" s="488"/>
      <c r="AC587" s="488"/>
      <c r="AD587" s="488"/>
      <c r="AE587" s="488"/>
      <c r="AF587" s="488"/>
      <c r="AG587" s="488"/>
      <c r="AH587" s="488"/>
      <c r="AI587" s="488"/>
      <c r="AJ587" s="488"/>
      <c r="AK587" s="488"/>
      <c r="AL587" s="488"/>
      <c r="AM587" s="488"/>
      <c r="AN587" s="488"/>
      <c r="AO587" s="488"/>
      <c r="AP587" s="488"/>
      <c r="AQ587" s="488"/>
      <c r="AR587" s="488"/>
      <c r="AS587" s="488"/>
      <c r="AT587" s="488"/>
      <c r="AU587" s="488"/>
      <c r="AV587" s="488"/>
      <c r="AW587" s="488"/>
      <c r="AX587" s="488"/>
      <c r="AY587" s="488"/>
      <c r="AZ587" s="488"/>
      <c r="BA587" s="488"/>
      <c r="BB587" s="488"/>
      <c r="BC587" s="488"/>
      <c r="BD587" s="488"/>
    </row>
    <row r="588" spans="3:56">
      <c r="C588" s="488"/>
      <c r="D588" s="488"/>
      <c r="E588" s="488"/>
      <c r="F588" s="488"/>
      <c r="G588" s="488"/>
      <c r="H588" s="488"/>
      <c r="I588" s="488"/>
      <c r="J588" s="488"/>
      <c r="K588" s="488"/>
      <c r="L588" s="488"/>
      <c r="M588" s="488"/>
      <c r="N588" s="488"/>
      <c r="O588" s="488"/>
      <c r="P588" s="488"/>
      <c r="Q588" s="488"/>
      <c r="R588" s="488"/>
      <c r="S588" s="488"/>
      <c r="T588" s="488"/>
      <c r="U588" s="488"/>
      <c r="V588" s="488"/>
      <c r="W588" s="488"/>
      <c r="X588" s="488"/>
      <c r="Y588" s="488"/>
      <c r="Z588" s="488"/>
      <c r="AA588" s="488"/>
      <c r="AB588" s="488"/>
      <c r="AC588" s="488"/>
      <c r="AD588" s="488"/>
      <c r="AE588" s="488"/>
      <c r="AF588" s="488"/>
      <c r="AG588" s="488"/>
      <c r="AH588" s="488"/>
      <c r="AI588" s="488"/>
      <c r="AJ588" s="488"/>
      <c r="AK588" s="488"/>
      <c r="AL588" s="488"/>
      <c r="AM588" s="488"/>
      <c r="AN588" s="488"/>
      <c r="AO588" s="488"/>
      <c r="AP588" s="488"/>
      <c r="AQ588" s="488"/>
      <c r="AR588" s="488"/>
      <c r="AS588" s="488"/>
      <c r="AT588" s="488"/>
      <c r="AU588" s="488"/>
      <c r="AV588" s="488"/>
      <c r="AW588" s="488"/>
      <c r="AX588" s="488"/>
      <c r="AY588" s="488"/>
      <c r="AZ588" s="488"/>
      <c r="BA588" s="488"/>
      <c r="BB588" s="488"/>
      <c r="BC588" s="488"/>
      <c r="BD588" s="488"/>
    </row>
    <row r="589" spans="3:56">
      <c r="C589" s="488"/>
      <c r="D589" s="488"/>
      <c r="E589" s="488"/>
      <c r="F589" s="488"/>
      <c r="G589" s="488"/>
      <c r="H589" s="488"/>
      <c r="I589" s="488"/>
      <c r="J589" s="488"/>
      <c r="K589" s="488"/>
      <c r="L589" s="488"/>
      <c r="M589" s="488"/>
      <c r="N589" s="488"/>
      <c r="O589" s="488"/>
      <c r="P589" s="488"/>
      <c r="Q589" s="488"/>
      <c r="R589" s="488"/>
      <c r="S589" s="488"/>
      <c r="T589" s="488"/>
      <c r="U589" s="488"/>
      <c r="V589" s="488"/>
      <c r="W589" s="488"/>
      <c r="X589" s="488"/>
      <c r="Y589" s="488"/>
      <c r="Z589" s="488"/>
      <c r="AA589" s="488"/>
      <c r="AB589" s="488"/>
      <c r="AC589" s="488"/>
      <c r="AD589" s="488"/>
      <c r="AE589" s="488"/>
      <c r="AF589" s="488"/>
      <c r="AG589" s="488"/>
      <c r="AH589" s="488"/>
      <c r="AI589" s="488"/>
      <c r="AJ589" s="488"/>
      <c r="AK589" s="488"/>
      <c r="AL589" s="488"/>
      <c r="AM589" s="488"/>
      <c r="AN589" s="488"/>
      <c r="AO589" s="488"/>
      <c r="AP589" s="488"/>
      <c r="AQ589" s="488"/>
      <c r="AR589" s="488"/>
      <c r="AS589" s="488"/>
      <c r="AT589" s="488"/>
      <c r="AU589" s="488"/>
      <c r="AV589" s="488"/>
      <c r="AW589" s="488"/>
      <c r="AX589" s="488"/>
      <c r="AY589" s="488"/>
      <c r="AZ589" s="488"/>
      <c r="BA589" s="488"/>
      <c r="BB589" s="488"/>
      <c r="BC589" s="488"/>
      <c r="BD589" s="488"/>
    </row>
    <row r="590" spans="3:56">
      <c r="C590" s="488"/>
      <c r="D590" s="488"/>
      <c r="E590" s="488"/>
      <c r="F590" s="488"/>
      <c r="G590" s="488"/>
      <c r="H590" s="488"/>
      <c r="I590" s="488"/>
      <c r="J590" s="488"/>
      <c r="K590" s="488"/>
      <c r="L590" s="488"/>
      <c r="M590" s="488"/>
      <c r="N590" s="488"/>
      <c r="O590" s="488"/>
      <c r="P590" s="488"/>
      <c r="Q590" s="488"/>
      <c r="R590" s="488"/>
      <c r="S590" s="488"/>
      <c r="T590" s="488"/>
      <c r="U590" s="488"/>
      <c r="V590" s="488"/>
      <c r="W590" s="488"/>
      <c r="X590" s="488"/>
      <c r="Y590" s="488"/>
      <c r="Z590" s="488"/>
      <c r="AA590" s="488"/>
      <c r="AB590" s="488"/>
      <c r="AC590" s="488"/>
      <c r="AD590" s="488"/>
      <c r="AE590" s="488"/>
      <c r="AF590" s="488"/>
      <c r="AG590" s="488"/>
      <c r="AH590" s="488"/>
      <c r="AI590" s="488"/>
      <c r="AJ590" s="488"/>
      <c r="AK590" s="488"/>
      <c r="AL590" s="488"/>
      <c r="AM590" s="488"/>
      <c r="AN590" s="488"/>
      <c r="AO590" s="488"/>
      <c r="AP590" s="488"/>
      <c r="AQ590" s="488"/>
      <c r="AR590" s="488"/>
      <c r="AS590" s="488"/>
      <c r="AT590" s="488"/>
      <c r="AU590" s="488"/>
      <c r="AV590" s="488"/>
      <c r="AW590" s="488"/>
      <c r="AX590" s="488"/>
      <c r="AY590" s="488"/>
      <c r="AZ590" s="488"/>
      <c r="BA590" s="488"/>
      <c r="BB590" s="488"/>
      <c r="BC590" s="488"/>
      <c r="BD590" s="488"/>
    </row>
    <row r="591" spans="3:56">
      <c r="C591" s="488"/>
      <c r="D591" s="488"/>
      <c r="E591" s="488"/>
      <c r="F591" s="488"/>
      <c r="G591" s="488"/>
      <c r="H591" s="488"/>
      <c r="I591" s="488"/>
      <c r="J591" s="488"/>
      <c r="K591" s="488"/>
      <c r="L591" s="488"/>
      <c r="M591" s="488"/>
      <c r="N591" s="488"/>
      <c r="O591" s="488"/>
      <c r="P591" s="488"/>
      <c r="Q591" s="488"/>
      <c r="R591" s="488"/>
      <c r="S591" s="488"/>
      <c r="T591" s="488"/>
      <c r="U591" s="488"/>
      <c r="V591" s="488"/>
      <c r="W591" s="488"/>
      <c r="X591" s="488"/>
      <c r="Y591" s="488"/>
      <c r="Z591" s="488"/>
      <c r="AA591" s="488"/>
      <c r="AB591" s="488"/>
      <c r="AC591" s="488"/>
      <c r="AD591" s="488"/>
      <c r="AE591" s="488"/>
      <c r="AF591" s="488"/>
      <c r="AG591" s="488"/>
      <c r="AH591" s="488"/>
      <c r="AI591" s="488"/>
      <c r="AJ591" s="488"/>
      <c r="AK591" s="488"/>
      <c r="AL591" s="488"/>
      <c r="AM591" s="488"/>
      <c r="AN591" s="488"/>
      <c r="AO591" s="488"/>
      <c r="AP591" s="488"/>
      <c r="AQ591" s="488"/>
      <c r="AR591" s="488"/>
      <c r="AS591" s="488"/>
      <c r="AT591" s="488"/>
      <c r="AU591" s="488"/>
      <c r="AV591" s="488"/>
      <c r="AW591" s="488"/>
      <c r="AX591" s="488"/>
      <c r="AY591" s="488"/>
      <c r="AZ591" s="488"/>
      <c r="BA591" s="488"/>
      <c r="BB591" s="488"/>
      <c r="BC591" s="488"/>
      <c r="BD591" s="488"/>
    </row>
    <row r="592" spans="3:56">
      <c r="C592" s="488"/>
      <c r="D592" s="488"/>
      <c r="E592" s="488"/>
      <c r="F592" s="488"/>
      <c r="G592" s="488"/>
      <c r="H592" s="488"/>
      <c r="I592" s="488"/>
      <c r="J592" s="488"/>
      <c r="K592" s="488"/>
      <c r="L592" s="488"/>
      <c r="M592" s="488"/>
      <c r="N592" s="488"/>
      <c r="O592" s="488"/>
      <c r="P592" s="488"/>
      <c r="Q592" s="488"/>
      <c r="R592" s="488"/>
      <c r="S592" s="488"/>
      <c r="T592" s="488"/>
      <c r="U592" s="488"/>
      <c r="V592" s="488"/>
      <c r="W592" s="488"/>
      <c r="X592" s="488"/>
      <c r="Y592" s="488"/>
      <c r="Z592" s="488"/>
      <c r="AA592" s="488"/>
      <c r="AB592" s="488"/>
      <c r="AC592" s="488"/>
      <c r="AD592" s="488"/>
      <c r="AE592" s="488"/>
      <c r="AF592" s="488"/>
      <c r="AG592" s="488"/>
      <c r="AH592" s="488"/>
      <c r="AI592" s="488"/>
      <c r="AJ592" s="488"/>
      <c r="AK592" s="488"/>
      <c r="AL592" s="488"/>
      <c r="AM592" s="488"/>
      <c r="AN592" s="488"/>
      <c r="AO592" s="488"/>
      <c r="AP592" s="488"/>
      <c r="AQ592" s="488"/>
      <c r="AR592" s="488"/>
      <c r="AS592" s="488"/>
      <c r="AT592" s="488"/>
      <c r="AU592" s="488"/>
      <c r="AV592" s="488"/>
      <c r="AW592" s="488"/>
      <c r="AX592" s="488"/>
      <c r="AY592" s="488"/>
      <c r="AZ592" s="488"/>
      <c r="BA592" s="488"/>
      <c r="BB592" s="488"/>
      <c r="BC592" s="488"/>
      <c r="BD592" s="488"/>
    </row>
    <row r="593" spans="3:56">
      <c r="C593" s="488"/>
      <c r="D593" s="488"/>
      <c r="E593" s="488"/>
      <c r="F593" s="488"/>
      <c r="G593" s="488"/>
      <c r="H593" s="488"/>
      <c r="I593" s="488"/>
      <c r="J593" s="488"/>
      <c r="K593" s="488"/>
      <c r="L593" s="488"/>
      <c r="M593" s="488"/>
      <c r="N593" s="488"/>
      <c r="O593" s="488"/>
      <c r="P593" s="488"/>
      <c r="Q593" s="488"/>
      <c r="R593" s="488"/>
      <c r="S593" s="488"/>
      <c r="T593" s="488"/>
      <c r="U593" s="488"/>
      <c r="V593" s="488"/>
      <c r="W593" s="488"/>
      <c r="X593" s="488"/>
      <c r="Y593" s="488"/>
      <c r="Z593" s="488"/>
      <c r="AA593" s="488"/>
      <c r="AB593" s="488"/>
      <c r="AC593" s="488"/>
      <c r="AD593" s="488"/>
      <c r="AE593" s="488"/>
      <c r="AF593" s="488"/>
      <c r="AG593" s="488"/>
      <c r="AH593" s="488"/>
      <c r="AI593" s="488"/>
      <c r="AJ593" s="488"/>
      <c r="AK593" s="488"/>
      <c r="AL593" s="488"/>
      <c r="AM593" s="488"/>
      <c r="AN593" s="488"/>
      <c r="AO593" s="488"/>
      <c r="AP593" s="488"/>
      <c r="AQ593" s="488"/>
      <c r="AR593" s="488"/>
      <c r="AS593" s="488"/>
      <c r="AT593" s="488"/>
      <c r="AU593" s="488"/>
      <c r="AV593" s="488"/>
      <c r="AW593" s="488"/>
      <c r="AX593" s="488"/>
      <c r="AY593" s="488"/>
      <c r="AZ593" s="488"/>
      <c r="BA593" s="488"/>
      <c r="BB593" s="488"/>
      <c r="BC593" s="488"/>
      <c r="BD593" s="488"/>
    </row>
    <row r="594" spans="3:56">
      <c r="C594" s="488"/>
      <c r="D594" s="488"/>
      <c r="E594" s="488"/>
      <c r="F594" s="488"/>
      <c r="G594" s="488"/>
      <c r="H594" s="488"/>
      <c r="I594" s="488"/>
      <c r="J594" s="488"/>
      <c r="K594" s="488"/>
      <c r="L594" s="488"/>
      <c r="M594" s="488"/>
      <c r="N594" s="488"/>
      <c r="O594" s="488"/>
      <c r="P594" s="488"/>
      <c r="Q594" s="488"/>
      <c r="R594" s="488"/>
      <c r="S594" s="488"/>
      <c r="T594" s="488"/>
      <c r="U594" s="488"/>
      <c r="V594" s="488"/>
      <c r="W594" s="488"/>
      <c r="X594" s="488"/>
      <c r="Y594" s="488"/>
      <c r="Z594" s="488"/>
      <c r="AA594" s="488"/>
      <c r="AB594" s="488"/>
      <c r="AC594" s="488"/>
      <c r="AD594" s="488"/>
      <c r="AE594" s="488"/>
      <c r="AF594" s="488"/>
      <c r="AG594" s="488"/>
      <c r="AH594" s="488"/>
      <c r="AI594" s="488"/>
      <c r="AJ594" s="488"/>
      <c r="AK594" s="488"/>
      <c r="AL594" s="488"/>
      <c r="AM594" s="488"/>
      <c r="AN594" s="488"/>
      <c r="AO594" s="488"/>
      <c r="AP594" s="488"/>
      <c r="AQ594" s="488"/>
      <c r="AR594" s="488"/>
      <c r="AS594" s="488"/>
      <c r="AT594" s="488"/>
      <c r="AU594" s="488"/>
      <c r="AV594" s="488"/>
      <c r="AW594" s="488"/>
      <c r="AX594" s="488"/>
      <c r="AY594" s="488"/>
      <c r="AZ594" s="488"/>
      <c r="BA594" s="488"/>
      <c r="BB594" s="488"/>
      <c r="BC594" s="488"/>
      <c r="BD594" s="488"/>
    </row>
    <row r="595" spans="3:56">
      <c r="C595" s="488"/>
      <c r="D595" s="488"/>
      <c r="E595" s="488"/>
      <c r="F595" s="488"/>
      <c r="G595" s="488"/>
      <c r="H595" s="488"/>
      <c r="I595" s="488"/>
      <c r="J595" s="488"/>
      <c r="K595" s="488"/>
      <c r="L595" s="488"/>
      <c r="M595" s="488"/>
      <c r="N595" s="488"/>
      <c r="O595" s="488"/>
      <c r="P595" s="488"/>
      <c r="Q595" s="488"/>
      <c r="R595" s="488"/>
      <c r="S595" s="488"/>
      <c r="T595" s="488"/>
      <c r="U595" s="488"/>
      <c r="V595" s="488"/>
      <c r="W595" s="488"/>
      <c r="X595" s="488"/>
      <c r="Y595" s="488"/>
      <c r="Z595" s="488"/>
      <c r="AA595" s="488"/>
      <c r="AB595" s="488"/>
      <c r="AC595" s="488"/>
      <c r="AD595" s="488"/>
      <c r="AE595" s="488"/>
      <c r="AF595" s="488"/>
      <c r="AG595" s="488"/>
      <c r="AH595" s="488"/>
      <c r="AI595" s="488"/>
      <c r="AJ595" s="488"/>
      <c r="AK595" s="488"/>
      <c r="AL595" s="488"/>
      <c r="AM595" s="488"/>
      <c r="AN595" s="488"/>
      <c r="AO595" s="488"/>
      <c r="AP595" s="488"/>
      <c r="AQ595" s="488"/>
      <c r="AR595" s="488"/>
      <c r="AS595" s="488"/>
      <c r="AT595" s="488"/>
      <c r="AU595" s="488"/>
      <c r="AV595" s="488"/>
      <c r="AW595" s="488"/>
      <c r="AX595" s="488"/>
      <c r="AY595" s="488"/>
      <c r="AZ595" s="488"/>
      <c r="BA595" s="488"/>
      <c r="BB595" s="488"/>
      <c r="BC595" s="488"/>
      <c r="BD595" s="488"/>
    </row>
    <row r="596" spans="3:56">
      <c r="C596" s="488"/>
      <c r="D596" s="488"/>
      <c r="E596" s="488"/>
      <c r="F596" s="488"/>
      <c r="G596" s="488"/>
      <c r="H596" s="488"/>
      <c r="I596" s="488"/>
      <c r="J596" s="488"/>
      <c r="K596" s="488"/>
      <c r="L596" s="488"/>
      <c r="M596" s="488"/>
      <c r="N596" s="488"/>
      <c r="O596" s="488"/>
      <c r="P596" s="488"/>
      <c r="Q596" s="488"/>
      <c r="R596" s="488"/>
      <c r="S596" s="488"/>
      <c r="T596" s="488"/>
      <c r="U596" s="488"/>
      <c r="V596" s="488"/>
      <c r="W596" s="488"/>
      <c r="X596" s="488"/>
      <c r="Y596" s="488"/>
      <c r="Z596" s="488"/>
      <c r="AA596" s="488"/>
      <c r="AB596" s="488"/>
      <c r="AC596" s="488"/>
      <c r="AD596" s="488"/>
      <c r="AE596" s="488"/>
      <c r="AF596" s="488"/>
      <c r="AG596" s="488"/>
      <c r="AH596" s="488"/>
      <c r="AI596" s="488"/>
      <c r="AJ596" s="488"/>
      <c r="AK596" s="488"/>
      <c r="AL596" s="488"/>
      <c r="AM596" s="488"/>
      <c r="AN596" s="488"/>
      <c r="AO596" s="488"/>
      <c r="AP596" s="488"/>
      <c r="AQ596" s="488"/>
      <c r="AR596" s="488"/>
      <c r="AS596" s="488"/>
      <c r="AT596" s="488"/>
      <c r="AU596" s="488"/>
      <c r="AV596" s="488"/>
      <c r="AW596" s="488"/>
      <c r="AX596" s="488"/>
      <c r="AY596" s="488"/>
      <c r="AZ596" s="488"/>
      <c r="BA596" s="488"/>
      <c r="BB596" s="488"/>
      <c r="BC596" s="488"/>
      <c r="BD596" s="488"/>
    </row>
    <row r="597" spans="3:56">
      <c r="C597" s="488"/>
      <c r="D597" s="488"/>
      <c r="E597" s="488"/>
      <c r="F597" s="488"/>
      <c r="G597" s="488"/>
      <c r="H597" s="488"/>
      <c r="I597" s="488"/>
      <c r="J597" s="488"/>
      <c r="K597" s="488"/>
      <c r="L597" s="488"/>
      <c r="M597" s="488"/>
      <c r="N597" s="488"/>
      <c r="O597" s="488"/>
      <c r="P597" s="488"/>
      <c r="Q597" s="488"/>
      <c r="R597" s="488"/>
      <c r="S597" s="488"/>
      <c r="T597" s="488"/>
      <c r="U597" s="488"/>
      <c r="V597" s="488"/>
      <c r="W597" s="488"/>
      <c r="X597" s="488"/>
      <c r="Y597" s="488"/>
      <c r="Z597" s="488"/>
      <c r="AA597" s="488"/>
      <c r="AB597" s="488"/>
      <c r="AC597" s="488"/>
      <c r="AD597" s="488"/>
      <c r="AE597" s="488"/>
      <c r="AF597" s="488"/>
      <c r="AG597" s="488"/>
      <c r="AH597" s="488"/>
      <c r="AI597" s="488"/>
      <c r="AJ597" s="488"/>
      <c r="AK597" s="488"/>
      <c r="AL597" s="488"/>
      <c r="AM597" s="488"/>
      <c r="AN597" s="488"/>
      <c r="AO597" s="488"/>
      <c r="AP597" s="488"/>
      <c r="AQ597" s="488"/>
      <c r="AR597" s="488"/>
      <c r="AS597" s="488"/>
      <c r="AT597" s="488"/>
      <c r="AU597" s="488"/>
      <c r="AV597" s="488"/>
      <c r="AW597" s="488"/>
      <c r="AX597" s="488"/>
      <c r="AY597" s="488"/>
      <c r="AZ597" s="488"/>
      <c r="BA597" s="488"/>
      <c r="BB597" s="488"/>
      <c r="BC597" s="488"/>
      <c r="BD597" s="488"/>
    </row>
    <row r="598" spans="3:56">
      <c r="C598" s="488"/>
      <c r="D598" s="488"/>
      <c r="E598" s="488"/>
      <c r="F598" s="488"/>
      <c r="G598" s="488"/>
      <c r="H598" s="488"/>
      <c r="I598" s="488"/>
      <c r="J598" s="488"/>
      <c r="K598" s="488"/>
      <c r="L598" s="488"/>
      <c r="M598" s="488"/>
      <c r="N598" s="488"/>
      <c r="O598" s="488"/>
      <c r="P598" s="488"/>
      <c r="Q598" s="488"/>
      <c r="R598" s="488"/>
      <c r="S598" s="488"/>
      <c r="T598" s="488"/>
      <c r="U598" s="488"/>
      <c r="V598" s="488"/>
      <c r="W598" s="488"/>
      <c r="X598" s="488"/>
      <c r="Y598" s="488"/>
      <c r="Z598" s="488"/>
      <c r="AA598" s="488"/>
      <c r="AB598" s="488"/>
      <c r="AC598" s="488"/>
      <c r="AD598" s="488"/>
      <c r="AE598" s="488"/>
      <c r="AF598" s="488"/>
      <c r="AG598" s="488"/>
      <c r="AH598" s="488"/>
      <c r="AI598" s="488"/>
      <c r="AJ598" s="488"/>
      <c r="AK598" s="488"/>
      <c r="AL598" s="488"/>
      <c r="AM598" s="488"/>
      <c r="AN598" s="488"/>
      <c r="AO598" s="488"/>
      <c r="AP598" s="488"/>
      <c r="AQ598" s="488"/>
      <c r="AR598" s="488"/>
      <c r="AS598" s="488"/>
      <c r="AT598" s="488"/>
      <c r="AU598" s="488"/>
      <c r="AV598" s="488"/>
      <c r="AW598" s="488"/>
      <c r="AX598" s="488"/>
      <c r="AY598" s="488"/>
      <c r="AZ598" s="488"/>
      <c r="BA598" s="488"/>
      <c r="BB598" s="488"/>
      <c r="BC598" s="488"/>
      <c r="BD598" s="488"/>
    </row>
    <row r="599" spans="3:56">
      <c r="C599" s="488"/>
      <c r="D599" s="488"/>
      <c r="E599" s="488"/>
      <c r="F599" s="488"/>
      <c r="G599" s="488"/>
      <c r="H599" s="488"/>
      <c r="I599" s="488"/>
      <c r="J599" s="488"/>
      <c r="K599" s="488"/>
      <c r="L599" s="488"/>
      <c r="M599" s="488"/>
      <c r="N599" s="488"/>
      <c r="O599" s="488"/>
      <c r="P599" s="488"/>
      <c r="Q599" s="488"/>
      <c r="R599" s="488"/>
      <c r="S599" s="488"/>
      <c r="T599" s="488"/>
      <c r="U599" s="488"/>
      <c r="V599" s="488"/>
      <c r="W599" s="488"/>
      <c r="X599" s="488"/>
      <c r="Y599" s="488"/>
      <c r="Z599" s="488"/>
      <c r="AA599" s="488"/>
      <c r="AB599" s="488"/>
      <c r="AC599" s="488"/>
      <c r="AD599" s="488"/>
      <c r="AE599" s="488"/>
      <c r="AF599" s="488"/>
      <c r="AG599" s="488"/>
      <c r="AH599" s="488"/>
      <c r="AI599" s="488"/>
      <c r="AJ599" s="488"/>
      <c r="AK599" s="488"/>
      <c r="AL599" s="488"/>
      <c r="AM599" s="488"/>
      <c r="AN599" s="488"/>
      <c r="AO599" s="488"/>
      <c r="AP599" s="488"/>
      <c r="AQ599" s="488"/>
      <c r="AR599" s="488"/>
      <c r="AS599" s="488"/>
      <c r="AT599" s="488"/>
      <c r="AU599" s="488"/>
      <c r="AV599" s="488"/>
      <c r="AW599" s="488"/>
      <c r="AX599" s="488"/>
      <c r="AY599" s="488"/>
      <c r="AZ599" s="488"/>
      <c r="BA599" s="488"/>
      <c r="BB599" s="488"/>
      <c r="BC599" s="488"/>
      <c r="BD599" s="488"/>
    </row>
    <row r="600" spans="3:56">
      <c r="C600" s="488"/>
      <c r="D600" s="488"/>
      <c r="E600" s="488"/>
      <c r="F600" s="488"/>
      <c r="G600" s="488"/>
      <c r="H600" s="488"/>
      <c r="I600" s="488"/>
      <c r="J600" s="488"/>
      <c r="K600" s="488"/>
      <c r="L600" s="488"/>
      <c r="M600" s="488"/>
      <c r="N600" s="488"/>
      <c r="O600" s="488"/>
      <c r="P600" s="488"/>
      <c r="Q600" s="488"/>
      <c r="R600" s="488"/>
      <c r="S600" s="488"/>
      <c r="T600" s="488"/>
      <c r="U600" s="488"/>
      <c r="V600" s="488"/>
      <c r="W600" s="488"/>
      <c r="X600" s="488"/>
      <c r="Y600" s="488"/>
      <c r="Z600" s="488"/>
      <c r="AA600" s="488"/>
      <c r="AB600" s="488"/>
      <c r="AC600" s="488"/>
      <c r="AD600" s="488"/>
      <c r="AE600" s="488"/>
      <c r="AF600" s="488"/>
      <c r="AG600" s="488"/>
      <c r="AH600" s="488"/>
      <c r="AI600" s="488"/>
      <c r="AJ600" s="488"/>
      <c r="AK600" s="488"/>
      <c r="AL600" s="488"/>
      <c r="AM600" s="488"/>
      <c r="AN600" s="488"/>
      <c r="AO600" s="488"/>
      <c r="AP600" s="488"/>
      <c r="AQ600" s="488"/>
      <c r="AR600" s="488"/>
      <c r="AS600" s="488"/>
      <c r="AT600" s="488"/>
      <c r="AU600" s="488"/>
      <c r="AV600" s="488"/>
      <c r="AW600" s="488"/>
      <c r="AX600" s="488"/>
      <c r="AY600" s="488"/>
      <c r="AZ600" s="488"/>
      <c r="BA600" s="488"/>
      <c r="BB600" s="488"/>
      <c r="BC600" s="488"/>
      <c r="BD600" s="488"/>
    </row>
    <row r="601" spans="3:56">
      <c r="C601" s="488"/>
      <c r="D601" s="488"/>
      <c r="E601" s="488"/>
      <c r="F601" s="488"/>
      <c r="G601" s="488"/>
      <c r="H601" s="488"/>
      <c r="I601" s="488"/>
      <c r="J601" s="488"/>
      <c r="K601" s="488"/>
      <c r="L601" s="488"/>
      <c r="M601" s="488"/>
      <c r="N601" s="488"/>
      <c r="O601" s="488"/>
      <c r="P601" s="488"/>
      <c r="Q601" s="488"/>
      <c r="R601" s="488"/>
      <c r="S601" s="488"/>
      <c r="T601" s="488"/>
      <c r="U601" s="488"/>
      <c r="V601" s="488"/>
      <c r="W601" s="488"/>
      <c r="X601" s="488"/>
      <c r="Y601" s="488"/>
      <c r="Z601" s="488"/>
      <c r="AA601" s="488"/>
      <c r="AB601" s="488"/>
      <c r="AC601" s="488"/>
      <c r="AD601" s="488"/>
      <c r="AE601" s="488"/>
      <c r="AF601" s="488"/>
      <c r="AG601" s="488"/>
      <c r="AH601" s="488"/>
      <c r="AI601" s="488"/>
      <c r="AJ601" s="488"/>
      <c r="AK601" s="488"/>
      <c r="AL601" s="488"/>
      <c r="AM601" s="488"/>
      <c r="AN601" s="488"/>
      <c r="AO601" s="488"/>
      <c r="AP601" s="488"/>
      <c r="AQ601" s="488"/>
      <c r="AR601" s="488"/>
      <c r="AS601" s="488"/>
      <c r="AT601" s="488"/>
      <c r="AU601" s="488"/>
      <c r="AV601" s="488"/>
      <c r="AW601" s="488"/>
      <c r="AX601" s="488"/>
      <c r="AY601" s="488"/>
      <c r="AZ601" s="488"/>
      <c r="BA601" s="488"/>
      <c r="BB601" s="488"/>
      <c r="BC601" s="488"/>
      <c r="BD601" s="488"/>
    </row>
    <row r="602" spans="3:56">
      <c r="C602" s="488"/>
      <c r="D602" s="488"/>
      <c r="E602" s="488"/>
      <c r="F602" s="488"/>
      <c r="G602" s="488"/>
      <c r="H602" s="488"/>
      <c r="I602" s="488"/>
      <c r="J602" s="488"/>
      <c r="K602" s="488"/>
      <c r="L602" s="488"/>
      <c r="M602" s="488"/>
      <c r="N602" s="488"/>
      <c r="O602" s="488"/>
      <c r="P602" s="488"/>
      <c r="Q602" s="488"/>
      <c r="R602" s="488"/>
      <c r="S602" s="488"/>
      <c r="T602" s="488"/>
      <c r="U602" s="488"/>
      <c r="V602" s="488"/>
      <c r="W602" s="488"/>
      <c r="X602" s="488"/>
      <c r="Y602" s="488"/>
      <c r="Z602" s="488"/>
      <c r="AA602" s="488"/>
      <c r="AB602" s="488"/>
      <c r="AC602" s="488"/>
      <c r="AD602" s="488"/>
      <c r="AE602" s="488"/>
      <c r="AF602" s="488"/>
      <c r="AG602" s="488"/>
      <c r="AH602" s="488"/>
      <c r="AI602" s="488"/>
      <c r="AJ602" s="488"/>
      <c r="AK602" s="488"/>
      <c r="AL602" s="488"/>
      <c r="AM602" s="488"/>
      <c r="AN602" s="488"/>
      <c r="AO602" s="488"/>
      <c r="AP602" s="488"/>
      <c r="AQ602" s="488"/>
      <c r="AR602" s="488"/>
      <c r="AS602" s="488"/>
      <c r="AT602" s="488"/>
      <c r="AU602" s="488"/>
      <c r="AV602" s="488"/>
      <c r="AW602" s="488"/>
      <c r="AX602" s="488"/>
      <c r="AY602" s="488"/>
      <c r="AZ602" s="488"/>
      <c r="BA602" s="488"/>
      <c r="BB602" s="488"/>
      <c r="BC602" s="488"/>
      <c r="BD602" s="488"/>
    </row>
    <row r="603" spans="3:56">
      <c r="C603" s="488"/>
      <c r="D603" s="488"/>
      <c r="E603" s="488"/>
      <c r="F603" s="488"/>
      <c r="G603" s="488"/>
      <c r="H603" s="488"/>
      <c r="I603" s="488"/>
      <c r="J603" s="488"/>
      <c r="K603" s="488"/>
      <c r="L603" s="488"/>
      <c r="M603" s="488"/>
      <c r="N603" s="488"/>
      <c r="O603" s="488"/>
      <c r="P603" s="488"/>
      <c r="Q603" s="488"/>
      <c r="R603" s="488"/>
      <c r="S603" s="488"/>
      <c r="T603" s="488"/>
      <c r="U603" s="488"/>
      <c r="V603" s="488"/>
      <c r="W603" s="488"/>
      <c r="X603" s="488"/>
      <c r="Y603" s="488"/>
      <c r="Z603" s="488"/>
      <c r="AA603" s="488"/>
      <c r="AB603" s="488"/>
      <c r="AC603" s="488"/>
      <c r="AD603" s="488"/>
      <c r="AE603" s="488"/>
      <c r="AF603" s="488"/>
      <c r="AG603" s="488"/>
      <c r="AH603" s="488"/>
      <c r="AI603" s="488"/>
      <c r="AJ603" s="488"/>
      <c r="AK603" s="488"/>
      <c r="AL603" s="488"/>
      <c r="AM603" s="488"/>
      <c r="AN603" s="488"/>
      <c r="AO603" s="488"/>
      <c r="AP603" s="488"/>
      <c r="AQ603" s="488"/>
      <c r="AR603" s="488"/>
      <c r="AS603" s="488"/>
      <c r="AT603" s="488"/>
      <c r="AU603" s="488"/>
      <c r="AV603" s="488"/>
      <c r="AW603" s="488"/>
      <c r="AX603" s="488"/>
      <c r="AY603" s="488"/>
      <c r="AZ603" s="488"/>
      <c r="BA603" s="488"/>
      <c r="BB603" s="488"/>
      <c r="BC603" s="488"/>
      <c r="BD603" s="488"/>
    </row>
    <row r="604" spans="3:56">
      <c r="C604" s="488"/>
      <c r="D604" s="488"/>
      <c r="E604" s="488"/>
      <c r="F604" s="488"/>
      <c r="G604" s="488"/>
      <c r="H604" s="488"/>
      <c r="I604" s="488"/>
      <c r="J604" s="488"/>
      <c r="K604" s="488"/>
      <c r="L604" s="488"/>
      <c r="M604" s="488"/>
      <c r="N604" s="488"/>
      <c r="O604" s="488"/>
      <c r="P604" s="488"/>
      <c r="Q604" s="488"/>
      <c r="R604" s="488"/>
      <c r="S604" s="488"/>
      <c r="T604" s="488"/>
      <c r="U604" s="488"/>
      <c r="V604" s="488"/>
      <c r="W604" s="488"/>
      <c r="X604" s="488"/>
      <c r="Y604" s="488"/>
      <c r="Z604" s="488"/>
      <c r="AA604" s="488"/>
      <c r="AB604" s="488"/>
      <c r="AC604" s="488"/>
      <c r="AD604" s="488"/>
      <c r="AE604" s="488"/>
      <c r="AF604" s="488"/>
      <c r="AG604" s="488"/>
      <c r="AH604" s="488"/>
      <c r="AI604" s="488"/>
      <c r="AJ604" s="488"/>
      <c r="AK604" s="488"/>
      <c r="AL604" s="488"/>
      <c r="AM604" s="488"/>
      <c r="AN604" s="488"/>
      <c r="AO604" s="488"/>
      <c r="AP604" s="488"/>
      <c r="AQ604" s="488"/>
      <c r="AR604" s="488"/>
      <c r="AS604" s="488"/>
      <c r="AT604" s="488"/>
      <c r="AU604" s="488"/>
      <c r="AV604" s="488"/>
      <c r="AW604" s="488"/>
      <c r="AX604" s="488"/>
      <c r="AY604" s="488"/>
      <c r="AZ604" s="488"/>
      <c r="BA604" s="488"/>
      <c r="BB604" s="488"/>
      <c r="BC604" s="488"/>
      <c r="BD604" s="488"/>
    </row>
    <row r="605" spans="3:56">
      <c r="C605" s="488"/>
      <c r="D605" s="488"/>
      <c r="E605" s="488"/>
      <c r="F605" s="488"/>
      <c r="G605" s="488"/>
      <c r="H605" s="488"/>
      <c r="I605" s="488"/>
      <c r="J605" s="488"/>
      <c r="K605" s="488"/>
      <c r="L605" s="488"/>
      <c r="M605" s="488"/>
      <c r="N605" s="488"/>
      <c r="O605" s="488"/>
      <c r="P605" s="488"/>
      <c r="Q605" s="488"/>
      <c r="R605" s="488"/>
      <c r="S605" s="488"/>
      <c r="T605" s="488"/>
      <c r="U605" s="488"/>
      <c r="V605" s="488"/>
      <c r="W605" s="488"/>
      <c r="X605" s="488"/>
      <c r="Y605" s="488"/>
      <c r="Z605" s="488"/>
      <c r="AA605" s="488"/>
      <c r="AB605" s="488"/>
      <c r="AC605" s="488"/>
      <c r="AD605" s="488"/>
      <c r="AE605" s="488"/>
      <c r="AF605" s="488"/>
      <c r="AG605" s="488"/>
      <c r="AH605" s="488"/>
      <c r="AI605" s="488"/>
      <c r="AJ605" s="488"/>
      <c r="AK605" s="488"/>
      <c r="AL605" s="488"/>
      <c r="AM605" s="488"/>
      <c r="AN605" s="488"/>
      <c r="AO605" s="488"/>
      <c r="AP605" s="488"/>
      <c r="AQ605" s="488"/>
      <c r="AR605" s="488"/>
      <c r="AS605" s="488"/>
      <c r="AT605" s="488"/>
      <c r="AU605" s="488"/>
      <c r="AV605" s="488"/>
      <c r="AW605" s="488"/>
      <c r="AX605" s="488"/>
      <c r="AY605" s="488"/>
      <c r="AZ605" s="488"/>
      <c r="BA605" s="488"/>
      <c r="BB605" s="488"/>
      <c r="BC605" s="488"/>
      <c r="BD605" s="488"/>
    </row>
    <row r="606" spans="3:56">
      <c r="C606" s="488"/>
      <c r="D606" s="488"/>
      <c r="E606" s="488"/>
      <c r="F606" s="488"/>
      <c r="G606" s="488"/>
      <c r="H606" s="488"/>
      <c r="I606" s="488"/>
      <c r="J606" s="488"/>
      <c r="K606" s="488"/>
      <c r="L606" s="488"/>
      <c r="M606" s="488"/>
      <c r="N606" s="488"/>
      <c r="O606" s="488"/>
      <c r="P606" s="488"/>
      <c r="Q606" s="488"/>
      <c r="R606" s="488"/>
      <c r="S606" s="488"/>
      <c r="T606" s="488"/>
      <c r="U606" s="488"/>
      <c r="V606" s="488"/>
      <c r="W606" s="488"/>
      <c r="X606" s="488"/>
      <c r="Y606" s="488"/>
      <c r="Z606" s="488"/>
      <c r="AA606" s="488"/>
      <c r="AB606" s="488"/>
      <c r="AC606" s="488"/>
      <c r="AD606" s="488"/>
      <c r="AE606" s="488"/>
      <c r="AF606" s="488"/>
      <c r="AG606" s="488"/>
      <c r="AH606" s="488"/>
      <c r="AI606" s="488"/>
      <c r="AJ606" s="488"/>
      <c r="AK606" s="488"/>
      <c r="AL606" s="488"/>
      <c r="AM606" s="488"/>
      <c r="AN606" s="488"/>
      <c r="AO606" s="488"/>
      <c r="AP606" s="488"/>
      <c r="AQ606" s="488"/>
      <c r="AR606" s="488"/>
      <c r="AS606" s="488"/>
      <c r="AT606" s="488"/>
      <c r="AU606" s="488"/>
      <c r="AV606" s="488"/>
      <c r="AW606" s="488"/>
      <c r="AX606" s="488"/>
      <c r="AY606" s="488"/>
      <c r="AZ606" s="488"/>
      <c r="BA606" s="488"/>
      <c r="BB606" s="488"/>
      <c r="BC606" s="488"/>
      <c r="BD606" s="488"/>
    </row>
    <row r="607" spans="3:56">
      <c r="C607" s="488"/>
      <c r="D607" s="488"/>
      <c r="E607" s="488"/>
      <c r="F607" s="488"/>
      <c r="G607" s="488"/>
      <c r="H607" s="488"/>
      <c r="I607" s="488"/>
      <c r="J607" s="488"/>
      <c r="K607" s="488"/>
      <c r="L607" s="488"/>
      <c r="M607" s="488"/>
      <c r="N607" s="488"/>
      <c r="O607" s="488"/>
      <c r="P607" s="488"/>
      <c r="Q607" s="488"/>
      <c r="R607" s="488"/>
      <c r="S607" s="488"/>
      <c r="T607" s="488"/>
      <c r="U607" s="488"/>
      <c r="V607" s="488"/>
      <c r="W607" s="488"/>
      <c r="X607" s="488"/>
      <c r="Y607" s="488"/>
      <c r="Z607" s="488"/>
      <c r="AA607" s="488"/>
      <c r="AB607" s="488"/>
      <c r="AC607" s="488"/>
      <c r="AD607" s="488"/>
      <c r="AE607" s="488"/>
      <c r="AF607" s="488"/>
      <c r="AG607" s="488"/>
      <c r="AH607" s="488"/>
      <c r="AI607" s="488"/>
      <c r="AJ607" s="488"/>
      <c r="AK607" s="488"/>
      <c r="AL607" s="488"/>
      <c r="AM607" s="488"/>
      <c r="AN607" s="488"/>
      <c r="AO607" s="488"/>
      <c r="AP607" s="488"/>
      <c r="AQ607" s="488"/>
      <c r="AR607" s="488"/>
      <c r="AS607" s="488"/>
      <c r="AT607" s="488"/>
      <c r="AU607" s="488"/>
      <c r="AV607" s="488"/>
      <c r="AW607" s="488"/>
      <c r="AX607" s="488"/>
      <c r="AY607" s="488"/>
      <c r="AZ607" s="488"/>
      <c r="BA607" s="488"/>
      <c r="BB607" s="488"/>
      <c r="BC607" s="488"/>
      <c r="BD607" s="488"/>
    </row>
    <row r="608" spans="3:56">
      <c r="C608" s="488"/>
      <c r="D608" s="488"/>
      <c r="E608" s="488"/>
      <c r="F608" s="488"/>
      <c r="G608" s="488"/>
      <c r="H608" s="488"/>
      <c r="I608" s="488"/>
      <c r="J608" s="488"/>
      <c r="K608" s="488"/>
      <c r="L608" s="488"/>
      <c r="M608" s="488"/>
      <c r="N608" s="488"/>
      <c r="O608" s="488"/>
      <c r="P608" s="488"/>
      <c r="Q608" s="488"/>
      <c r="R608" s="488"/>
      <c r="S608" s="488"/>
      <c r="T608" s="488"/>
      <c r="U608" s="488"/>
      <c r="V608" s="488"/>
      <c r="W608" s="488"/>
      <c r="X608" s="488"/>
      <c r="Y608" s="488"/>
      <c r="Z608" s="488"/>
      <c r="AA608" s="488"/>
      <c r="AB608" s="488"/>
      <c r="AC608" s="488"/>
      <c r="AD608" s="488"/>
      <c r="AE608" s="488"/>
      <c r="AF608" s="488"/>
      <c r="AG608" s="488"/>
      <c r="AH608" s="488"/>
      <c r="AI608" s="488"/>
      <c r="AJ608" s="488"/>
      <c r="AK608" s="488"/>
      <c r="AL608" s="488"/>
      <c r="AM608" s="488"/>
      <c r="AN608" s="488"/>
      <c r="AO608" s="488"/>
      <c r="AP608" s="488"/>
      <c r="AQ608" s="488"/>
      <c r="AR608" s="488"/>
      <c r="AS608" s="488"/>
      <c r="AT608" s="488"/>
      <c r="AU608" s="488"/>
      <c r="AV608" s="488"/>
      <c r="AW608" s="488"/>
      <c r="AX608" s="488"/>
      <c r="AY608" s="488"/>
      <c r="AZ608" s="488"/>
      <c r="BA608" s="488"/>
      <c r="BB608" s="488"/>
      <c r="BC608" s="488"/>
      <c r="BD608" s="488"/>
    </row>
    <row r="609" spans="3:56">
      <c r="C609" s="488"/>
      <c r="D609" s="488"/>
      <c r="E609" s="488"/>
      <c r="F609" s="488"/>
      <c r="G609" s="488"/>
      <c r="H609" s="488"/>
      <c r="I609" s="488"/>
      <c r="J609" s="488"/>
      <c r="K609" s="488"/>
      <c r="L609" s="488"/>
      <c r="M609" s="488"/>
      <c r="N609" s="488"/>
      <c r="O609" s="488"/>
      <c r="P609" s="488"/>
      <c r="Q609" s="488"/>
      <c r="R609" s="488"/>
      <c r="S609" s="488"/>
      <c r="T609" s="488"/>
      <c r="U609" s="488"/>
      <c r="V609" s="488"/>
      <c r="W609" s="488"/>
      <c r="X609" s="488"/>
      <c r="Y609" s="488"/>
      <c r="Z609" s="488"/>
      <c r="AA609" s="488"/>
      <c r="AB609" s="488"/>
      <c r="AC609" s="488"/>
      <c r="AD609" s="488"/>
      <c r="AE609" s="488"/>
      <c r="AF609" s="488"/>
      <c r="AG609" s="488"/>
      <c r="AH609" s="488"/>
      <c r="AI609" s="488"/>
      <c r="AJ609" s="488"/>
      <c r="AK609" s="488"/>
      <c r="AL609" s="488"/>
      <c r="AM609" s="488"/>
      <c r="AN609" s="488"/>
      <c r="AO609" s="488"/>
      <c r="AP609" s="488"/>
      <c r="AQ609" s="488"/>
      <c r="AR609" s="488"/>
      <c r="AS609" s="488"/>
      <c r="AT609" s="488"/>
      <c r="AU609" s="488"/>
      <c r="AV609" s="488"/>
      <c r="AW609" s="488"/>
      <c r="AX609" s="488"/>
      <c r="AY609" s="488"/>
      <c r="AZ609" s="488"/>
      <c r="BA609" s="488"/>
      <c r="BB609" s="488"/>
      <c r="BC609" s="488"/>
      <c r="BD609" s="488"/>
    </row>
    <row r="610" spans="3:56">
      <c r="C610" s="488"/>
      <c r="D610" s="488"/>
      <c r="E610" s="488"/>
      <c r="F610" s="488"/>
      <c r="G610" s="488"/>
      <c r="H610" s="488"/>
      <c r="I610" s="488"/>
      <c r="J610" s="488"/>
      <c r="K610" s="488"/>
      <c r="L610" s="488"/>
      <c r="M610" s="488"/>
      <c r="N610" s="488"/>
      <c r="O610" s="488"/>
      <c r="P610" s="488"/>
      <c r="Q610" s="488"/>
      <c r="R610" s="488"/>
      <c r="S610" s="488"/>
      <c r="T610" s="488"/>
      <c r="U610" s="488"/>
      <c r="V610" s="488"/>
      <c r="W610" s="488"/>
      <c r="X610" s="488"/>
      <c r="Y610" s="488"/>
      <c r="Z610" s="488"/>
      <c r="AA610" s="488"/>
      <c r="AB610" s="488"/>
      <c r="AC610" s="488"/>
      <c r="AD610" s="488"/>
      <c r="AE610" s="488"/>
      <c r="AF610" s="488"/>
      <c r="AG610" s="488"/>
      <c r="AH610" s="488"/>
      <c r="AI610" s="488"/>
      <c r="AJ610" s="488"/>
      <c r="AK610" s="488"/>
      <c r="AL610" s="488"/>
      <c r="AM610" s="488"/>
      <c r="AN610" s="488"/>
      <c r="AO610" s="488"/>
      <c r="AP610" s="488"/>
      <c r="AQ610" s="488"/>
      <c r="AR610" s="488"/>
      <c r="AS610" s="488"/>
      <c r="AT610" s="488"/>
      <c r="AU610" s="488"/>
      <c r="AV610" s="488"/>
      <c r="AW610" s="488"/>
      <c r="AX610" s="488"/>
      <c r="AY610" s="488"/>
      <c r="AZ610" s="488"/>
      <c r="BA610" s="488"/>
      <c r="BB610" s="488"/>
      <c r="BC610" s="488"/>
      <c r="BD610" s="488"/>
    </row>
    <row r="611" spans="3:56">
      <c r="C611" s="488"/>
      <c r="D611" s="488"/>
      <c r="E611" s="488"/>
      <c r="F611" s="488"/>
      <c r="G611" s="488"/>
      <c r="H611" s="488"/>
      <c r="I611" s="488"/>
      <c r="J611" s="488"/>
      <c r="K611" s="488"/>
      <c r="L611" s="488"/>
      <c r="M611" s="488"/>
      <c r="N611" s="488"/>
      <c r="O611" s="488"/>
      <c r="P611" s="488"/>
      <c r="Q611" s="488"/>
      <c r="R611" s="488"/>
      <c r="S611" s="488"/>
      <c r="T611" s="488"/>
      <c r="U611" s="488"/>
      <c r="V611" s="488"/>
      <c r="W611" s="488"/>
      <c r="X611" s="488"/>
      <c r="Y611" s="488"/>
      <c r="Z611" s="488"/>
      <c r="AA611" s="488"/>
      <c r="AB611" s="488"/>
      <c r="AC611" s="488"/>
      <c r="AD611" s="488"/>
      <c r="AE611" s="488"/>
      <c r="AF611" s="488"/>
      <c r="AG611" s="488"/>
      <c r="AH611" s="488"/>
      <c r="AI611" s="488"/>
      <c r="AJ611" s="488"/>
      <c r="AK611" s="488"/>
      <c r="AL611" s="488"/>
      <c r="AM611" s="488"/>
      <c r="AN611" s="488"/>
      <c r="AO611" s="488"/>
      <c r="AP611" s="488"/>
      <c r="AQ611" s="488"/>
      <c r="AR611" s="488"/>
      <c r="AS611" s="488"/>
      <c r="AT611" s="488"/>
      <c r="AU611" s="488"/>
      <c r="AV611" s="488"/>
      <c r="AW611" s="488"/>
      <c r="AX611" s="488"/>
      <c r="AY611" s="488"/>
      <c r="AZ611" s="488"/>
      <c r="BA611" s="488"/>
      <c r="BB611" s="488"/>
      <c r="BC611" s="488"/>
      <c r="BD611" s="488"/>
    </row>
    <row r="612" spans="3:56">
      <c r="C612" s="488"/>
      <c r="D612" s="488"/>
      <c r="E612" s="488"/>
      <c r="F612" s="488"/>
      <c r="G612" s="488"/>
      <c r="H612" s="488"/>
      <c r="I612" s="488"/>
      <c r="J612" s="488"/>
      <c r="K612" s="488"/>
      <c r="L612" s="488"/>
      <c r="M612" s="488"/>
      <c r="N612" s="488"/>
      <c r="O612" s="488"/>
      <c r="P612" s="488"/>
      <c r="Q612" s="488"/>
      <c r="R612" s="488"/>
      <c r="S612" s="488"/>
      <c r="T612" s="488"/>
      <c r="U612" s="488"/>
      <c r="V612" s="488"/>
      <c r="W612" s="488"/>
      <c r="X612" s="488"/>
      <c r="Y612" s="488"/>
      <c r="Z612" s="488"/>
      <c r="AA612" s="488"/>
      <c r="AB612" s="488"/>
      <c r="AC612" s="488"/>
      <c r="AD612" s="488"/>
      <c r="AE612" s="488"/>
      <c r="AF612" s="488"/>
      <c r="AG612" s="488"/>
      <c r="AH612" s="488"/>
      <c r="AI612" s="488"/>
      <c r="AJ612" s="488"/>
      <c r="AK612" s="488"/>
      <c r="AL612" s="488"/>
      <c r="AM612" s="488"/>
      <c r="AN612" s="488"/>
      <c r="AO612" s="488"/>
      <c r="AP612" s="488"/>
      <c r="AQ612" s="488"/>
      <c r="AR612" s="488"/>
      <c r="AS612" s="488"/>
      <c r="AT612" s="488"/>
      <c r="AU612" s="488"/>
      <c r="AV612" s="488"/>
      <c r="AW612" s="488"/>
      <c r="AX612" s="488"/>
      <c r="AY612" s="488"/>
      <c r="AZ612" s="488"/>
      <c r="BA612" s="488"/>
      <c r="BB612" s="488"/>
      <c r="BC612" s="488"/>
      <c r="BD612" s="488"/>
    </row>
    <row r="613" spans="3:56">
      <c r="C613" s="488"/>
      <c r="D613" s="488"/>
      <c r="E613" s="488"/>
      <c r="F613" s="488"/>
      <c r="G613" s="488"/>
      <c r="H613" s="488"/>
      <c r="I613" s="488"/>
      <c r="J613" s="488"/>
      <c r="K613" s="488"/>
      <c r="L613" s="488"/>
      <c r="M613" s="488"/>
      <c r="N613" s="488"/>
      <c r="O613" s="488"/>
      <c r="P613" s="488"/>
      <c r="Q613" s="488"/>
      <c r="R613" s="488"/>
      <c r="S613" s="488"/>
      <c r="T613" s="488"/>
      <c r="U613" s="488"/>
      <c r="V613" s="488"/>
      <c r="W613" s="488"/>
      <c r="X613" s="488"/>
      <c r="Y613" s="488"/>
      <c r="Z613" s="488"/>
      <c r="AA613" s="488"/>
      <c r="AB613" s="488"/>
      <c r="AC613" s="488"/>
      <c r="AD613" s="488"/>
      <c r="AE613" s="488"/>
      <c r="AF613" s="488"/>
      <c r="AG613" s="488"/>
      <c r="AH613" s="488"/>
      <c r="AI613" s="488"/>
      <c r="AJ613" s="488"/>
      <c r="AK613" s="488"/>
      <c r="AL613" s="488"/>
      <c r="AM613" s="488"/>
      <c r="AN613" s="488"/>
      <c r="AO613" s="488"/>
      <c r="AP613" s="488"/>
      <c r="AQ613" s="488"/>
      <c r="AR613" s="488"/>
      <c r="AS613" s="488"/>
      <c r="AT613" s="488"/>
      <c r="AU613" s="488"/>
      <c r="AV613" s="488"/>
      <c r="AW613" s="488"/>
      <c r="AX613" s="488"/>
      <c r="AY613" s="488"/>
      <c r="AZ613" s="488"/>
      <c r="BA613" s="488"/>
      <c r="BB613" s="488"/>
      <c r="BC613" s="488"/>
      <c r="BD613" s="488"/>
    </row>
    <row r="614" spans="3:56">
      <c r="C614" s="488"/>
      <c r="D614" s="488"/>
      <c r="E614" s="488"/>
      <c r="F614" s="488"/>
      <c r="G614" s="488"/>
      <c r="H614" s="488"/>
      <c r="I614" s="488"/>
      <c r="J614" s="488"/>
      <c r="K614" s="488"/>
      <c r="L614" s="488"/>
      <c r="M614" s="488"/>
      <c r="N614" s="488"/>
      <c r="O614" s="488"/>
      <c r="P614" s="488"/>
      <c r="Q614" s="488"/>
      <c r="R614" s="488"/>
      <c r="S614" s="488"/>
      <c r="T614" s="488"/>
      <c r="U614" s="488"/>
      <c r="V614" s="488"/>
      <c r="W614" s="488"/>
      <c r="X614" s="488"/>
      <c r="Y614" s="488"/>
      <c r="Z614" s="488"/>
      <c r="AA614" s="488"/>
      <c r="AB614" s="488"/>
      <c r="AC614" s="488"/>
      <c r="AD614" s="488"/>
      <c r="AE614" s="488"/>
      <c r="AF614" s="488"/>
      <c r="AG614" s="488"/>
      <c r="AH614" s="488"/>
      <c r="AI614" s="488"/>
      <c r="AJ614" s="488"/>
      <c r="AK614" s="488"/>
      <c r="AL614" s="488"/>
      <c r="AM614" s="488"/>
      <c r="AN614" s="488"/>
      <c r="AO614" s="488"/>
      <c r="AP614" s="488"/>
      <c r="AQ614" s="488"/>
      <c r="AR614" s="488"/>
      <c r="AS614" s="488"/>
      <c r="AT614" s="488"/>
      <c r="AU614" s="488"/>
      <c r="AV614" s="488"/>
      <c r="AW614" s="488"/>
      <c r="AX614" s="488"/>
      <c r="AY614" s="488"/>
      <c r="AZ614" s="488"/>
      <c r="BA614" s="488"/>
      <c r="BB614" s="488"/>
      <c r="BC614" s="488"/>
      <c r="BD614" s="488"/>
    </row>
    <row r="615" spans="3:56">
      <c r="C615" s="488"/>
      <c r="D615" s="488"/>
      <c r="E615" s="488"/>
      <c r="F615" s="488"/>
      <c r="G615" s="488"/>
      <c r="H615" s="488"/>
      <c r="I615" s="488"/>
      <c r="J615" s="488"/>
      <c r="K615" s="488"/>
      <c r="L615" s="488"/>
      <c r="M615" s="488"/>
      <c r="N615" s="488"/>
      <c r="O615" s="488"/>
      <c r="P615" s="488"/>
      <c r="Q615" s="488"/>
      <c r="R615" s="488"/>
      <c r="S615" s="488"/>
      <c r="T615" s="488"/>
      <c r="U615" s="488"/>
      <c r="V615" s="488"/>
      <c r="W615" s="488"/>
      <c r="X615" s="488"/>
      <c r="Y615" s="488"/>
      <c r="Z615" s="488"/>
      <c r="AA615" s="488"/>
      <c r="AB615" s="488"/>
      <c r="AC615" s="488"/>
      <c r="AD615" s="488"/>
      <c r="AE615" s="488"/>
      <c r="AF615" s="488"/>
      <c r="AG615" s="488"/>
      <c r="AH615" s="488"/>
      <c r="AI615" s="488"/>
      <c r="AJ615" s="488"/>
      <c r="AK615" s="488"/>
      <c r="AL615" s="488"/>
      <c r="AM615" s="488"/>
      <c r="AN615" s="488"/>
      <c r="AO615" s="488"/>
      <c r="AP615" s="488"/>
      <c r="AQ615" s="488"/>
      <c r="AR615" s="488"/>
      <c r="AS615" s="488"/>
      <c r="AT615" s="488"/>
      <c r="AU615" s="488"/>
      <c r="AV615" s="488"/>
      <c r="AW615" s="488"/>
      <c r="AX615" s="488"/>
      <c r="AY615" s="488"/>
      <c r="AZ615" s="488"/>
      <c r="BA615" s="488"/>
      <c r="BB615" s="488"/>
      <c r="BC615" s="488"/>
      <c r="BD615" s="488"/>
    </row>
    <row r="616" spans="3:56">
      <c r="C616" s="488"/>
      <c r="D616" s="488"/>
      <c r="E616" s="488"/>
      <c r="F616" s="488"/>
      <c r="G616" s="488"/>
      <c r="H616" s="488"/>
      <c r="I616" s="488"/>
      <c r="J616" s="488"/>
      <c r="K616" s="488"/>
      <c r="L616" s="488"/>
      <c r="M616" s="488"/>
      <c r="N616" s="488"/>
      <c r="O616" s="488"/>
      <c r="P616" s="488"/>
      <c r="Q616" s="488"/>
      <c r="R616" s="488"/>
      <c r="S616" s="488"/>
      <c r="T616" s="488"/>
      <c r="U616" s="488"/>
      <c r="V616" s="488"/>
      <c r="W616" s="488"/>
      <c r="X616" s="488"/>
      <c r="Y616" s="488"/>
      <c r="Z616" s="488"/>
      <c r="AA616" s="488"/>
      <c r="AB616" s="488"/>
      <c r="AC616" s="488"/>
      <c r="AD616" s="488"/>
      <c r="AE616" s="488"/>
      <c r="AF616" s="488"/>
      <c r="AG616" s="488"/>
      <c r="AH616" s="488"/>
      <c r="AI616" s="488"/>
      <c r="AJ616" s="488"/>
      <c r="AK616" s="488"/>
      <c r="AL616" s="488"/>
      <c r="AM616" s="488"/>
      <c r="AN616" s="488"/>
      <c r="AO616" s="488"/>
      <c r="AP616" s="488"/>
      <c r="AQ616" s="488"/>
      <c r="AR616" s="488"/>
      <c r="AS616" s="488"/>
      <c r="AT616" s="488"/>
      <c r="AU616" s="488"/>
      <c r="AV616" s="488"/>
      <c r="AW616" s="488"/>
      <c r="AX616" s="488"/>
      <c r="AY616" s="488"/>
      <c r="AZ616" s="488"/>
      <c r="BA616" s="488"/>
      <c r="BB616" s="488"/>
      <c r="BC616" s="488"/>
      <c r="BD616" s="488"/>
    </row>
    <row r="617" spans="3:56">
      <c r="C617" s="488"/>
      <c r="D617" s="488"/>
      <c r="E617" s="488"/>
      <c r="F617" s="488"/>
      <c r="G617" s="488"/>
      <c r="H617" s="488"/>
      <c r="I617" s="488"/>
      <c r="J617" s="488"/>
      <c r="K617" s="488"/>
      <c r="L617" s="488"/>
      <c r="M617" s="488"/>
      <c r="N617" s="488"/>
      <c r="O617" s="488"/>
      <c r="P617" s="488"/>
      <c r="Q617" s="488"/>
      <c r="R617" s="488"/>
      <c r="S617" s="488"/>
      <c r="T617" s="488"/>
      <c r="U617" s="488"/>
      <c r="V617" s="488"/>
      <c r="W617" s="488"/>
      <c r="X617" s="488"/>
      <c r="Y617" s="488"/>
      <c r="Z617" s="488"/>
      <c r="AA617" s="488"/>
      <c r="AB617" s="488"/>
      <c r="AC617" s="488"/>
      <c r="AD617" s="488"/>
      <c r="AE617" s="488"/>
      <c r="AF617" s="488"/>
      <c r="AG617" s="488"/>
      <c r="AH617" s="488"/>
      <c r="AI617" s="488"/>
      <c r="AJ617" s="488"/>
      <c r="AK617" s="488"/>
      <c r="AL617" s="488"/>
      <c r="AM617" s="488"/>
      <c r="AN617" s="488"/>
      <c r="AO617" s="488"/>
      <c r="AP617" s="488"/>
      <c r="AQ617" s="488"/>
      <c r="AR617" s="488"/>
      <c r="AS617" s="488"/>
      <c r="AT617" s="488"/>
      <c r="AU617" s="488"/>
      <c r="AV617" s="488"/>
      <c r="AW617" s="488"/>
      <c r="AX617" s="488"/>
      <c r="AY617" s="488"/>
      <c r="AZ617" s="488"/>
      <c r="BA617" s="488"/>
      <c r="BB617" s="488"/>
      <c r="BC617" s="488"/>
      <c r="BD617" s="488"/>
    </row>
    <row r="618" spans="3:56">
      <c r="C618" s="488"/>
      <c r="D618" s="488"/>
      <c r="E618" s="488"/>
      <c r="F618" s="488"/>
      <c r="G618" s="488"/>
      <c r="H618" s="488"/>
      <c r="I618" s="488"/>
      <c r="J618" s="488"/>
      <c r="K618" s="488"/>
      <c r="L618" s="488"/>
      <c r="M618" s="488"/>
      <c r="N618" s="488"/>
      <c r="O618" s="488"/>
      <c r="P618" s="488"/>
      <c r="Q618" s="488"/>
      <c r="R618" s="488"/>
      <c r="S618" s="488"/>
      <c r="T618" s="488"/>
      <c r="U618" s="488"/>
      <c r="V618" s="488"/>
      <c r="W618" s="488"/>
      <c r="X618" s="488"/>
      <c r="Y618" s="488"/>
      <c r="Z618" s="488"/>
      <c r="AA618" s="488"/>
      <c r="AB618" s="488"/>
      <c r="AC618" s="488"/>
      <c r="AD618" s="488"/>
      <c r="AE618" s="488"/>
      <c r="AF618" s="488"/>
      <c r="AG618" s="488"/>
      <c r="AH618" s="488"/>
      <c r="AI618" s="488"/>
      <c r="AJ618" s="488"/>
      <c r="AK618" s="488"/>
      <c r="AL618" s="488"/>
      <c r="AM618" s="488"/>
      <c r="AN618" s="488"/>
      <c r="AO618" s="488"/>
      <c r="AP618" s="488"/>
      <c r="AQ618" s="488"/>
      <c r="AR618" s="488"/>
      <c r="AS618" s="488"/>
      <c r="AT618" s="488"/>
      <c r="AU618" s="488"/>
      <c r="AV618" s="488"/>
      <c r="AW618" s="488"/>
      <c r="AX618" s="488"/>
      <c r="AY618" s="488"/>
      <c r="AZ618" s="488"/>
      <c r="BA618" s="488"/>
      <c r="BB618" s="488"/>
      <c r="BC618" s="488"/>
      <c r="BD618" s="488"/>
    </row>
    <row r="619" spans="3:56">
      <c r="C619" s="488"/>
      <c r="D619" s="488"/>
      <c r="E619" s="488"/>
      <c r="F619" s="488"/>
      <c r="G619" s="488"/>
      <c r="H619" s="488"/>
      <c r="I619" s="488"/>
      <c r="J619" s="488"/>
      <c r="K619" s="488"/>
      <c r="L619" s="488"/>
      <c r="M619" s="488"/>
      <c r="N619" s="488"/>
      <c r="O619" s="488"/>
      <c r="P619" s="488"/>
      <c r="Q619" s="488"/>
      <c r="R619" s="488"/>
      <c r="S619" s="488"/>
      <c r="T619" s="488"/>
      <c r="U619" s="488"/>
      <c r="V619" s="488"/>
      <c r="W619" s="488"/>
      <c r="X619" s="488"/>
      <c r="Y619" s="488"/>
      <c r="Z619" s="488"/>
      <c r="AA619" s="488"/>
      <c r="AB619" s="488"/>
      <c r="AC619" s="488"/>
      <c r="AD619" s="488"/>
      <c r="AE619" s="488"/>
      <c r="AF619" s="488"/>
      <c r="AG619" s="488"/>
      <c r="AH619" s="488"/>
      <c r="AI619" s="488"/>
      <c r="AJ619" s="488"/>
      <c r="AK619" s="488"/>
      <c r="AL619" s="488"/>
      <c r="AM619" s="488"/>
      <c r="AN619" s="488"/>
      <c r="AO619" s="488"/>
      <c r="AP619" s="488"/>
      <c r="AQ619" s="488"/>
      <c r="AR619" s="488"/>
      <c r="AS619" s="488"/>
      <c r="AT619" s="488"/>
      <c r="AU619" s="488"/>
      <c r="AV619" s="488"/>
      <c r="AW619" s="488"/>
      <c r="AX619" s="488"/>
      <c r="AY619" s="488"/>
      <c r="AZ619" s="488"/>
      <c r="BA619" s="488"/>
      <c r="BB619" s="488"/>
      <c r="BC619" s="488"/>
      <c r="BD619" s="488"/>
    </row>
    <row r="620" spans="3:56">
      <c r="C620" s="488"/>
      <c r="D620" s="488"/>
      <c r="E620" s="488"/>
      <c r="F620" s="488"/>
      <c r="G620" s="488"/>
      <c r="H620" s="488"/>
      <c r="I620" s="488"/>
      <c r="J620" s="488"/>
      <c r="K620" s="488"/>
      <c r="L620" s="488"/>
      <c r="M620" s="488"/>
      <c r="N620" s="488"/>
      <c r="O620" s="488"/>
      <c r="P620" s="488"/>
      <c r="Q620" s="488"/>
      <c r="R620" s="488"/>
      <c r="S620" s="488"/>
      <c r="T620" s="488"/>
      <c r="U620" s="488"/>
      <c r="V620" s="488"/>
      <c r="W620" s="488"/>
      <c r="X620" s="488"/>
      <c r="Y620" s="488"/>
      <c r="Z620" s="488"/>
      <c r="AA620" s="488"/>
      <c r="AB620" s="488"/>
      <c r="AC620" s="488"/>
      <c r="AD620" s="488"/>
      <c r="AE620" s="488"/>
      <c r="AF620" s="488"/>
      <c r="AG620" s="488"/>
      <c r="AH620" s="488"/>
      <c r="AI620" s="488"/>
      <c r="AJ620" s="488"/>
      <c r="AK620" s="488"/>
      <c r="AL620" s="488"/>
      <c r="AM620" s="488"/>
      <c r="AN620" s="488"/>
      <c r="AO620" s="488"/>
      <c r="AP620" s="488"/>
      <c r="AQ620" s="488"/>
      <c r="AR620" s="488"/>
      <c r="AS620" s="488"/>
      <c r="AT620" s="488"/>
      <c r="AU620" s="488"/>
      <c r="AV620" s="488"/>
      <c r="AW620" s="488"/>
      <c r="AX620" s="488"/>
      <c r="AY620" s="488"/>
      <c r="AZ620" s="488"/>
      <c r="BA620" s="488"/>
      <c r="BB620" s="488"/>
      <c r="BC620" s="488"/>
      <c r="BD620" s="488"/>
    </row>
    <row r="621" spans="3:56">
      <c r="C621" s="488"/>
      <c r="D621" s="488"/>
      <c r="E621" s="488"/>
      <c r="F621" s="488"/>
      <c r="G621" s="488"/>
      <c r="H621" s="488"/>
      <c r="I621" s="488"/>
      <c r="J621" s="488"/>
      <c r="K621" s="488"/>
      <c r="L621" s="488"/>
      <c r="M621" s="488"/>
      <c r="N621" s="488"/>
      <c r="O621" s="488"/>
      <c r="P621" s="488"/>
      <c r="Q621" s="488"/>
      <c r="R621" s="488"/>
      <c r="S621" s="488"/>
      <c r="T621" s="488"/>
      <c r="U621" s="488"/>
      <c r="V621" s="488"/>
      <c r="W621" s="488"/>
      <c r="X621" s="488"/>
      <c r="Y621" s="488"/>
      <c r="Z621" s="488"/>
      <c r="AA621" s="488"/>
      <c r="AB621" s="488"/>
      <c r="AC621" s="488"/>
      <c r="AD621" s="488"/>
      <c r="AE621" s="488"/>
      <c r="AF621" s="488"/>
      <c r="AG621" s="488"/>
      <c r="AH621" s="488"/>
      <c r="AI621" s="488"/>
      <c r="AJ621" s="488"/>
      <c r="AK621" s="488"/>
      <c r="AL621" s="488"/>
      <c r="AM621" s="488"/>
      <c r="AN621" s="488"/>
      <c r="AO621" s="488"/>
      <c r="AP621" s="488"/>
      <c r="AQ621" s="488"/>
      <c r="AR621" s="488"/>
      <c r="AS621" s="488"/>
      <c r="AT621" s="488"/>
      <c r="AU621" s="488"/>
      <c r="AV621" s="488"/>
      <c r="AW621" s="488"/>
      <c r="AX621" s="488"/>
      <c r="AY621" s="488"/>
      <c r="AZ621" s="488"/>
      <c r="BA621" s="488"/>
      <c r="BB621" s="488"/>
      <c r="BC621" s="488"/>
      <c r="BD621" s="488"/>
    </row>
    <row r="622" spans="3:56">
      <c r="C622" s="488"/>
      <c r="D622" s="488"/>
      <c r="E622" s="488"/>
      <c r="F622" s="488"/>
      <c r="G622" s="488"/>
      <c r="H622" s="488"/>
      <c r="I622" s="488"/>
      <c r="J622" s="488"/>
      <c r="K622" s="488"/>
      <c r="L622" s="488"/>
      <c r="M622" s="488"/>
      <c r="N622" s="488"/>
      <c r="O622" s="488"/>
      <c r="P622" s="488"/>
      <c r="Q622" s="488"/>
      <c r="R622" s="488"/>
      <c r="S622" s="488"/>
      <c r="T622" s="488"/>
      <c r="U622" s="488"/>
      <c r="V622" s="488"/>
      <c r="W622" s="488"/>
      <c r="X622" s="488"/>
      <c r="Y622" s="488"/>
      <c r="Z622" s="488"/>
      <c r="AA622" s="488"/>
      <c r="AB622" s="488"/>
      <c r="AC622" s="488"/>
      <c r="AD622" s="488"/>
      <c r="AE622" s="488"/>
      <c r="AF622" s="488"/>
      <c r="AG622" s="488"/>
      <c r="AH622" s="488"/>
      <c r="AI622" s="488"/>
      <c r="AJ622" s="488"/>
      <c r="AK622" s="488"/>
      <c r="AL622" s="488"/>
      <c r="AM622" s="488"/>
      <c r="AN622" s="488"/>
      <c r="AO622" s="488"/>
      <c r="AP622" s="488"/>
      <c r="AQ622" s="488"/>
      <c r="AR622" s="488"/>
      <c r="AS622" s="488"/>
      <c r="AT622" s="488"/>
      <c r="AU622" s="488"/>
      <c r="AV622" s="488"/>
      <c r="AW622" s="488"/>
      <c r="AX622" s="488"/>
      <c r="AY622" s="488"/>
      <c r="AZ622" s="488"/>
      <c r="BA622" s="488"/>
      <c r="BB622" s="488"/>
      <c r="BC622" s="488"/>
      <c r="BD622" s="488"/>
    </row>
    <row r="623" spans="3:56">
      <c r="C623" s="488"/>
      <c r="D623" s="488"/>
      <c r="E623" s="488"/>
      <c r="F623" s="488"/>
      <c r="G623" s="488"/>
      <c r="H623" s="488"/>
      <c r="I623" s="488"/>
      <c r="J623" s="488"/>
      <c r="K623" s="488"/>
      <c r="L623" s="488"/>
      <c r="M623" s="488"/>
      <c r="N623" s="488"/>
      <c r="O623" s="488"/>
      <c r="P623" s="488"/>
      <c r="Q623" s="488"/>
      <c r="R623" s="488"/>
      <c r="S623" s="488"/>
      <c r="T623" s="488"/>
      <c r="U623" s="488"/>
      <c r="V623" s="488"/>
      <c r="W623" s="488"/>
      <c r="X623" s="488"/>
      <c r="Y623" s="488"/>
      <c r="Z623" s="488"/>
      <c r="AA623" s="488"/>
      <c r="AB623" s="488"/>
      <c r="AC623" s="488"/>
      <c r="AD623" s="488"/>
      <c r="AE623" s="488"/>
      <c r="AF623" s="488"/>
      <c r="AG623" s="488"/>
      <c r="AH623" s="488"/>
      <c r="AI623" s="488"/>
      <c r="AJ623" s="488"/>
      <c r="AK623" s="488"/>
      <c r="AL623" s="488"/>
      <c r="AM623" s="488"/>
      <c r="AN623" s="488"/>
      <c r="AO623" s="488"/>
      <c r="AP623" s="488"/>
      <c r="AQ623" s="488"/>
      <c r="AR623" s="488"/>
      <c r="AS623" s="488"/>
      <c r="AT623" s="488"/>
      <c r="AU623" s="488"/>
      <c r="AV623" s="488"/>
      <c r="AW623" s="488"/>
      <c r="AX623" s="488"/>
      <c r="AY623" s="488"/>
      <c r="AZ623" s="488"/>
      <c r="BA623" s="488"/>
      <c r="BB623" s="488"/>
      <c r="BC623" s="488"/>
      <c r="BD623" s="488"/>
    </row>
    <row r="624" spans="3:56">
      <c r="C624" s="488"/>
      <c r="D624" s="488"/>
      <c r="E624" s="488"/>
      <c r="F624" s="488"/>
      <c r="G624" s="488"/>
      <c r="H624" s="488"/>
      <c r="I624" s="488"/>
      <c r="J624" s="488"/>
      <c r="K624" s="488"/>
      <c r="L624" s="488"/>
      <c r="M624" s="488"/>
      <c r="N624" s="488"/>
      <c r="O624" s="488"/>
      <c r="P624" s="488"/>
      <c r="Q624" s="488"/>
      <c r="R624" s="488"/>
      <c r="S624" s="488"/>
      <c r="T624" s="488"/>
      <c r="U624" s="488"/>
      <c r="V624" s="488"/>
      <c r="W624" s="488"/>
      <c r="X624" s="488"/>
      <c r="Y624" s="488"/>
      <c r="Z624" s="488"/>
      <c r="AA624" s="488"/>
      <c r="AB624" s="488"/>
      <c r="AC624" s="488"/>
      <c r="AD624" s="488"/>
      <c r="AE624" s="488"/>
      <c r="AF624" s="488"/>
      <c r="AG624" s="488"/>
      <c r="AH624" s="488"/>
      <c r="AI624" s="488"/>
      <c r="AJ624" s="488"/>
      <c r="AK624" s="488"/>
      <c r="AL624" s="488"/>
      <c r="AM624" s="488"/>
      <c r="AN624" s="488"/>
      <c r="AO624" s="488"/>
      <c r="AP624" s="488"/>
      <c r="AQ624" s="488"/>
      <c r="AR624" s="488"/>
      <c r="AS624" s="488"/>
      <c r="AT624" s="488"/>
      <c r="AU624" s="488"/>
      <c r="AV624" s="488"/>
      <c r="AW624" s="488"/>
      <c r="AX624" s="488"/>
      <c r="AY624" s="488"/>
      <c r="AZ624" s="488"/>
      <c r="BA624" s="488"/>
      <c r="BB624" s="488"/>
      <c r="BC624" s="488"/>
      <c r="BD624" s="488"/>
    </row>
    <row r="625" spans="3:56">
      <c r="C625" s="488"/>
      <c r="D625" s="488"/>
      <c r="E625" s="488"/>
      <c r="F625" s="488"/>
      <c r="G625" s="488"/>
      <c r="H625" s="488"/>
      <c r="I625" s="488"/>
      <c r="J625" s="488"/>
      <c r="K625" s="488"/>
      <c r="L625" s="488"/>
      <c r="M625" s="488"/>
      <c r="N625" s="488"/>
      <c r="O625" s="488"/>
      <c r="P625" s="488"/>
      <c r="Q625" s="488"/>
      <c r="R625" s="488"/>
      <c r="S625" s="488"/>
      <c r="T625" s="488"/>
      <c r="U625" s="488"/>
      <c r="V625" s="488"/>
      <c r="W625" s="488"/>
      <c r="X625" s="488"/>
      <c r="Y625" s="488"/>
      <c r="Z625" s="488"/>
      <c r="AA625" s="488"/>
      <c r="AB625" s="488"/>
      <c r="AC625" s="488"/>
      <c r="AD625" s="488"/>
      <c r="AE625" s="488"/>
      <c r="AF625" s="488"/>
      <c r="AG625" s="488"/>
      <c r="AH625" s="488"/>
      <c r="AI625" s="488"/>
      <c r="AJ625" s="488"/>
      <c r="AK625" s="488"/>
      <c r="AL625" s="488"/>
      <c r="AM625" s="488"/>
      <c r="AN625" s="488"/>
      <c r="AO625" s="488"/>
      <c r="AP625" s="488"/>
      <c r="AQ625" s="488"/>
      <c r="AR625" s="488"/>
      <c r="AS625" s="488"/>
      <c r="AT625" s="488"/>
      <c r="AU625" s="488"/>
      <c r="AV625" s="488"/>
      <c r="AW625" s="488"/>
      <c r="AX625" s="488"/>
      <c r="AY625" s="488"/>
      <c r="AZ625" s="488"/>
      <c r="BA625" s="488"/>
      <c r="BB625" s="488"/>
      <c r="BC625" s="488"/>
      <c r="BD625" s="488"/>
    </row>
    <row r="626" spans="3:56">
      <c r="C626" s="488"/>
      <c r="D626" s="488"/>
      <c r="E626" s="488"/>
      <c r="F626" s="488"/>
      <c r="G626" s="488"/>
      <c r="H626" s="488"/>
      <c r="I626" s="488"/>
      <c r="J626" s="488"/>
      <c r="K626" s="488"/>
      <c r="L626" s="488"/>
      <c r="M626" s="488"/>
      <c r="N626" s="488"/>
      <c r="O626" s="488"/>
      <c r="P626" s="488"/>
      <c r="Q626" s="488"/>
      <c r="R626" s="488"/>
      <c r="S626" s="488"/>
      <c r="T626" s="488"/>
      <c r="U626" s="488"/>
      <c r="V626" s="488"/>
      <c r="W626" s="488"/>
      <c r="X626" s="488"/>
      <c r="Y626" s="488"/>
      <c r="Z626" s="488"/>
      <c r="AA626" s="488"/>
      <c r="AB626" s="488"/>
      <c r="AC626" s="488"/>
      <c r="AD626" s="488"/>
      <c r="AE626" s="488"/>
      <c r="AF626" s="488"/>
      <c r="AG626" s="488"/>
      <c r="AH626" s="488"/>
      <c r="AI626" s="488"/>
      <c r="AJ626" s="488"/>
      <c r="AK626" s="488"/>
      <c r="AL626" s="488"/>
      <c r="AM626" s="488"/>
      <c r="AN626" s="488"/>
      <c r="AO626" s="488"/>
      <c r="AP626" s="488"/>
      <c r="AQ626" s="488"/>
      <c r="AR626" s="488"/>
      <c r="AS626" s="488"/>
      <c r="AT626" s="488"/>
      <c r="AU626" s="488"/>
      <c r="AV626" s="488"/>
      <c r="AW626" s="488"/>
      <c r="AX626" s="488"/>
      <c r="AY626" s="488"/>
      <c r="AZ626" s="488"/>
      <c r="BA626" s="488"/>
      <c r="BB626" s="488"/>
      <c r="BC626" s="488"/>
      <c r="BD626" s="488"/>
    </row>
    <row r="627" spans="3:56">
      <c r="C627" s="488"/>
      <c r="D627" s="488"/>
      <c r="E627" s="488"/>
      <c r="F627" s="488"/>
      <c r="G627" s="488"/>
      <c r="H627" s="488"/>
      <c r="I627" s="488"/>
      <c r="J627" s="488"/>
      <c r="K627" s="488"/>
      <c r="L627" s="488"/>
      <c r="M627" s="488"/>
      <c r="N627" s="488"/>
      <c r="O627" s="488"/>
      <c r="P627" s="488"/>
      <c r="Q627" s="488"/>
      <c r="R627" s="488"/>
      <c r="S627" s="488"/>
      <c r="T627" s="488"/>
      <c r="U627" s="488"/>
      <c r="V627" s="488"/>
      <c r="W627" s="488"/>
      <c r="X627" s="488"/>
      <c r="Y627" s="488"/>
      <c r="Z627" s="488"/>
      <c r="AA627" s="488"/>
      <c r="AB627" s="488"/>
      <c r="AC627" s="488"/>
      <c r="AD627" s="488"/>
      <c r="AE627" s="488"/>
      <c r="AF627" s="488"/>
      <c r="AG627" s="488"/>
      <c r="AH627" s="488"/>
      <c r="AI627" s="488"/>
      <c r="AJ627" s="488"/>
      <c r="AK627" s="488"/>
      <c r="AL627" s="488"/>
      <c r="AM627" s="488"/>
      <c r="AN627" s="488"/>
      <c r="AO627" s="488"/>
      <c r="AP627" s="488"/>
      <c r="AQ627" s="488"/>
      <c r="AR627" s="488"/>
      <c r="AS627" s="488"/>
      <c r="AT627" s="488"/>
      <c r="AU627" s="488"/>
      <c r="AV627" s="488"/>
      <c r="AW627" s="488"/>
      <c r="AX627" s="488"/>
      <c r="AY627" s="488"/>
      <c r="AZ627" s="488"/>
      <c r="BA627" s="488"/>
      <c r="BB627" s="488"/>
      <c r="BC627" s="488"/>
      <c r="BD627" s="488"/>
    </row>
    <row r="628" spans="3:56">
      <c r="C628" s="488"/>
      <c r="D628" s="488"/>
      <c r="E628" s="488"/>
      <c r="F628" s="488"/>
      <c r="G628" s="488"/>
      <c r="H628" s="488"/>
      <c r="I628" s="488"/>
      <c r="J628" s="488"/>
      <c r="K628" s="488"/>
      <c r="L628" s="488"/>
      <c r="M628" s="488"/>
      <c r="N628" s="488"/>
      <c r="O628" s="488"/>
      <c r="P628" s="488"/>
      <c r="Q628" s="488"/>
      <c r="R628" s="488"/>
      <c r="S628" s="488"/>
      <c r="T628" s="488"/>
      <c r="U628" s="488"/>
      <c r="V628" s="488"/>
      <c r="W628" s="488"/>
      <c r="X628" s="488"/>
      <c r="Y628" s="488"/>
      <c r="Z628" s="488"/>
      <c r="AA628" s="488"/>
      <c r="AB628" s="488"/>
      <c r="AC628" s="488"/>
      <c r="AD628" s="488"/>
      <c r="AE628" s="488"/>
      <c r="AF628" s="488"/>
      <c r="AG628" s="488"/>
      <c r="AH628" s="488"/>
      <c r="AI628" s="488"/>
      <c r="AJ628" s="488"/>
      <c r="AK628" s="488"/>
      <c r="AL628" s="488"/>
      <c r="AM628" s="488"/>
      <c r="AN628" s="488"/>
      <c r="AO628" s="488"/>
      <c r="AP628" s="488"/>
      <c r="AQ628" s="488"/>
      <c r="AR628" s="488"/>
      <c r="AS628" s="488"/>
      <c r="AT628" s="488"/>
      <c r="AU628" s="488"/>
      <c r="AV628" s="488"/>
      <c r="AW628" s="488"/>
      <c r="AX628" s="488"/>
      <c r="AY628" s="488"/>
      <c r="AZ628" s="488"/>
      <c r="BA628" s="488"/>
      <c r="BB628" s="488"/>
      <c r="BC628" s="488"/>
      <c r="BD628" s="488"/>
    </row>
    <row r="629" spans="3:56">
      <c r="C629" s="488"/>
      <c r="D629" s="488"/>
      <c r="E629" s="488"/>
      <c r="F629" s="488"/>
      <c r="G629" s="488"/>
      <c r="H629" s="488"/>
      <c r="I629" s="488"/>
      <c r="J629" s="488"/>
      <c r="K629" s="488"/>
      <c r="L629" s="488"/>
      <c r="M629" s="488"/>
      <c r="N629" s="488"/>
      <c r="O629" s="488"/>
      <c r="P629" s="488"/>
      <c r="Q629" s="488"/>
      <c r="R629" s="488"/>
      <c r="S629" s="488"/>
      <c r="T629" s="488"/>
      <c r="U629" s="488"/>
      <c r="V629" s="488"/>
      <c r="W629" s="488"/>
      <c r="X629" s="488"/>
      <c r="Y629" s="488"/>
      <c r="Z629" s="488"/>
      <c r="AA629" s="488"/>
      <c r="AB629" s="488"/>
      <c r="AC629" s="488"/>
      <c r="AD629" s="488"/>
      <c r="AE629" s="488"/>
      <c r="AF629" s="488"/>
      <c r="AG629" s="488"/>
      <c r="AH629" s="488"/>
      <c r="AI629" s="488"/>
      <c r="AJ629" s="488"/>
      <c r="AK629" s="488"/>
      <c r="AL629" s="488"/>
      <c r="AM629" s="488"/>
      <c r="AN629" s="488"/>
      <c r="AO629" s="488"/>
      <c r="AP629" s="488"/>
      <c r="AQ629" s="488"/>
      <c r="AR629" s="488"/>
      <c r="AS629" s="488"/>
      <c r="AT629" s="488"/>
      <c r="AU629" s="488"/>
      <c r="AV629" s="488"/>
      <c r="AW629" s="488"/>
      <c r="AX629" s="488"/>
      <c r="AY629" s="488"/>
      <c r="AZ629" s="488"/>
      <c r="BA629" s="488"/>
      <c r="BB629" s="488"/>
      <c r="BC629" s="488"/>
      <c r="BD629" s="488"/>
    </row>
    <row r="630" spans="3:56">
      <c r="C630" s="488"/>
      <c r="D630" s="488"/>
      <c r="E630" s="488"/>
      <c r="F630" s="488"/>
      <c r="G630" s="488"/>
      <c r="H630" s="488"/>
      <c r="I630" s="488"/>
      <c r="J630" s="488"/>
      <c r="K630" s="488"/>
      <c r="L630" s="488"/>
      <c r="M630" s="488"/>
      <c r="N630" s="488"/>
      <c r="O630" s="488"/>
      <c r="P630" s="488"/>
      <c r="Q630" s="488"/>
      <c r="R630" s="488"/>
      <c r="S630" s="488"/>
      <c r="T630" s="488"/>
      <c r="U630" s="488"/>
      <c r="V630" s="488"/>
      <c r="W630" s="488"/>
      <c r="X630" s="488"/>
      <c r="Y630" s="488"/>
      <c r="Z630" s="488"/>
      <c r="AA630" s="488"/>
      <c r="AB630" s="488"/>
      <c r="AC630" s="488"/>
      <c r="AD630" s="488"/>
      <c r="AE630" s="488"/>
      <c r="AF630" s="488"/>
      <c r="AG630" s="488"/>
      <c r="AH630" s="488"/>
      <c r="AI630" s="488"/>
      <c r="AJ630" s="488"/>
      <c r="AK630" s="488"/>
      <c r="AL630" s="488"/>
      <c r="AM630" s="488"/>
      <c r="AN630" s="488"/>
      <c r="AO630" s="488"/>
      <c r="AP630" s="488"/>
      <c r="AQ630" s="488"/>
      <c r="AR630" s="488"/>
      <c r="AS630" s="488"/>
      <c r="AT630" s="488"/>
      <c r="AU630" s="488"/>
      <c r="AV630" s="488"/>
      <c r="AW630" s="488"/>
      <c r="AX630" s="488"/>
      <c r="AY630" s="488"/>
      <c r="AZ630" s="488"/>
      <c r="BA630" s="488"/>
      <c r="BB630" s="488"/>
      <c r="BC630" s="488"/>
      <c r="BD630" s="488"/>
    </row>
    <row r="631" spans="3:56">
      <c r="C631" s="488"/>
      <c r="D631" s="488"/>
      <c r="E631" s="488"/>
      <c r="F631" s="488"/>
      <c r="G631" s="488"/>
      <c r="H631" s="488"/>
      <c r="I631" s="488"/>
      <c r="J631" s="488"/>
      <c r="K631" s="488"/>
      <c r="L631" s="488"/>
      <c r="M631" s="488"/>
      <c r="N631" s="488"/>
      <c r="O631" s="488"/>
      <c r="P631" s="488"/>
      <c r="Q631" s="488"/>
      <c r="R631" s="488"/>
      <c r="S631" s="488"/>
      <c r="T631" s="488"/>
      <c r="U631" s="488"/>
      <c r="V631" s="488"/>
      <c r="W631" s="488"/>
      <c r="X631" s="488"/>
      <c r="Y631" s="488"/>
      <c r="Z631" s="488"/>
      <c r="AA631" s="488"/>
      <c r="AB631" s="488"/>
      <c r="AC631" s="488"/>
      <c r="AD631" s="488"/>
      <c r="AE631" s="488"/>
      <c r="AF631" s="488"/>
      <c r="AG631" s="488"/>
      <c r="AH631" s="488"/>
      <c r="AI631" s="488"/>
      <c r="AJ631" s="488"/>
      <c r="AK631" s="488"/>
      <c r="AL631" s="488"/>
      <c r="AM631" s="488"/>
      <c r="AN631" s="488"/>
      <c r="AO631" s="488"/>
      <c r="AP631" s="488"/>
      <c r="AQ631" s="488"/>
      <c r="AR631" s="488"/>
      <c r="AS631" s="488"/>
      <c r="AT631" s="488"/>
      <c r="AU631" s="488"/>
      <c r="AV631" s="488"/>
      <c r="AW631" s="488"/>
      <c r="AX631" s="488"/>
      <c r="AY631" s="488"/>
      <c r="AZ631" s="488"/>
      <c r="BA631" s="488"/>
      <c r="BB631" s="488"/>
      <c r="BC631" s="488"/>
      <c r="BD631" s="488"/>
    </row>
    <row r="632" spans="3:56">
      <c r="C632" s="488"/>
      <c r="D632" s="488"/>
      <c r="E632" s="488"/>
      <c r="F632" s="488"/>
      <c r="G632" s="488"/>
      <c r="H632" s="488"/>
      <c r="I632" s="488"/>
      <c r="J632" s="488"/>
      <c r="K632" s="488"/>
      <c r="L632" s="488"/>
      <c r="M632" s="488"/>
      <c r="N632" s="488"/>
      <c r="O632" s="488"/>
      <c r="P632" s="488"/>
      <c r="Q632" s="488"/>
      <c r="R632" s="488"/>
      <c r="S632" s="488"/>
      <c r="T632" s="488"/>
      <c r="U632" s="488"/>
      <c r="V632" s="488"/>
      <c r="W632" s="488"/>
      <c r="X632" s="488"/>
      <c r="Y632" s="488"/>
      <c r="Z632" s="488"/>
      <c r="AA632" s="488"/>
      <c r="AB632" s="488"/>
      <c r="AC632" s="488"/>
      <c r="AD632" s="488"/>
      <c r="AE632" s="488"/>
      <c r="AF632" s="488"/>
      <c r="AG632" s="488"/>
      <c r="AH632" s="488"/>
      <c r="AI632" s="488"/>
      <c r="AJ632" s="488"/>
      <c r="AK632" s="488"/>
      <c r="AL632" s="488"/>
      <c r="AM632" s="488"/>
      <c r="AN632" s="488"/>
      <c r="AO632" s="488"/>
      <c r="AP632" s="488"/>
      <c r="AQ632" s="488"/>
      <c r="AR632" s="488"/>
      <c r="AS632" s="488"/>
      <c r="AT632" s="488"/>
      <c r="AU632" s="488"/>
      <c r="AV632" s="488"/>
      <c r="AW632" s="488"/>
      <c r="AX632" s="488"/>
      <c r="AY632" s="488"/>
      <c r="AZ632" s="488"/>
      <c r="BA632" s="488"/>
      <c r="BB632" s="488"/>
      <c r="BC632" s="488"/>
      <c r="BD632" s="488"/>
    </row>
    <row r="633" spans="3:56">
      <c r="C633" s="488"/>
      <c r="D633" s="488"/>
      <c r="E633" s="488"/>
      <c r="F633" s="488"/>
      <c r="G633" s="488"/>
      <c r="H633" s="488"/>
      <c r="I633" s="488"/>
      <c r="J633" s="488"/>
      <c r="K633" s="488"/>
      <c r="L633" s="488"/>
      <c r="M633" s="488"/>
      <c r="N633" s="488"/>
      <c r="O633" s="488"/>
      <c r="P633" s="488"/>
      <c r="Q633" s="488"/>
      <c r="R633" s="488"/>
      <c r="S633" s="488"/>
      <c r="T633" s="488"/>
      <c r="U633" s="488"/>
      <c r="V633" s="488"/>
      <c r="W633" s="488"/>
      <c r="X633" s="488"/>
      <c r="Y633" s="488"/>
      <c r="Z633" s="488"/>
      <c r="AA633" s="488"/>
      <c r="AB633" s="488"/>
      <c r="AC633" s="488"/>
      <c r="AD633" s="488"/>
      <c r="AE633" s="488"/>
      <c r="AF633" s="488"/>
      <c r="AG633" s="488"/>
      <c r="AH633" s="488"/>
      <c r="AI633" s="488"/>
      <c r="AJ633" s="488"/>
      <c r="AK633" s="488"/>
      <c r="AL633" s="488"/>
      <c r="AM633" s="488"/>
      <c r="AN633" s="488"/>
      <c r="AO633" s="488"/>
      <c r="AP633" s="488"/>
      <c r="AQ633" s="488"/>
      <c r="AR633" s="488"/>
      <c r="AS633" s="488"/>
      <c r="AT633" s="488"/>
      <c r="AU633" s="488"/>
      <c r="AV633" s="488"/>
      <c r="AW633" s="488"/>
      <c r="AX633" s="488"/>
      <c r="AY633" s="488"/>
      <c r="AZ633" s="488"/>
      <c r="BA633" s="488"/>
      <c r="BB633" s="488"/>
      <c r="BC633" s="488"/>
      <c r="BD633" s="488"/>
    </row>
    <row r="634" spans="3:56">
      <c r="C634" s="488"/>
      <c r="D634" s="488"/>
      <c r="E634" s="488"/>
      <c r="F634" s="488"/>
      <c r="G634" s="488"/>
      <c r="H634" s="488"/>
      <c r="I634" s="488"/>
      <c r="J634" s="488"/>
      <c r="K634" s="488"/>
      <c r="L634" s="488"/>
      <c r="M634" s="488"/>
      <c r="N634" s="488"/>
      <c r="O634" s="488"/>
      <c r="P634" s="488"/>
      <c r="Q634" s="488"/>
      <c r="R634" s="488"/>
      <c r="S634" s="488"/>
      <c r="T634" s="488"/>
      <c r="U634" s="488"/>
      <c r="V634" s="488"/>
      <c r="W634" s="488"/>
      <c r="X634" s="488"/>
      <c r="Y634" s="488"/>
      <c r="Z634" s="488"/>
      <c r="AA634" s="488"/>
      <c r="AB634" s="488"/>
      <c r="AC634" s="488"/>
      <c r="AD634" s="488"/>
      <c r="AE634" s="488"/>
      <c r="AF634" s="488"/>
      <c r="AG634" s="488"/>
      <c r="AH634" s="488"/>
      <c r="AI634" s="488"/>
      <c r="AJ634" s="488"/>
      <c r="AK634" s="488"/>
      <c r="AL634" s="488"/>
      <c r="AM634" s="488"/>
      <c r="AN634" s="488"/>
      <c r="AO634" s="488"/>
      <c r="AP634" s="488"/>
      <c r="AQ634" s="488"/>
      <c r="AR634" s="488"/>
      <c r="AS634" s="488"/>
      <c r="AT634" s="488"/>
      <c r="AU634" s="488"/>
      <c r="AV634" s="488"/>
      <c r="AW634" s="488"/>
      <c r="AX634" s="488"/>
      <c r="AY634" s="488"/>
      <c r="AZ634" s="488"/>
      <c r="BA634" s="488"/>
      <c r="BB634" s="488"/>
      <c r="BC634" s="488"/>
      <c r="BD634" s="488"/>
    </row>
    <row r="635" spans="3:56">
      <c r="C635" s="488"/>
      <c r="D635" s="488"/>
      <c r="E635" s="488"/>
      <c r="F635" s="488"/>
      <c r="G635" s="488"/>
      <c r="H635" s="488"/>
      <c r="I635" s="488"/>
      <c r="J635" s="488"/>
      <c r="K635" s="488"/>
      <c r="L635" s="488"/>
      <c r="M635" s="488"/>
      <c r="N635" s="488"/>
      <c r="O635" s="488"/>
      <c r="P635" s="488"/>
      <c r="Q635" s="488"/>
      <c r="R635" s="488"/>
      <c r="S635" s="488"/>
      <c r="T635" s="488"/>
      <c r="U635" s="488"/>
      <c r="V635" s="488"/>
      <c r="W635" s="488"/>
      <c r="X635" s="488"/>
      <c r="Y635" s="488"/>
      <c r="Z635" s="488"/>
      <c r="AA635" s="488"/>
      <c r="AB635" s="488"/>
      <c r="AC635" s="488"/>
      <c r="AD635" s="488"/>
      <c r="AE635" s="488"/>
      <c r="AF635" s="488"/>
      <c r="AG635" s="488"/>
      <c r="AH635" s="488"/>
      <c r="AI635" s="488"/>
      <c r="AJ635" s="488"/>
      <c r="AK635" s="488"/>
      <c r="AL635" s="488"/>
      <c r="AM635" s="488"/>
      <c r="AN635" s="488"/>
      <c r="AO635" s="488"/>
      <c r="AP635" s="488"/>
      <c r="AQ635" s="488"/>
      <c r="AR635" s="488"/>
      <c r="AS635" s="488"/>
      <c r="AT635" s="488"/>
      <c r="AU635" s="488"/>
      <c r="AV635" s="488"/>
      <c r="AW635" s="488"/>
      <c r="AX635" s="488"/>
      <c r="AY635" s="488"/>
      <c r="AZ635" s="488"/>
      <c r="BA635" s="488"/>
      <c r="BB635" s="488"/>
      <c r="BC635" s="488"/>
      <c r="BD635" s="488"/>
    </row>
    <row r="636" spans="3:56">
      <c r="C636" s="488"/>
      <c r="D636" s="488"/>
      <c r="E636" s="488"/>
      <c r="F636" s="488"/>
      <c r="G636" s="488"/>
      <c r="H636" s="488"/>
      <c r="I636" s="488"/>
      <c r="J636" s="488"/>
      <c r="K636" s="488"/>
      <c r="L636" s="488"/>
      <c r="M636" s="488"/>
      <c r="N636" s="488"/>
      <c r="O636" s="488"/>
      <c r="P636" s="488"/>
      <c r="Q636" s="488"/>
      <c r="R636" s="488"/>
      <c r="S636" s="488"/>
      <c r="T636" s="488"/>
      <c r="U636" s="488"/>
      <c r="V636" s="488"/>
      <c r="W636" s="488"/>
      <c r="X636" s="488"/>
      <c r="Y636" s="488"/>
      <c r="Z636" s="488"/>
      <c r="AA636" s="488"/>
      <c r="AB636" s="488"/>
      <c r="AC636" s="488"/>
      <c r="AD636" s="488"/>
      <c r="AE636" s="488"/>
      <c r="AF636" s="488"/>
      <c r="AG636" s="488"/>
      <c r="AH636" s="488"/>
      <c r="AI636" s="488"/>
      <c r="AJ636" s="488"/>
      <c r="AK636" s="488"/>
      <c r="AL636" s="488"/>
      <c r="AM636" s="488"/>
      <c r="AN636" s="488"/>
      <c r="AO636" s="488"/>
      <c r="AP636" s="488"/>
      <c r="AQ636" s="488"/>
      <c r="AR636" s="488"/>
      <c r="AS636" s="488"/>
      <c r="AT636" s="488"/>
      <c r="AU636" s="488"/>
      <c r="AV636" s="488"/>
      <c r="AW636" s="488"/>
      <c r="AX636" s="488"/>
      <c r="AY636" s="488"/>
      <c r="AZ636" s="488"/>
      <c r="BA636" s="488"/>
      <c r="BB636" s="488"/>
      <c r="BC636" s="488"/>
      <c r="BD636" s="488"/>
    </row>
    <row r="637" spans="3:56">
      <c r="C637" s="488"/>
      <c r="D637" s="488"/>
      <c r="E637" s="488"/>
      <c r="F637" s="488"/>
      <c r="G637" s="488"/>
      <c r="H637" s="488"/>
      <c r="I637" s="488"/>
      <c r="J637" s="488"/>
      <c r="K637" s="488"/>
      <c r="L637" s="488"/>
      <c r="M637" s="488"/>
      <c r="N637" s="488"/>
      <c r="O637" s="488"/>
      <c r="P637" s="488"/>
      <c r="Q637" s="488"/>
      <c r="R637" s="488"/>
      <c r="S637" s="488"/>
      <c r="T637" s="488"/>
      <c r="U637" s="488"/>
      <c r="V637" s="488"/>
      <c r="W637" s="488"/>
      <c r="X637" s="488"/>
      <c r="Y637" s="488"/>
      <c r="Z637" s="488"/>
      <c r="AA637" s="488"/>
      <c r="AB637" s="488"/>
      <c r="AC637" s="488"/>
      <c r="AD637" s="488"/>
      <c r="AE637" s="488"/>
      <c r="AF637" s="488"/>
      <c r="AG637" s="488"/>
      <c r="AH637" s="488"/>
      <c r="AI637" s="488"/>
      <c r="AJ637" s="488"/>
      <c r="AK637" s="488"/>
      <c r="AL637" s="488"/>
      <c r="AM637" s="488"/>
      <c r="AN637" s="488"/>
      <c r="AO637" s="488"/>
      <c r="AP637" s="488"/>
      <c r="AQ637" s="488"/>
      <c r="AR637" s="488"/>
      <c r="AS637" s="488"/>
      <c r="AT637" s="488"/>
      <c r="AU637" s="488"/>
      <c r="AV637" s="488"/>
      <c r="AW637" s="488"/>
      <c r="AX637" s="488"/>
      <c r="AY637" s="488"/>
      <c r="AZ637" s="488"/>
      <c r="BA637" s="488"/>
      <c r="BB637" s="488"/>
      <c r="BC637" s="488"/>
      <c r="BD637" s="488"/>
    </row>
    <row r="638" spans="3:56">
      <c r="C638" s="488"/>
      <c r="D638" s="488"/>
      <c r="E638" s="488"/>
      <c r="F638" s="488"/>
      <c r="G638" s="488"/>
      <c r="H638" s="488"/>
      <c r="I638" s="488"/>
      <c r="J638" s="488"/>
      <c r="K638" s="488"/>
      <c r="L638" s="488"/>
      <c r="M638" s="488"/>
      <c r="N638" s="488"/>
      <c r="O638" s="488"/>
      <c r="P638" s="488"/>
      <c r="Q638" s="488"/>
      <c r="R638" s="488"/>
      <c r="S638" s="488"/>
      <c r="T638" s="488"/>
      <c r="U638" s="488"/>
      <c r="V638" s="488"/>
      <c r="W638" s="488"/>
      <c r="X638" s="488"/>
      <c r="Y638" s="488"/>
      <c r="Z638" s="488"/>
      <c r="AA638" s="488"/>
      <c r="AB638" s="488"/>
      <c r="AC638" s="488"/>
      <c r="AD638" s="488"/>
      <c r="AE638" s="488"/>
      <c r="AF638" s="488"/>
      <c r="AG638" s="488"/>
      <c r="AH638" s="488"/>
      <c r="AI638" s="488"/>
      <c r="AJ638" s="488"/>
      <c r="AK638" s="488"/>
      <c r="AL638" s="488"/>
      <c r="AM638" s="488"/>
      <c r="AN638" s="488"/>
      <c r="AO638" s="488"/>
      <c r="AP638" s="488"/>
      <c r="AQ638" s="488"/>
      <c r="AR638" s="488"/>
      <c r="AS638" s="488"/>
      <c r="AT638" s="488"/>
      <c r="AU638" s="488"/>
      <c r="AV638" s="488"/>
      <c r="AW638" s="488"/>
      <c r="AX638" s="488"/>
      <c r="AY638" s="488"/>
      <c r="AZ638" s="488"/>
      <c r="BA638" s="488"/>
      <c r="BB638" s="488"/>
      <c r="BC638" s="488"/>
      <c r="BD638" s="488"/>
    </row>
    <row r="639" spans="3:56">
      <c r="C639" s="488"/>
      <c r="D639" s="488"/>
      <c r="E639" s="488"/>
      <c r="F639" s="488"/>
      <c r="G639" s="488"/>
      <c r="H639" s="488"/>
      <c r="I639" s="488"/>
      <c r="J639" s="488"/>
      <c r="K639" s="488"/>
      <c r="L639" s="488"/>
      <c r="M639" s="488"/>
      <c r="N639" s="488"/>
      <c r="O639" s="488"/>
      <c r="P639" s="488"/>
      <c r="Q639" s="488"/>
      <c r="R639" s="488"/>
      <c r="S639" s="488"/>
      <c r="T639" s="488"/>
      <c r="U639" s="488"/>
      <c r="V639" s="488"/>
      <c r="W639" s="488"/>
      <c r="X639" s="488"/>
      <c r="Y639" s="488"/>
      <c r="Z639" s="488"/>
      <c r="AA639" s="488"/>
      <c r="AB639" s="488"/>
      <c r="AC639" s="488"/>
      <c r="AD639" s="488"/>
      <c r="AE639" s="488"/>
      <c r="AF639" s="488"/>
      <c r="AG639" s="488"/>
      <c r="AH639" s="488"/>
      <c r="AI639" s="488"/>
      <c r="AJ639" s="488"/>
      <c r="AK639" s="488"/>
      <c r="AL639" s="488"/>
      <c r="AM639" s="488"/>
      <c r="AN639" s="488"/>
      <c r="AO639" s="488"/>
      <c r="AP639" s="488"/>
      <c r="AQ639" s="488"/>
      <c r="AR639" s="488"/>
      <c r="AS639" s="488"/>
      <c r="AT639" s="488"/>
      <c r="AU639" s="488"/>
      <c r="AV639" s="488"/>
      <c r="AW639" s="488"/>
      <c r="AX639" s="488"/>
      <c r="AY639" s="488"/>
      <c r="AZ639" s="488"/>
      <c r="BA639" s="488"/>
      <c r="BB639" s="488"/>
      <c r="BC639" s="488"/>
      <c r="BD639" s="488"/>
    </row>
    <row r="640" spans="3:56">
      <c r="C640" s="488"/>
      <c r="D640" s="488"/>
      <c r="E640" s="488"/>
      <c r="F640" s="488"/>
      <c r="G640" s="488"/>
      <c r="H640" s="488"/>
      <c r="I640" s="488"/>
      <c r="J640" s="488"/>
      <c r="K640" s="488"/>
      <c r="L640" s="488"/>
      <c r="M640" s="488"/>
      <c r="N640" s="488"/>
      <c r="O640" s="488"/>
      <c r="P640" s="488"/>
      <c r="Q640" s="488"/>
      <c r="R640" s="488"/>
      <c r="S640" s="488"/>
      <c r="T640" s="488"/>
      <c r="U640" s="488"/>
      <c r="V640" s="488"/>
      <c r="W640" s="488"/>
      <c r="X640" s="488"/>
      <c r="Y640" s="488"/>
      <c r="Z640" s="488"/>
      <c r="AA640" s="488"/>
      <c r="AB640" s="488"/>
      <c r="AC640" s="488"/>
      <c r="AD640" s="488"/>
      <c r="AE640" s="488"/>
      <c r="AF640" s="488"/>
      <c r="AG640" s="488"/>
      <c r="AH640" s="488"/>
      <c r="AI640" s="488"/>
      <c r="AJ640" s="488"/>
      <c r="AK640" s="488"/>
      <c r="AL640" s="488"/>
      <c r="AM640" s="488"/>
      <c r="AN640" s="488"/>
      <c r="AO640" s="488"/>
      <c r="AP640" s="488"/>
      <c r="AQ640" s="488"/>
      <c r="AR640" s="488"/>
      <c r="AS640" s="488"/>
      <c r="AT640" s="488"/>
      <c r="AU640" s="488"/>
      <c r="AV640" s="488"/>
      <c r="AW640" s="488"/>
      <c r="AX640" s="488"/>
      <c r="AY640" s="488"/>
      <c r="AZ640" s="488"/>
      <c r="BA640" s="488"/>
      <c r="BB640" s="488"/>
      <c r="BC640" s="488"/>
      <c r="BD640" s="488"/>
    </row>
    <row r="641" spans="3:56">
      <c r="C641" s="488"/>
      <c r="D641" s="488"/>
      <c r="E641" s="488"/>
      <c r="F641" s="488"/>
      <c r="G641" s="488"/>
      <c r="H641" s="488"/>
      <c r="I641" s="488"/>
      <c r="J641" s="488"/>
      <c r="K641" s="488"/>
      <c r="L641" s="488"/>
      <c r="M641" s="488"/>
      <c r="N641" s="488"/>
      <c r="O641" s="488"/>
      <c r="P641" s="488"/>
      <c r="Q641" s="488"/>
      <c r="R641" s="488"/>
      <c r="S641" s="488"/>
      <c r="T641" s="488"/>
      <c r="U641" s="488"/>
      <c r="V641" s="488"/>
      <c r="W641" s="488"/>
      <c r="X641" s="488"/>
      <c r="Y641" s="488"/>
      <c r="Z641" s="488"/>
      <c r="AA641" s="488"/>
      <c r="AB641" s="488"/>
      <c r="AC641" s="488"/>
      <c r="AD641" s="488"/>
      <c r="AE641" s="488"/>
      <c r="AF641" s="488"/>
      <c r="AG641" s="488"/>
      <c r="AH641" s="488"/>
      <c r="AI641" s="488"/>
      <c r="AJ641" s="488"/>
      <c r="AK641" s="488"/>
      <c r="AL641" s="488"/>
      <c r="AM641" s="488"/>
      <c r="AN641" s="488"/>
      <c r="AO641" s="488"/>
      <c r="AP641" s="488"/>
      <c r="AQ641" s="488"/>
      <c r="AR641" s="488"/>
      <c r="AS641" s="488"/>
      <c r="AT641" s="488"/>
      <c r="AU641" s="488"/>
      <c r="AV641" s="488"/>
      <c r="AW641" s="488"/>
      <c r="AX641" s="488"/>
      <c r="AY641" s="488"/>
      <c r="AZ641" s="488"/>
      <c r="BA641" s="488"/>
      <c r="BB641" s="488"/>
      <c r="BC641" s="488"/>
      <c r="BD641" s="488"/>
    </row>
    <row r="642" spans="3:56">
      <c r="C642" s="488"/>
      <c r="D642" s="488"/>
      <c r="E642" s="488"/>
      <c r="F642" s="488"/>
      <c r="G642" s="488"/>
      <c r="H642" s="488"/>
      <c r="I642" s="488"/>
      <c r="J642" s="488"/>
      <c r="K642" s="488"/>
      <c r="L642" s="488"/>
      <c r="M642" s="488"/>
      <c r="N642" s="488"/>
      <c r="O642" s="488"/>
      <c r="P642" s="488"/>
      <c r="Q642" s="488"/>
      <c r="R642" s="488"/>
      <c r="S642" s="488"/>
      <c r="T642" s="488"/>
      <c r="U642" s="488"/>
      <c r="V642" s="488"/>
      <c r="W642" s="488"/>
      <c r="X642" s="488"/>
      <c r="Y642" s="488"/>
      <c r="Z642" s="488"/>
      <c r="AA642" s="488"/>
      <c r="AB642" s="488"/>
      <c r="AC642" s="488"/>
      <c r="AD642" s="488"/>
      <c r="AE642" s="488"/>
      <c r="AF642" s="488"/>
      <c r="AG642" s="488"/>
      <c r="AH642" s="488"/>
      <c r="AI642" s="488"/>
      <c r="AJ642" s="488"/>
      <c r="AK642" s="488"/>
      <c r="AL642" s="488"/>
      <c r="AM642" s="488"/>
      <c r="AN642" s="488"/>
      <c r="AO642" s="488"/>
      <c r="AP642" s="488"/>
      <c r="AQ642" s="488"/>
      <c r="AR642" s="488"/>
      <c r="AS642" s="488"/>
      <c r="AT642" s="488"/>
      <c r="AU642" s="488"/>
      <c r="AV642" s="488"/>
      <c r="AW642" s="488"/>
      <c r="AX642" s="488"/>
      <c r="AY642" s="488"/>
      <c r="AZ642" s="488"/>
      <c r="BA642" s="488"/>
      <c r="BB642" s="488"/>
      <c r="BC642" s="488"/>
      <c r="BD642" s="488"/>
    </row>
    <row r="643" spans="3:56">
      <c r="C643" s="488"/>
      <c r="D643" s="488"/>
      <c r="E643" s="488"/>
      <c r="F643" s="488"/>
      <c r="G643" s="488"/>
      <c r="H643" s="488"/>
      <c r="I643" s="488"/>
      <c r="J643" s="488"/>
      <c r="K643" s="488"/>
      <c r="L643" s="488"/>
      <c r="M643" s="488"/>
      <c r="N643" s="488"/>
      <c r="O643" s="488"/>
      <c r="P643" s="488"/>
      <c r="Q643" s="488"/>
      <c r="R643" s="488"/>
      <c r="S643" s="488"/>
      <c r="T643" s="488"/>
      <c r="U643" s="488"/>
      <c r="V643" s="488"/>
      <c r="W643" s="488"/>
      <c r="X643" s="488"/>
      <c r="Y643" s="488"/>
      <c r="Z643" s="488"/>
      <c r="AA643" s="488"/>
      <c r="AB643" s="488"/>
      <c r="AC643" s="488"/>
      <c r="AD643" s="488"/>
      <c r="AE643" s="488"/>
      <c r="AF643" s="488"/>
      <c r="AG643" s="488"/>
      <c r="AH643" s="488"/>
      <c r="AI643" s="488"/>
      <c r="AJ643" s="488"/>
      <c r="AK643" s="488"/>
      <c r="AL643" s="488"/>
      <c r="AM643" s="488"/>
      <c r="AN643" s="488"/>
      <c r="AO643" s="488"/>
      <c r="AP643" s="488"/>
      <c r="AQ643" s="488"/>
      <c r="AR643" s="488"/>
      <c r="AS643" s="488"/>
      <c r="AT643" s="488"/>
      <c r="AU643" s="488"/>
      <c r="AV643" s="488"/>
      <c r="AW643" s="488"/>
      <c r="AX643" s="488"/>
      <c r="AY643" s="488"/>
      <c r="AZ643" s="488"/>
      <c r="BA643" s="488"/>
      <c r="BB643" s="488"/>
      <c r="BC643" s="488"/>
      <c r="BD643" s="488"/>
    </row>
    <row r="644" spans="3:56">
      <c r="C644" s="488"/>
      <c r="D644" s="488"/>
      <c r="E644" s="488"/>
      <c r="F644" s="488"/>
      <c r="G644" s="488"/>
      <c r="H644" s="488"/>
      <c r="I644" s="488"/>
      <c r="J644" s="488"/>
      <c r="K644" s="488"/>
      <c r="L644" s="488"/>
      <c r="M644" s="488"/>
      <c r="N644" s="488"/>
      <c r="O644" s="488"/>
      <c r="P644" s="488"/>
      <c r="Q644" s="488"/>
      <c r="R644" s="488"/>
      <c r="S644" s="488"/>
      <c r="T644" s="488"/>
      <c r="U644" s="488"/>
      <c r="V644" s="488"/>
      <c r="W644" s="488"/>
      <c r="X644" s="488"/>
      <c r="Y644" s="488"/>
      <c r="Z644" s="488"/>
      <c r="AA644" s="488"/>
      <c r="AB644" s="488"/>
      <c r="AC644" s="488"/>
      <c r="AD644" s="488"/>
      <c r="AE644" s="488"/>
      <c r="AF644" s="488"/>
      <c r="AG644" s="488"/>
      <c r="AH644" s="488"/>
      <c r="AI644" s="488"/>
      <c r="AJ644" s="488"/>
      <c r="AK644" s="488"/>
      <c r="AL644" s="488"/>
      <c r="AM644" s="488"/>
      <c r="AN644" s="488"/>
      <c r="AO644" s="488"/>
      <c r="AP644" s="488"/>
      <c r="AQ644" s="488"/>
      <c r="AR644" s="488"/>
      <c r="AS644" s="488"/>
      <c r="AT644" s="488"/>
      <c r="AU644" s="488"/>
      <c r="AV644" s="488"/>
      <c r="AW644" s="488"/>
      <c r="AX644" s="488"/>
      <c r="AY644" s="488"/>
      <c r="AZ644" s="488"/>
      <c r="BA644" s="488"/>
      <c r="BB644" s="488"/>
      <c r="BC644" s="488"/>
      <c r="BD644" s="488"/>
    </row>
    <row r="645" spans="3:56">
      <c r="C645" s="488"/>
      <c r="D645" s="488"/>
      <c r="E645" s="488"/>
      <c r="F645" s="488"/>
      <c r="G645" s="488"/>
      <c r="H645" s="488"/>
      <c r="I645" s="488"/>
      <c r="J645" s="488"/>
      <c r="K645" s="488"/>
      <c r="L645" s="488"/>
      <c r="M645" s="488"/>
      <c r="N645" s="488"/>
      <c r="O645" s="488"/>
      <c r="P645" s="488"/>
      <c r="Q645" s="488"/>
      <c r="R645" s="488"/>
      <c r="S645" s="488"/>
      <c r="T645" s="488"/>
      <c r="U645" s="488"/>
      <c r="V645" s="488"/>
      <c r="W645" s="488"/>
      <c r="X645" s="488"/>
      <c r="Y645" s="488"/>
      <c r="Z645" s="488"/>
      <c r="AA645" s="488"/>
      <c r="AB645" s="488"/>
      <c r="AC645" s="488"/>
      <c r="AD645" s="488"/>
      <c r="AE645" s="488"/>
      <c r="AF645" s="488"/>
      <c r="AG645" s="488"/>
      <c r="AH645" s="488"/>
      <c r="AI645" s="488"/>
      <c r="AJ645" s="488"/>
      <c r="AK645" s="488"/>
      <c r="AL645" s="488"/>
      <c r="AM645" s="488"/>
      <c r="AN645" s="488"/>
      <c r="AO645" s="488"/>
      <c r="AP645" s="488"/>
      <c r="AQ645" s="488"/>
      <c r="AR645" s="488"/>
      <c r="AS645" s="488"/>
      <c r="AT645" s="488"/>
      <c r="AU645" s="488"/>
      <c r="AV645" s="488"/>
      <c r="AW645" s="488"/>
      <c r="AX645" s="488"/>
      <c r="AY645" s="488"/>
      <c r="AZ645" s="488"/>
      <c r="BA645" s="488"/>
      <c r="BB645" s="488"/>
      <c r="BC645" s="488"/>
      <c r="BD645" s="488"/>
    </row>
    <row r="646" spans="3:56">
      <c r="C646" s="488"/>
      <c r="D646" s="488"/>
      <c r="E646" s="488"/>
      <c r="F646" s="488"/>
      <c r="G646" s="488"/>
      <c r="H646" s="488"/>
      <c r="I646" s="488"/>
      <c r="J646" s="488"/>
      <c r="K646" s="488"/>
      <c r="L646" s="488"/>
      <c r="M646" s="488"/>
      <c r="N646" s="488"/>
      <c r="O646" s="488"/>
      <c r="P646" s="488"/>
      <c r="Q646" s="488"/>
      <c r="R646" s="488"/>
      <c r="S646" s="488"/>
      <c r="T646" s="488"/>
      <c r="U646" s="488"/>
      <c r="V646" s="488"/>
      <c r="W646" s="488"/>
      <c r="X646" s="488"/>
      <c r="Y646" s="488"/>
      <c r="Z646" s="488"/>
      <c r="AA646" s="488"/>
      <c r="AB646" s="488"/>
      <c r="AC646" s="488"/>
      <c r="AD646" s="488"/>
      <c r="AE646" s="488"/>
      <c r="AF646" s="488"/>
      <c r="AG646" s="488"/>
      <c r="AH646" s="488"/>
      <c r="AI646" s="488"/>
      <c r="AJ646" s="488"/>
      <c r="AK646" s="488"/>
      <c r="AL646" s="488"/>
      <c r="AM646" s="488"/>
      <c r="AN646" s="488"/>
      <c r="AO646" s="488"/>
      <c r="AP646" s="488"/>
      <c r="AQ646" s="488"/>
      <c r="AR646" s="488"/>
      <c r="AS646" s="488"/>
      <c r="AT646" s="488"/>
      <c r="AU646" s="488"/>
      <c r="AV646" s="488"/>
      <c r="AW646" s="488"/>
      <c r="AX646" s="488"/>
      <c r="AY646" s="488"/>
      <c r="AZ646" s="488"/>
      <c r="BA646" s="488"/>
      <c r="BB646" s="488"/>
      <c r="BC646" s="488"/>
      <c r="BD646" s="488"/>
    </row>
    <row r="647" spans="3:56">
      <c r="C647" s="488"/>
      <c r="D647" s="488"/>
      <c r="E647" s="488"/>
      <c r="F647" s="488"/>
      <c r="G647" s="488"/>
      <c r="H647" s="488"/>
      <c r="I647" s="488"/>
      <c r="J647" s="488"/>
      <c r="K647" s="488"/>
      <c r="L647" s="488"/>
      <c r="M647" s="488"/>
      <c r="N647" s="488"/>
      <c r="O647" s="488"/>
      <c r="P647" s="488"/>
      <c r="Q647" s="488"/>
      <c r="R647" s="488"/>
      <c r="S647" s="488"/>
      <c r="T647" s="488"/>
      <c r="U647" s="488"/>
      <c r="V647" s="488"/>
      <c r="W647" s="488"/>
      <c r="X647" s="488"/>
      <c r="Y647" s="488"/>
      <c r="Z647" s="488"/>
      <c r="AA647" s="488"/>
      <c r="AB647" s="488"/>
      <c r="AC647" s="488"/>
      <c r="AD647" s="488"/>
      <c r="AE647" s="488"/>
      <c r="AF647" s="488"/>
      <c r="AG647" s="488"/>
      <c r="AH647" s="488"/>
      <c r="AI647" s="488"/>
      <c r="AJ647" s="488"/>
      <c r="AK647" s="488"/>
      <c r="AL647" s="488"/>
      <c r="AM647" s="488"/>
      <c r="AN647" s="488"/>
      <c r="AO647" s="488"/>
      <c r="AP647" s="488"/>
      <c r="AQ647" s="488"/>
      <c r="AR647" s="488"/>
      <c r="AS647" s="488"/>
      <c r="AT647" s="488"/>
      <c r="AU647" s="488"/>
      <c r="AV647" s="488"/>
      <c r="AW647" s="488"/>
      <c r="AX647" s="488"/>
      <c r="AY647" s="488"/>
      <c r="AZ647" s="488"/>
      <c r="BA647" s="488"/>
      <c r="BB647" s="488"/>
      <c r="BC647" s="488"/>
      <c r="BD647" s="488"/>
    </row>
    <row r="648" spans="3:56">
      <c r="C648" s="488"/>
      <c r="D648" s="488"/>
      <c r="E648" s="488"/>
      <c r="F648" s="488"/>
      <c r="G648" s="488"/>
      <c r="H648" s="488"/>
      <c r="I648" s="488"/>
      <c r="J648" s="488"/>
      <c r="K648" s="488"/>
      <c r="L648" s="488"/>
      <c r="M648" s="488"/>
      <c r="N648" s="488"/>
      <c r="O648" s="488"/>
      <c r="P648" s="488"/>
      <c r="Q648" s="488"/>
      <c r="R648" s="488"/>
      <c r="S648" s="488"/>
      <c r="T648" s="488"/>
      <c r="U648" s="488"/>
      <c r="V648" s="488"/>
      <c r="W648" s="488"/>
      <c r="X648" s="488"/>
      <c r="Y648" s="488"/>
      <c r="Z648" s="488"/>
      <c r="AA648" s="488"/>
      <c r="AB648" s="488"/>
      <c r="AC648" s="488"/>
      <c r="AD648" s="488"/>
      <c r="AE648" s="488"/>
      <c r="AF648" s="488"/>
      <c r="AG648" s="488"/>
      <c r="AH648" s="488"/>
      <c r="AI648" s="488"/>
      <c r="AJ648" s="488"/>
      <c r="AK648" s="488"/>
      <c r="AL648" s="488"/>
      <c r="AM648" s="488"/>
      <c r="AN648" s="488"/>
      <c r="AO648" s="488"/>
      <c r="AP648" s="488"/>
      <c r="AQ648" s="488"/>
      <c r="AR648" s="488"/>
      <c r="AS648" s="488"/>
      <c r="AT648" s="488"/>
      <c r="AU648" s="488"/>
      <c r="AV648" s="488"/>
      <c r="AW648" s="488"/>
      <c r="AX648" s="488"/>
      <c r="AY648" s="488"/>
      <c r="AZ648" s="488"/>
      <c r="BA648" s="488"/>
      <c r="BB648" s="488"/>
      <c r="BC648" s="488"/>
      <c r="BD648" s="488"/>
    </row>
    <row r="649" spans="3:56">
      <c r="C649" s="488"/>
      <c r="D649" s="488"/>
      <c r="E649" s="488"/>
      <c r="F649" s="488"/>
      <c r="G649" s="488"/>
      <c r="H649" s="488"/>
      <c r="I649" s="488"/>
      <c r="J649" s="488"/>
      <c r="K649" s="488"/>
      <c r="L649" s="488"/>
      <c r="M649" s="488"/>
      <c r="N649" s="488"/>
      <c r="O649" s="488"/>
      <c r="P649" s="488"/>
      <c r="Q649" s="488"/>
      <c r="R649" s="488"/>
      <c r="S649" s="488"/>
      <c r="T649" s="488"/>
      <c r="U649" s="488"/>
      <c r="V649" s="488"/>
      <c r="W649" s="488"/>
      <c r="X649" s="488"/>
      <c r="Y649" s="488"/>
      <c r="Z649" s="488"/>
      <c r="AA649" s="488"/>
      <c r="AB649" s="488"/>
      <c r="AC649" s="488"/>
      <c r="AD649" s="488"/>
      <c r="AE649" s="488"/>
      <c r="AF649" s="488"/>
      <c r="AG649" s="488"/>
      <c r="AH649" s="488"/>
      <c r="AI649" s="488"/>
      <c r="AJ649" s="488"/>
      <c r="AK649" s="488"/>
      <c r="AL649" s="488"/>
      <c r="AM649" s="488"/>
      <c r="AN649" s="488"/>
      <c r="AO649" s="488"/>
      <c r="AP649" s="488"/>
      <c r="AQ649" s="488"/>
      <c r="AR649" s="488"/>
      <c r="AS649" s="488"/>
      <c r="AT649" s="488"/>
      <c r="AU649" s="488"/>
      <c r="AV649" s="488"/>
      <c r="AW649" s="488"/>
      <c r="AX649" s="488"/>
      <c r="AY649" s="488"/>
      <c r="AZ649" s="488"/>
      <c r="BA649" s="488"/>
      <c r="BB649" s="488"/>
      <c r="BC649" s="488"/>
      <c r="BD649" s="488"/>
    </row>
    <row r="650" spans="3:56">
      <c r="C650" s="488"/>
      <c r="D650" s="488"/>
      <c r="E650" s="488"/>
      <c r="F650" s="488"/>
      <c r="G650" s="488"/>
      <c r="H650" s="488"/>
      <c r="I650" s="488"/>
      <c r="J650" s="488"/>
      <c r="K650" s="488"/>
      <c r="L650" s="488"/>
      <c r="M650" s="488"/>
      <c r="N650" s="488"/>
      <c r="O650" s="488"/>
      <c r="P650" s="488"/>
      <c r="Q650" s="488"/>
      <c r="R650" s="488"/>
      <c r="S650" s="488"/>
      <c r="T650" s="488"/>
      <c r="U650" s="488"/>
      <c r="V650" s="488"/>
      <c r="W650" s="488"/>
      <c r="X650" s="488"/>
      <c r="Y650" s="488"/>
      <c r="Z650" s="488"/>
      <c r="AA650" s="488"/>
      <c r="AB650" s="488"/>
      <c r="AC650" s="488"/>
      <c r="AD650" s="488"/>
      <c r="AE650" s="488"/>
      <c r="AF650" s="488"/>
      <c r="AG650" s="488"/>
      <c r="AH650" s="488"/>
      <c r="AI650" s="488"/>
      <c r="AJ650" s="488"/>
      <c r="AK650" s="488"/>
      <c r="AL650" s="488"/>
      <c r="AM650" s="488"/>
      <c r="AN650" s="488"/>
      <c r="AO650" s="488"/>
      <c r="AP650" s="488"/>
      <c r="AQ650" s="488"/>
      <c r="AR650" s="488"/>
      <c r="AS650" s="488"/>
      <c r="AT650" s="488"/>
      <c r="AU650" s="488"/>
      <c r="AV650" s="488"/>
      <c r="AW650" s="488"/>
      <c r="AX650" s="488"/>
      <c r="AY650" s="488"/>
      <c r="AZ650" s="488"/>
      <c r="BA650" s="488"/>
      <c r="BB650" s="488"/>
      <c r="BC650" s="488"/>
      <c r="BD650" s="488"/>
    </row>
    <row r="651" spans="3:56">
      <c r="C651" s="488"/>
      <c r="D651" s="488"/>
      <c r="E651" s="488"/>
      <c r="F651" s="488"/>
      <c r="G651" s="488"/>
      <c r="H651" s="488"/>
      <c r="I651" s="488"/>
      <c r="J651" s="488"/>
      <c r="K651" s="488"/>
      <c r="L651" s="488"/>
      <c r="M651" s="488"/>
      <c r="N651" s="488"/>
      <c r="O651" s="488"/>
      <c r="P651" s="488"/>
      <c r="Q651" s="488"/>
      <c r="R651" s="488"/>
      <c r="S651" s="488"/>
      <c r="T651" s="488"/>
      <c r="U651" s="488"/>
      <c r="V651" s="488"/>
      <c r="W651" s="488"/>
      <c r="X651" s="488"/>
      <c r="Y651" s="488"/>
      <c r="Z651" s="488"/>
      <c r="AA651" s="488"/>
      <c r="AB651" s="488"/>
      <c r="AC651" s="488"/>
      <c r="AD651" s="488"/>
      <c r="AE651" s="488"/>
      <c r="AF651" s="488"/>
      <c r="AG651" s="488"/>
      <c r="AH651" s="488"/>
      <c r="AI651" s="488"/>
      <c r="AJ651" s="488"/>
      <c r="AK651" s="488"/>
      <c r="AL651" s="488"/>
      <c r="AM651" s="488"/>
      <c r="AN651" s="488"/>
      <c r="AO651" s="488"/>
      <c r="AP651" s="488"/>
      <c r="AQ651" s="488"/>
      <c r="AR651" s="488"/>
      <c r="AS651" s="488"/>
      <c r="AT651" s="488"/>
      <c r="AU651" s="488"/>
      <c r="AV651" s="488"/>
      <c r="AW651" s="488"/>
      <c r="AX651" s="488"/>
      <c r="AY651" s="488"/>
      <c r="AZ651" s="488"/>
      <c r="BA651" s="488"/>
      <c r="BB651" s="488"/>
      <c r="BC651" s="488"/>
      <c r="BD651" s="488"/>
    </row>
    <row r="652" spans="3:56">
      <c r="C652" s="488"/>
      <c r="D652" s="488"/>
      <c r="E652" s="488"/>
      <c r="F652" s="488"/>
      <c r="G652" s="488"/>
      <c r="H652" s="488"/>
      <c r="I652" s="488"/>
      <c r="J652" s="488"/>
      <c r="K652" s="488"/>
      <c r="L652" s="488"/>
      <c r="M652" s="488"/>
      <c r="N652" s="488"/>
      <c r="O652" s="488"/>
      <c r="P652" s="488"/>
      <c r="Q652" s="488"/>
      <c r="R652" s="488"/>
      <c r="S652" s="488"/>
      <c r="T652" s="488"/>
      <c r="U652" s="488"/>
      <c r="V652" s="488"/>
      <c r="W652" s="488"/>
      <c r="X652" s="488"/>
      <c r="Y652" s="488"/>
      <c r="Z652" s="488"/>
      <c r="AA652" s="488"/>
      <c r="AB652" s="488"/>
      <c r="AC652" s="488"/>
      <c r="AD652" s="488"/>
      <c r="AE652" s="488"/>
      <c r="AF652" s="488"/>
      <c r="AG652" s="488"/>
      <c r="AH652" s="488"/>
      <c r="AI652" s="488"/>
      <c r="AJ652" s="488"/>
      <c r="AK652" s="488"/>
      <c r="AL652" s="488"/>
      <c r="AM652" s="488"/>
      <c r="AN652" s="488"/>
      <c r="AO652" s="488"/>
      <c r="AP652" s="488"/>
      <c r="AQ652" s="488"/>
      <c r="AR652" s="488"/>
      <c r="AS652" s="488"/>
      <c r="AT652" s="488"/>
      <c r="AU652" s="488"/>
      <c r="AV652" s="488"/>
      <c r="AW652" s="488"/>
      <c r="AX652" s="488"/>
      <c r="AY652" s="488"/>
      <c r="AZ652" s="488"/>
      <c r="BA652" s="488"/>
      <c r="BB652" s="488"/>
      <c r="BC652" s="488"/>
      <c r="BD652" s="488"/>
    </row>
    <row r="653" spans="3:56">
      <c r="C653" s="488"/>
      <c r="D653" s="488"/>
      <c r="E653" s="488"/>
      <c r="F653" s="488"/>
      <c r="G653" s="488"/>
      <c r="H653" s="488"/>
      <c r="I653" s="488"/>
      <c r="J653" s="488"/>
      <c r="K653" s="488"/>
      <c r="L653" s="488"/>
      <c r="M653" s="488"/>
      <c r="N653" s="488"/>
      <c r="O653" s="488"/>
      <c r="P653" s="488"/>
      <c r="Q653" s="488"/>
      <c r="R653" s="488"/>
      <c r="S653" s="488"/>
      <c r="T653" s="488"/>
      <c r="U653" s="488"/>
      <c r="V653" s="488"/>
      <c r="W653" s="488"/>
      <c r="X653" s="488"/>
      <c r="Y653" s="488"/>
      <c r="Z653" s="488"/>
      <c r="AA653" s="488"/>
      <c r="AB653" s="488"/>
      <c r="AC653" s="488"/>
      <c r="AD653" s="488"/>
      <c r="AE653" s="488"/>
      <c r="AF653" s="488"/>
      <c r="AG653" s="488"/>
      <c r="AH653" s="488"/>
      <c r="AI653" s="488"/>
      <c r="AJ653" s="488"/>
      <c r="AK653" s="488"/>
      <c r="AL653" s="488"/>
      <c r="AM653" s="488"/>
      <c r="AN653" s="488"/>
      <c r="AO653" s="488"/>
      <c r="AP653" s="488"/>
      <c r="AQ653" s="488"/>
      <c r="AR653" s="488"/>
      <c r="AS653" s="488"/>
      <c r="AT653" s="488"/>
      <c r="AU653" s="488"/>
      <c r="AV653" s="488"/>
      <c r="AW653" s="488"/>
      <c r="AX653" s="488"/>
      <c r="AY653" s="488"/>
      <c r="AZ653" s="488"/>
      <c r="BA653" s="488"/>
      <c r="BB653" s="488"/>
      <c r="BC653" s="488"/>
      <c r="BD653" s="488"/>
    </row>
    <row r="654" spans="3:56">
      <c r="C654" s="488"/>
      <c r="D654" s="488"/>
      <c r="E654" s="488"/>
      <c r="F654" s="488"/>
      <c r="G654" s="488"/>
      <c r="H654" s="488"/>
      <c r="I654" s="488"/>
      <c r="J654" s="488"/>
      <c r="K654" s="488"/>
      <c r="L654" s="488"/>
      <c r="M654" s="488"/>
      <c r="N654" s="488"/>
      <c r="O654" s="488"/>
      <c r="P654" s="488"/>
      <c r="Q654" s="488"/>
      <c r="R654" s="488"/>
      <c r="S654" s="488"/>
      <c r="T654" s="488"/>
      <c r="U654" s="488"/>
      <c r="V654" s="488"/>
      <c r="W654" s="488"/>
      <c r="X654" s="488"/>
      <c r="Y654" s="488"/>
      <c r="Z654" s="488"/>
      <c r="AA654" s="488"/>
      <c r="AB654" s="488"/>
      <c r="AC654" s="488"/>
      <c r="AD654" s="488"/>
      <c r="AE654" s="488"/>
      <c r="AF654" s="488"/>
      <c r="AG654" s="488"/>
      <c r="AH654" s="488"/>
      <c r="AI654" s="488"/>
      <c r="AJ654" s="488"/>
      <c r="AK654" s="488"/>
      <c r="AL654" s="488"/>
      <c r="AM654" s="488"/>
      <c r="AN654" s="488"/>
      <c r="AO654" s="488"/>
      <c r="AP654" s="488"/>
      <c r="AQ654" s="488"/>
      <c r="AR654" s="488"/>
      <c r="AS654" s="488"/>
      <c r="AT654" s="488"/>
      <c r="AU654" s="488"/>
      <c r="AV654" s="488"/>
      <c r="AW654" s="488"/>
      <c r="AX654" s="488"/>
      <c r="AY654" s="488"/>
      <c r="AZ654" s="488"/>
      <c r="BA654" s="488"/>
      <c r="BB654" s="488"/>
      <c r="BC654" s="488"/>
      <c r="BD654" s="488"/>
    </row>
    <row r="655" spans="3:56">
      <c r="C655" s="488"/>
      <c r="D655" s="488"/>
      <c r="E655" s="488"/>
      <c r="F655" s="488"/>
      <c r="G655" s="488"/>
      <c r="H655" s="488"/>
      <c r="I655" s="488"/>
      <c r="J655" s="488"/>
      <c r="K655" s="488"/>
      <c r="L655" s="488"/>
      <c r="M655" s="488"/>
      <c r="N655" s="488"/>
      <c r="O655" s="488"/>
      <c r="P655" s="488"/>
      <c r="Q655" s="488"/>
      <c r="R655" s="488"/>
      <c r="S655" s="488"/>
      <c r="T655" s="488"/>
      <c r="U655" s="488"/>
      <c r="V655" s="488"/>
      <c r="W655" s="488"/>
      <c r="X655" s="488"/>
      <c r="Y655" s="488"/>
      <c r="Z655" s="488"/>
      <c r="AA655" s="488"/>
      <c r="AB655" s="488"/>
      <c r="AC655" s="488"/>
      <c r="AD655" s="488"/>
      <c r="AE655" s="488"/>
      <c r="AF655" s="488"/>
      <c r="AG655" s="488"/>
      <c r="AH655" s="488"/>
      <c r="AI655" s="488"/>
      <c r="AJ655" s="488"/>
      <c r="AK655" s="488"/>
      <c r="AL655" s="488"/>
      <c r="AM655" s="488"/>
      <c r="AN655" s="488"/>
      <c r="AO655" s="488"/>
      <c r="AP655" s="488"/>
      <c r="AQ655" s="488"/>
      <c r="AR655" s="488"/>
      <c r="AS655" s="488"/>
      <c r="AT655" s="488"/>
      <c r="AU655" s="488"/>
      <c r="AV655" s="488"/>
      <c r="AW655" s="488"/>
      <c r="AX655" s="488"/>
      <c r="AY655" s="488"/>
      <c r="AZ655" s="488"/>
      <c r="BA655" s="488"/>
      <c r="BB655" s="488"/>
      <c r="BC655" s="488"/>
      <c r="BD655" s="488"/>
    </row>
    <row r="656" spans="3:56">
      <c r="C656" s="488"/>
      <c r="D656" s="488"/>
      <c r="E656" s="488"/>
      <c r="F656" s="488"/>
      <c r="G656" s="488"/>
      <c r="H656" s="488"/>
      <c r="I656" s="488"/>
      <c r="J656" s="488"/>
      <c r="K656" s="488"/>
      <c r="L656" s="488"/>
      <c r="M656" s="488"/>
      <c r="N656" s="488"/>
      <c r="O656" s="488"/>
      <c r="P656" s="488"/>
      <c r="Q656" s="488"/>
      <c r="R656" s="488"/>
      <c r="S656" s="488"/>
      <c r="T656" s="488"/>
      <c r="U656" s="488"/>
      <c r="V656" s="488"/>
      <c r="W656" s="488"/>
      <c r="X656" s="488"/>
      <c r="Y656" s="488"/>
      <c r="Z656" s="488"/>
      <c r="AA656" s="488"/>
      <c r="AB656" s="488"/>
      <c r="AC656" s="488"/>
      <c r="AD656" s="488"/>
      <c r="AE656" s="488"/>
      <c r="AF656" s="488"/>
      <c r="AG656" s="488"/>
      <c r="AH656" s="488"/>
      <c r="AI656" s="488"/>
      <c r="AJ656" s="488"/>
      <c r="AK656" s="488"/>
      <c r="AL656" s="488"/>
      <c r="AM656" s="488"/>
      <c r="AN656" s="488"/>
      <c r="AO656" s="488"/>
      <c r="AP656" s="488"/>
      <c r="AQ656" s="488"/>
      <c r="AR656" s="488"/>
      <c r="AS656" s="488"/>
      <c r="AT656" s="488"/>
      <c r="AU656" s="488"/>
      <c r="AV656" s="488"/>
      <c r="AW656" s="488"/>
      <c r="AX656" s="488"/>
      <c r="AY656" s="488"/>
      <c r="AZ656" s="488"/>
      <c r="BA656" s="488"/>
      <c r="BB656" s="488"/>
      <c r="BC656" s="488"/>
      <c r="BD656" s="488"/>
    </row>
    <row r="657" spans="3:56">
      <c r="C657" s="488"/>
      <c r="D657" s="488"/>
      <c r="E657" s="488"/>
      <c r="F657" s="488"/>
      <c r="G657" s="488"/>
      <c r="H657" s="488"/>
      <c r="I657" s="488"/>
      <c r="J657" s="488"/>
      <c r="K657" s="488"/>
      <c r="L657" s="488"/>
      <c r="M657" s="488"/>
      <c r="N657" s="488"/>
      <c r="O657" s="488"/>
      <c r="P657" s="488"/>
      <c r="Q657" s="488"/>
      <c r="R657" s="488"/>
      <c r="S657" s="488"/>
      <c r="T657" s="488"/>
      <c r="U657" s="488"/>
      <c r="V657" s="488"/>
      <c r="W657" s="488"/>
      <c r="X657" s="488"/>
      <c r="Y657" s="488"/>
      <c r="Z657" s="488"/>
      <c r="AA657" s="488"/>
      <c r="AB657" s="488"/>
      <c r="AC657" s="488"/>
      <c r="AD657" s="488"/>
      <c r="AE657" s="488"/>
      <c r="AF657" s="488"/>
      <c r="AG657" s="488"/>
      <c r="AH657" s="488"/>
      <c r="AI657" s="488"/>
      <c r="AJ657" s="488"/>
      <c r="AK657" s="488"/>
      <c r="AL657" s="488"/>
      <c r="AM657" s="488"/>
      <c r="AN657" s="488"/>
      <c r="AO657" s="488"/>
      <c r="AP657" s="488"/>
      <c r="AQ657" s="488"/>
      <c r="AR657" s="488"/>
      <c r="AS657" s="488"/>
      <c r="AT657" s="488"/>
      <c r="AU657" s="488"/>
      <c r="AV657" s="488"/>
      <c r="AW657" s="488"/>
      <c r="AX657" s="488"/>
      <c r="AY657" s="488"/>
      <c r="AZ657" s="488"/>
      <c r="BA657" s="488"/>
      <c r="BB657" s="488"/>
      <c r="BC657" s="488"/>
      <c r="BD657" s="488"/>
    </row>
    <row r="658" spans="3:56">
      <c r="C658" s="488"/>
      <c r="D658" s="488"/>
      <c r="E658" s="488"/>
      <c r="F658" s="488"/>
      <c r="G658" s="488"/>
      <c r="H658" s="488"/>
      <c r="I658" s="488"/>
      <c r="J658" s="488"/>
      <c r="K658" s="488"/>
      <c r="L658" s="488"/>
      <c r="M658" s="488"/>
      <c r="N658" s="488"/>
      <c r="O658" s="488"/>
      <c r="P658" s="488"/>
      <c r="Q658" s="488"/>
      <c r="R658" s="488"/>
      <c r="S658" s="488"/>
      <c r="T658" s="488"/>
      <c r="U658" s="488"/>
      <c r="V658" s="488"/>
      <c r="W658" s="488"/>
      <c r="X658" s="488"/>
      <c r="Y658" s="488"/>
      <c r="Z658" s="488"/>
      <c r="AA658" s="488"/>
      <c r="AB658" s="488"/>
      <c r="AC658" s="488"/>
      <c r="AD658" s="488"/>
      <c r="AE658" s="488"/>
      <c r="AF658" s="488"/>
      <c r="AG658" s="488"/>
      <c r="AH658" s="488"/>
      <c r="AI658" s="488"/>
      <c r="AJ658" s="488"/>
      <c r="AK658" s="488"/>
      <c r="AL658" s="488"/>
      <c r="AM658" s="488"/>
      <c r="AN658" s="488"/>
      <c r="AO658" s="488"/>
      <c r="AP658" s="488"/>
      <c r="AQ658" s="488"/>
      <c r="AR658" s="488"/>
      <c r="AS658" s="488"/>
      <c r="AT658" s="488"/>
      <c r="AU658" s="488"/>
      <c r="AV658" s="488"/>
      <c r="AW658" s="488"/>
      <c r="AX658" s="488"/>
      <c r="AY658" s="488"/>
      <c r="AZ658" s="488"/>
      <c r="BA658" s="488"/>
      <c r="BB658" s="488"/>
      <c r="BC658" s="488"/>
      <c r="BD658" s="488"/>
    </row>
    <row r="659" spans="3:56">
      <c r="C659" s="488"/>
      <c r="D659" s="488"/>
      <c r="E659" s="488"/>
      <c r="F659" s="488"/>
      <c r="G659" s="488"/>
      <c r="H659" s="488"/>
      <c r="I659" s="488"/>
      <c r="J659" s="488"/>
      <c r="K659" s="488"/>
      <c r="L659" s="488"/>
      <c r="M659" s="488"/>
      <c r="N659" s="488"/>
      <c r="O659" s="488"/>
      <c r="P659" s="488"/>
      <c r="Q659" s="488"/>
      <c r="R659" s="488"/>
      <c r="S659" s="488"/>
      <c r="T659" s="488"/>
      <c r="U659" s="488"/>
      <c r="V659" s="488"/>
      <c r="W659" s="488"/>
      <c r="X659" s="488"/>
      <c r="Y659" s="488"/>
      <c r="Z659" s="488"/>
      <c r="AA659" s="488"/>
      <c r="AB659" s="488"/>
      <c r="AC659" s="488"/>
      <c r="AD659" s="488"/>
      <c r="AE659" s="488"/>
      <c r="AF659" s="488"/>
      <c r="AG659" s="488"/>
      <c r="AH659" s="488"/>
      <c r="AI659" s="488"/>
      <c r="AJ659" s="488"/>
      <c r="AK659" s="488"/>
      <c r="AL659" s="488"/>
      <c r="AM659" s="488"/>
      <c r="AN659" s="488"/>
      <c r="AO659" s="488"/>
      <c r="AP659" s="488"/>
      <c r="AQ659" s="488"/>
      <c r="AR659" s="488"/>
      <c r="AS659" s="488"/>
      <c r="AT659" s="488"/>
      <c r="AU659" s="488"/>
      <c r="AV659" s="488"/>
      <c r="AW659" s="488"/>
      <c r="AX659" s="488"/>
      <c r="AY659" s="488"/>
      <c r="AZ659" s="488"/>
      <c r="BA659" s="488"/>
      <c r="BB659" s="488"/>
      <c r="BC659" s="488"/>
      <c r="BD659" s="488"/>
    </row>
    <row r="660" spans="3:56">
      <c r="C660" s="488"/>
      <c r="D660" s="488"/>
      <c r="E660" s="488"/>
      <c r="F660" s="488"/>
      <c r="G660" s="488"/>
      <c r="H660" s="488"/>
      <c r="I660" s="488"/>
      <c r="J660" s="488"/>
      <c r="K660" s="488"/>
      <c r="L660" s="488"/>
      <c r="M660" s="488"/>
      <c r="N660" s="488"/>
      <c r="O660" s="488"/>
      <c r="P660" s="488"/>
      <c r="Q660" s="488"/>
      <c r="R660" s="488"/>
      <c r="S660" s="488"/>
      <c r="T660" s="488"/>
      <c r="U660" s="488"/>
      <c r="V660" s="488"/>
      <c r="W660" s="488"/>
      <c r="X660" s="488"/>
      <c r="Y660" s="488"/>
      <c r="Z660" s="488"/>
      <c r="AA660" s="488"/>
      <c r="AB660" s="488"/>
      <c r="AC660" s="488"/>
      <c r="AD660" s="488"/>
      <c r="AE660" s="488"/>
      <c r="AF660" s="488"/>
      <c r="AG660" s="488"/>
      <c r="AH660" s="488"/>
      <c r="AI660" s="488"/>
      <c r="AJ660" s="488"/>
      <c r="AK660" s="488"/>
      <c r="AL660" s="488"/>
      <c r="AM660" s="488"/>
      <c r="AN660" s="488"/>
      <c r="AO660" s="488"/>
      <c r="AP660" s="488"/>
      <c r="AQ660" s="488"/>
      <c r="AR660" s="488"/>
      <c r="AS660" s="488"/>
      <c r="AT660" s="488"/>
      <c r="AU660" s="488"/>
      <c r="AV660" s="488"/>
      <c r="AW660" s="488"/>
      <c r="AX660" s="488"/>
      <c r="AY660" s="488"/>
      <c r="AZ660" s="488"/>
      <c r="BA660" s="488"/>
      <c r="BB660" s="488"/>
      <c r="BC660" s="488"/>
      <c r="BD660" s="488"/>
    </row>
    <row r="661" spans="3:56">
      <c r="C661" s="488"/>
      <c r="D661" s="488"/>
      <c r="E661" s="488"/>
      <c r="F661" s="488"/>
      <c r="G661" s="488"/>
      <c r="H661" s="488"/>
      <c r="I661" s="488"/>
      <c r="J661" s="488"/>
      <c r="K661" s="488"/>
      <c r="L661" s="488"/>
      <c r="M661" s="488"/>
      <c r="N661" s="488"/>
      <c r="O661" s="488"/>
      <c r="P661" s="488"/>
      <c r="Q661" s="488"/>
      <c r="R661" s="488"/>
      <c r="S661" s="488"/>
      <c r="T661" s="488"/>
      <c r="U661" s="488"/>
      <c r="V661" s="488"/>
      <c r="W661" s="488"/>
      <c r="X661" s="488"/>
      <c r="Y661" s="488"/>
      <c r="Z661" s="488"/>
      <c r="AA661" s="488"/>
      <c r="AB661" s="488"/>
      <c r="AC661" s="488"/>
      <c r="AD661" s="488"/>
      <c r="AE661" s="488"/>
      <c r="AF661" s="488"/>
      <c r="AG661" s="488"/>
      <c r="AH661" s="488"/>
      <c r="AI661" s="488"/>
      <c r="AJ661" s="488"/>
      <c r="AK661" s="488"/>
      <c r="AL661" s="488"/>
      <c r="AM661" s="488"/>
      <c r="AN661" s="488"/>
      <c r="AO661" s="488"/>
      <c r="AP661" s="488"/>
      <c r="AQ661" s="488"/>
      <c r="AR661" s="488"/>
      <c r="AS661" s="488"/>
      <c r="AT661" s="488"/>
      <c r="AU661" s="488"/>
      <c r="AV661" s="488"/>
      <c r="AW661" s="488"/>
      <c r="AX661" s="488"/>
      <c r="AY661" s="488"/>
      <c r="AZ661" s="488"/>
      <c r="BA661" s="488"/>
      <c r="BB661" s="488"/>
      <c r="BC661" s="488"/>
      <c r="BD661" s="488"/>
    </row>
    <row r="662" spans="3:56">
      <c r="C662" s="488"/>
      <c r="D662" s="488"/>
      <c r="E662" s="488"/>
      <c r="F662" s="488"/>
      <c r="G662" s="488"/>
      <c r="H662" s="488"/>
      <c r="I662" s="488"/>
      <c r="J662" s="488"/>
      <c r="K662" s="488"/>
      <c r="L662" s="488"/>
      <c r="M662" s="488"/>
      <c r="N662" s="488"/>
      <c r="O662" s="488"/>
      <c r="P662" s="488"/>
      <c r="Q662" s="488"/>
      <c r="R662" s="488"/>
      <c r="S662" s="488"/>
      <c r="T662" s="488"/>
      <c r="U662" s="488"/>
      <c r="V662" s="488"/>
      <c r="W662" s="488"/>
      <c r="X662" s="488"/>
      <c r="Y662" s="488"/>
      <c r="Z662" s="488"/>
      <c r="AA662" s="488"/>
      <c r="AB662" s="488"/>
      <c r="AC662" s="488"/>
      <c r="AD662" s="488"/>
      <c r="AE662" s="488"/>
      <c r="AF662" s="488"/>
      <c r="AG662" s="488"/>
      <c r="AH662" s="488"/>
      <c r="AI662" s="488"/>
      <c r="AJ662" s="488"/>
      <c r="AK662" s="488"/>
      <c r="AL662" s="488"/>
      <c r="AM662" s="488"/>
      <c r="AN662" s="488"/>
      <c r="AO662" s="488"/>
      <c r="AP662" s="488"/>
      <c r="AQ662" s="488"/>
      <c r="AR662" s="488"/>
      <c r="AS662" s="488"/>
      <c r="AT662" s="488"/>
      <c r="AU662" s="488"/>
      <c r="AV662" s="488"/>
      <c r="AW662" s="488"/>
      <c r="AX662" s="488"/>
      <c r="AY662" s="488"/>
      <c r="AZ662" s="488"/>
      <c r="BA662" s="488"/>
      <c r="BB662" s="488"/>
      <c r="BC662" s="488"/>
      <c r="BD662" s="488"/>
    </row>
    <row r="663" spans="3:56">
      <c r="C663" s="488"/>
      <c r="D663" s="488"/>
      <c r="E663" s="488"/>
      <c r="F663" s="488"/>
      <c r="G663" s="488"/>
      <c r="H663" s="488"/>
      <c r="I663" s="488"/>
      <c r="J663" s="488"/>
      <c r="K663" s="488"/>
      <c r="L663" s="488"/>
      <c r="M663" s="488"/>
      <c r="N663" s="488"/>
      <c r="O663" s="488"/>
      <c r="P663" s="488"/>
      <c r="Q663" s="488"/>
      <c r="R663" s="488"/>
      <c r="S663" s="488"/>
      <c r="T663" s="488"/>
      <c r="U663" s="488"/>
      <c r="V663" s="488"/>
      <c r="W663" s="488"/>
      <c r="X663" s="488"/>
      <c r="Y663" s="488"/>
      <c r="Z663" s="488"/>
      <c r="AA663" s="488"/>
      <c r="AB663" s="488"/>
      <c r="AC663" s="488"/>
      <c r="AD663" s="488"/>
      <c r="AE663" s="488"/>
      <c r="AF663" s="488"/>
      <c r="AG663" s="488"/>
      <c r="AH663" s="488"/>
      <c r="AI663" s="488"/>
      <c r="AJ663" s="488"/>
      <c r="AK663" s="488"/>
      <c r="AL663" s="488"/>
      <c r="AM663" s="488"/>
      <c r="AN663" s="488"/>
      <c r="AO663" s="488"/>
      <c r="AP663" s="488"/>
      <c r="AQ663" s="488"/>
      <c r="AR663" s="488"/>
      <c r="AS663" s="488"/>
      <c r="AT663" s="488"/>
      <c r="AU663" s="488"/>
      <c r="AV663" s="488"/>
      <c r="AW663" s="488"/>
      <c r="AX663" s="488"/>
      <c r="AY663" s="488"/>
      <c r="AZ663" s="488"/>
      <c r="BA663" s="488"/>
      <c r="BB663" s="488"/>
      <c r="BC663" s="488"/>
      <c r="BD663" s="488"/>
    </row>
    <row r="664" spans="3:56">
      <c r="C664" s="488"/>
      <c r="D664" s="488"/>
      <c r="E664" s="488"/>
      <c r="F664" s="488"/>
      <c r="G664" s="488"/>
      <c r="H664" s="488"/>
      <c r="I664" s="488"/>
      <c r="J664" s="488"/>
      <c r="K664" s="488"/>
      <c r="L664" s="488"/>
      <c r="M664" s="488"/>
      <c r="N664" s="488"/>
      <c r="O664" s="488"/>
      <c r="P664" s="488"/>
      <c r="Q664" s="488"/>
      <c r="R664" s="488"/>
      <c r="S664" s="488"/>
      <c r="T664" s="488"/>
      <c r="U664" s="488"/>
      <c r="V664" s="488"/>
      <c r="W664" s="488"/>
      <c r="X664" s="488"/>
      <c r="Y664" s="488"/>
      <c r="Z664" s="488"/>
      <c r="AA664" s="488"/>
      <c r="AB664" s="488"/>
      <c r="AC664" s="488"/>
      <c r="AD664" s="488"/>
      <c r="AE664" s="488"/>
      <c r="AF664" s="488"/>
      <c r="AG664" s="488"/>
      <c r="AH664" s="488"/>
      <c r="AI664" s="488"/>
      <c r="AJ664" s="488"/>
      <c r="AK664" s="488"/>
      <c r="AL664" s="488"/>
      <c r="AM664" s="488"/>
      <c r="AN664" s="488"/>
      <c r="AO664" s="488"/>
      <c r="AP664" s="488"/>
      <c r="AQ664" s="488"/>
      <c r="AR664" s="488"/>
      <c r="AS664" s="488"/>
      <c r="AT664" s="488"/>
      <c r="AU664" s="488"/>
      <c r="AV664" s="488"/>
      <c r="AW664" s="488"/>
      <c r="AX664" s="488"/>
      <c r="AY664" s="488"/>
      <c r="AZ664" s="488"/>
      <c r="BA664" s="488"/>
      <c r="BB664" s="488"/>
      <c r="BC664" s="488"/>
      <c r="BD664" s="488"/>
    </row>
    <row r="665" spans="3:56">
      <c r="C665" s="488"/>
      <c r="D665" s="488"/>
      <c r="E665" s="488"/>
      <c r="F665" s="488"/>
      <c r="G665" s="488"/>
      <c r="H665" s="488"/>
      <c r="I665" s="488"/>
      <c r="J665" s="488"/>
      <c r="K665" s="488"/>
      <c r="L665" s="488"/>
      <c r="M665" s="488"/>
      <c r="N665" s="488"/>
      <c r="O665" s="488"/>
      <c r="P665" s="488"/>
      <c r="Q665" s="488"/>
      <c r="R665" s="488"/>
      <c r="S665" s="488"/>
      <c r="T665" s="488"/>
      <c r="U665" s="488"/>
      <c r="V665" s="488"/>
      <c r="W665" s="488"/>
      <c r="X665" s="488"/>
      <c r="Y665" s="488"/>
      <c r="Z665" s="488"/>
      <c r="AA665" s="488"/>
      <c r="AB665" s="488"/>
      <c r="AC665" s="488"/>
      <c r="AD665" s="488"/>
      <c r="AE665" s="488"/>
      <c r="AF665" s="488"/>
      <c r="AG665" s="488"/>
      <c r="AH665" s="488"/>
      <c r="AI665" s="488"/>
      <c r="AJ665" s="488"/>
      <c r="AK665" s="488"/>
      <c r="AL665" s="488"/>
      <c r="AM665" s="488"/>
      <c r="AN665" s="488"/>
      <c r="AO665" s="488"/>
      <c r="AP665" s="488"/>
      <c r="AQ665" s="488"/>
      <c r="AR665" s="488"/>
      <c r="AS665" s="488"/>
      <c r="AT665" s="488"/>
      <c r="AU665" s="488"/>
      <c r="AV665" s="488"/>
      <c r="AW665" s="488"/>
      <c r="AX665" s="488"/>
      <c r="AY665" s="488"/>
      <c r="AZ665" s="488"/>
      <c r="BA665" s="488"/>
      <c r="BB665" s="488"/>
      <c r="BC665" s="488"/>
      <c r="BD665" s="488"/>
    </row>
    <row r="666" spans="3:56">
      <c r="C666" s="488"/>
      <c r="D666" s="488"/>
      <c r="E666" s="488"/>
      <c r="F666" s="488"/>
      <c r="G666" s="488"/>
      <c r="H666" s="488"/>
      <c r="I666" s="488"/>
      <c r="J666" s="488"/>
      <c r="K666" s="488"/>
      <c r="L666" s="488"/>
      <c r="M666" s="488"/>
      <c r="N666" s="488"/>
      <c r="O666" s="488"/>
      <c r="P666" s="488"/>
      <c r="Q666" s="488"/>
      <c r="R666" s="488"/>
      <c r="S666" s="488"/>
      <c r="T666" s="488"/>
      <c r="U666" s="488"/>
      <c r="V666" s="488"/>
      <c r="W666" s="488"/>
      <c r="X666" s="488"/>
      <c r="Y666" s="488"/>
      <c r="Z666" s="488"/>
      <c r="AA666" s="488"/>
      <c r="AB666" s="488"/>
      <c r="AC666" s="488"/>
      <c r="AD666" s="488"/>
      <c r="AE666" s="488"/>
      <c r="AF666" s="488"/>
      <c r="AG666" s="488"/>
      <c r="AH666" s="488"/>
      <c r="AI666" s="488"/>
      <c r="AJ666" s="488"/>
      <c r="AK666" s="488"/>
      <c r="AL666" s="488"/>
      <c r="AM666" s="488"/>
      <c r="AN666" s="488"/>
      <c r="AO666" s="488"/>
      <c r="AP666" s="488"/>
      <c r="AQ666" s="488"/>
      <c r="AR666" s="488"/>
      <c r="AS666" s="488"/>
      <c r="AT666" s="488"/>
      <c r="AU666" s="488"/>
      <c r="AV666" s="488"/>
      <c r="AW666" s="488"/>
      <c r="AX666" s="488"/>
      <c r="AY666" s="488"/>
      <c r="AZ666" s="488"/>
      <c r="BA666" s="488"/>
      <c r="BB666" s="488"/>
      <c r="BC666" s="488"/>
      <c r="BD666" s="488"/>
    </row>
    <row r="667" spans="3:56">
      <c r="C667" s="488"/>
      <c r="D667" s="488"/>
      <c r="E667" s="488"/>
      <c r="F667" s="488"/>
      <c r="G667" s="488"/>
      <c r="H667" s="488"/>
      <c r="I667" s="488"/>
      <c r="J667" s="488"/>
      <c r="K667" s="488"/>
      <c r="L667" s="488"/>
      <c r="M667" s="488"/>
      <c r="N667" s="488"/>
      <c r="O667" s="488"/>
      <c r="P667" s="488"/>
      <c r="Q667" s="488"/>
      <c r="R667" s="488"/>
      <c r="S667" s="488"/>
      <c r="T667" s="488"/>
      <c r="U667" s="488"/>
      <c r="V667" s="488"/>
      <c r="W667" s="488"/>
      <c r="X667" s="488"/>
      <c r="Y667" s="488"/>
      <c r="Z667" s="488"/>
      <c r="AA667" s="488"/>
      <c r="AB667" s="488"/>
      <c r="AC667" s="488"/>
      <c r="AD667" s="488"/>
      <c r="AE667" s="488"/>
      <c r="AF667" s="488"/>
      <c r="AG667" s="488"/>
      <c r="AH667" s="488"/>
      <c r="AI667" s="488"/>
      <c r="AJ667" s="488"/>
      <c r="AK667" s="488"/>
      <c r="AL667" s="488"/>
      <c r="AM667" s="488"/>
      <c r="AN667" s="488"/>
      <c r="AO667" s="488"/>
      <c r="AP667" s="488"/>
      <c r="AQ667" s="488"/>
      <c r="AR667" s="488"/>
      <c r="AS667" s="488"/>
      <c r="AT667" s="488"/>
      <c r="AU667" s="488"/>
      <c r="AV667" s="488"/>
      <c r="AW667" s="488"/>
      <c r="AX667" s="488"/>
      <c r="AY667" s="488"/>
      <c r="AZ667" s="488"/>
      <c r="BA667" s="488"/>
      <c r="BB667" s="488"/>
      <c r="BC667" s="488"/>
      <c r="BD667" s="488"/>
    </row>
    <row r="668" spans="3:56">
      <c r="C668" s="488"/>
      <c r="D668" s="488"/>
      <c r="E668" s="488"/>
      <c r="F668" s="488"/>
      <c r="G668" s="488"/>
      <c r="H668" s="488"/>
      <c r="I668" s="488"/>
      <c r="J668" s="488"/>
      <c r="K668" s="488"/>
      <c r="L668" s="488"/>
      <c r="M668" s="488"/>
      <c r="N668" s="488"/>
      <c r="O668" s="488"/>
      <c r="P668" s="488"/>
      <c r="Q668" s="488"/>
      <c r="R668" s="488"/>
      <c r="S668" s="488"/>
      <c r="T668" s="488"/>
      <c r="U668" s="488"/>
      <c r="V668" s="488"/>
      <c r="W668" s="488"/>
      <c r="X668" s="488"/>
      <c r="Y668" s="488"/>
      <c r="Z668" s="488"/>
      <c r="AA668" s="488"/>
      <c r="AB668" s="488"/>
      <c r="AC668" s="488"/>
      <c r="AD668" s="488"/>
      <c r="AE668" s="488"/>
      <c r="AF668" s="488"/>
      <c r="AG668" s="488"/>
      <c r="AH668" s="488"/>
      <c r="AI668" s="488"/>
      <c r="AJ668" s="488"/>
      <c r="AK668" s="488"/>
      <c r="AL668" s="488"/>
      <c r="AM668" s="488"/>
      <c r="AN668" s="488"/>
      <c r="AO668" s="488"/>
      <c r="AP668" s="488"/>
      <c r="AQ668" s="488"/>
      <c r="AR668" s="488"/>
      <c r="AS668" s="488"/>
      <c r="AT668" s="488"/>
      <c r="AU668" s="488"/>
      <c r="AV668" s="488"/>
      <c r="AW668" s="488"/>
      <c r="AX668" s="488"/>
      <c r="AY668" s="488"/>
      <c r="AZ668" s="488"/>
      <c r="BA668" s="488"/>
      <c r="BB668" s="488"/>
      <c r="BC668" s="488"/>
      <c r="BD668" s="488"/>
    </row>
    <row r="669" spans="3:56">
      <c r="C669" s="488"/>
      <c r="D669" s="488"/>
      <c r="E669" s="488"/>
      <c r="F669" s="488"/>
      <c r="G669" s="488"/>
      <c r="H669" s="488"/>
      <c r="I669" s="488"/>
      <c r="J669" s="488"/>
      <c r="K669" s="488"/>
      <c r="L669" s="488"/>
      <c r="M669" s="488"/>
      <c r="N669" s="488"/>
      <c r="O669" s="488"/>
      <c r="P669" s="488"/>
      <c r="Q669" s="488"/>
      <c r="R669" s="488"/>
      <c r="S669" s="488"/>
      <c r="T669" s="488"/>
      <c r="U669" s="488"/>
      <c r="V669" s="488"/>
      <c r="W669" s="488"/>
      <c r="X669" s="488"/>
      <c r="Y669" s="488"/>
      <c r="Z669" s="488"/>
      <c r="AA669" s="488"/>
      <c r="AB669" s="488"/>
      <c r="AC669" s="488"/>
      <c r="AD669" s="488"/>
      <c r="AE669" s="488"/>
      <c r="AF669" s="488"/>
      <c r="AG669" s="488"/>
      <c r="AH669" s="488"/>
      <c r="AI669" s="488"/>
      <c r="AJ669" s="488"/>
      <c r="AK669" s="488"/>
      <c r="AL669" s="488"/>
      <c r="AM669" s="488"/>
      <c r="AN669" s="488"/>
      <c r="AO669" s="488"/>
      <c r="AP669" s="488"/>
      <c r="AQ669" s="488"/>
      <c r="AR669" s="488"/>
      <c r="AS669" s="488"/>
      <c r="AT669" s="488"/>
      <c r="AU669" s="488"/>
      <c r="AV669" s="488"/>
      <c r="AW669" s="488"/>
      <c r="AX669" s="488"/>
      <c r="AY669" s="488"/>
      <c r="AZ669" s="488"/>
      <c r="BA669" s="488"/>
      <c r="BB669" s="488"/>
      <c r="BC669" s="488"/>
      <c r="BD669" s="488"/>
    </row>
    <row r="670" spans="3:56">
      <c r="C670" s="488"/>
      <c r="D670" s="488"/>
      <c r="E670" s="488"/>
      <c r="F670" s="488"/>
      <c r="G670" s="488"/>
      <c r="H670" s="488"/>
      <c r="I670" s="488"/>
      <c r="J670" s="488"/>
      <c r="K670" s="488"/>
      <c r="L670" s="488"/>
      <c r="M670" s="488"/>
      <c r="N670" s="488"/>
      <c r="O670" s="488"/>
      <c r="P670" s="488"/>
      <c r="Q670" s="488"/>
      <c r="R670" s="488"/>
      <c r="S670" s="488"/>
      <c r="T670" s="488"/>
      <c r="U670" s="488"/>
      <c r="V670" s="488"/>
      <c r="W670" s="488"/>
      <c r="X670" s="488"/>
      <c r="Y670" s="488"/>
      <c r="Z670" s="488"/>
      <c r="AA670" s="488"/>
      <c r="AB670" s="488"/>
      <c r="AC670" s="488"/>
      <c r="AD670" s="488"/>
      <c r="AE670" s="488"/>
      <c r="AF670" s="488"/>
      <c r="AG670" s="488"/>
      <c r="AH670" s="488"/>
      <c r="AI670" s="488"/>
      <c r="AJ670" s="488"/>
      <c r="AK670" s="488"/>
      <c r="AL670" s="488"/>
      <c r="AM670" s="488"/>
      <c r="AN670" s="488"/>
      <c r="AO670" s="488"/>
      <c r="AP670" s="488"/>
      <c r="AQ670" s="488"/>
      <c r="AR670" s="488"/>
      <c r="AS670" s="488"/>
      <c r="AT670" s="488"/>
      <c r="AU670" s="488"/>
      <c r="AV670" s="488"/>
      <c r="AW670" s="488"/>
      <c r="AX670" s="488"/>
      <c r="AY670" s="488"/>
      <c r="AZ670" s="488"/>
      <c r="BA670" s="488"/>
      <c r="BB670" s="488"/>
      <c r="BC670" s="488"/>
      <c r="BD670" s="488"/>
    </row>
    <row r="671" spans="3:56">
      <c r="C671" s="488"/>
      <c r="D671" s="488"/>
      <c r="E671" s="488"/>
      <c r="F671" s="488"/>
      <c r="G671" s="488"/>
      <c r="H671" s="488"/>
      <c r="I671" s="488"/>
      <c r="J671" s="488"/>
      <c r="K671" s="488"/>
      <c r="L671" s="488"/>
      <c r="M671" s="488"/>
      <c r="N671" s="488"/>
      <c r="O671" s="488"/>
      <c r="P671" s="488"/>
      <c r="Q671" s="488"/>
      <c r="R671" s="488"/>
      <c r="S671" s="488"/>
      <c r="T671" s="488"/>
      <c r="U671" s="488"/>
      <c r="V671" s="488"/>
      <c r="W671" s="488"/>
      <c r="X671" s="488"/>
      <c r="Y671" s="488"/>
      <c r="Z671" s="488"/>
      <c r="AA671" s="488"/>
      <c r="AB671" s="488"/>
      <c r="AC671" s="488"/>
      <c r="AD671" s="488"/>
      <c r="AE671" s="488"/>
      <c r="AF671" s="488"/>
      <c r="AG671" s="488"/>
      <c r="AH671" s="488"/>
      <c r="AI671" s="488"/>
      <c r="AJ671" s="488"/>
      <c r="AK671" s="488"/>
      <c r="AL671" s="488"/>
      <c r="AM671" s="488"/>
      <c r="AN671" s="488"/>
      <c r="AO671" s="488"/>
      <c r="AP671" s="488"/>
      <c r="AQ671" s="488"/>
      <c r="AR671" s="488"/>
      <c r="AS671" s="488"/>
      <c r="AT671" s="488"/>
      <c r="AU671" s="488"/>
      <c r="AV671" s="488"/>
      <c r="AW671" s="488"/>
      <c r="AX671" s="488"/>
      <c r="AY671" s="488"/>
      <c r="AZ671" s="488"/>
      <c r="BA671" s="488"/>
      <c r="BB671" s="488"/>
      <c r="BC671" s="488"/>
      <c r="BD671" s="488"/>
    </row>
    <row r="672" spans="3:56">
      <c r="C672" s="488"/>
      <c r="D672" s="488"/>
      <c r="E672" s="488"/>
      <c r="F672" s="488"/>
      <c r="G672" s="488"/>
      <c r="H672" s="488"/>
      <c r="I672" s="488"/>
      <c r="J672" s="488"/>
      <c r="K672" s="488"/>
      <c r="L672" s="488"/>
      <c r="M672" s="488"/>
      <c r="N672" s="488"/>
      <c r="O672" s="488"/>
      <c r="P672" s="488"/>
      <c r="Q672" s="488"/>
      <c r="R672" s="488"/>
      <c r="S672" s="488"/>
      <c r="T672" s="488"/>
      <c r="U672" s="488"/>
      <c r="V672" s="488"/>
      <c r="W672" s="488"/>
      <c r="X672" s="488"/>
      <c r="Y672" s="488"/>
      <c r="Z672" s="488"/>
      <c r="AA672" s="488"/>
      <c r="AB672" s="488"/>
      <c r="AC672" s="488"/>
      <c r="AD672" s="488"/>
      <c r="AE672" s="488"/>
      <c r="AF672" s="488"/>
      <c r="AG672" s="488"/>
      <c r="AH672" s="488"/>
      <c r="AI672" s="488"/>
      <c r="AJ672" s="488"/>
      <c r="AK672" s="488"/>
      <c r="AL672" s="488"/>
      <c r="AM672" s="488"/>
      <c r="AN672" s="488"/>
      <c r="AO672" s="488"/>
      <c r="AP672" s="488"/>
      <c r="AQ672" s="488"/>
      <c r="AR672" s="488"/>
      <c r="AS672" s="488"/>
      <c r="AT672" s="488"/>
      <c r="AU672" s="488"/>
      <c r="AV672" s="488"/>
      <c r="AW672" s="488"/>
      <c r="AX672" s="488"/>
      <c r="AY672" s="488"/>
      <c r="AZ672" s="488"/>
      <c r="BA672" s="488"/>
      <c r="BB672" s="488"/>
      <c r="BC672" s="488"/>
      <c r="BD672" s="488"/>
    </row>
    <row r="673" spans="3:56">
      <c r="C673" s="488"/>
      <c r="D673" s="488"/>
      <c r="E673" s="488"/>
      <c r="F673" s="488"/>
      <c r="G673" s="488"/>
      <c r="H673" s="488"/>
      <c r="I673" s="488"/>
      <c r="J673" s="488"/>
      <c r="K673" s="488"/>
      <c r="L673" s="488"/>
      <c r="M673" s="488"/>
      <c r="N673" s="488"/>
      <c r="O673" s="488"/>
      <c r="P673" s="488"/>
      <c r="Q673" s="488"/>
      <c r="R673" s="488"/>
      <c r="S673" s="488"/>
      <c r="T673" s="488"/>
      <c r="U673" s="488"/>
      <c r="V673" s="488"/>
      <c r="W673" s="488"/>
      <c r="X673" s="488"/>
      <c r="Y673" s="488"/>
      <c r="Z673" s="488"/>
      <c r="AA673" s="488"/>
      <c r="AB673" s="488"/>
      <c r="AC673" s="488"/>
      <c r="AD673" s="488"/>
      <c r="AE673" s="488"/>
      <c r="AF673" s="488"/>
      <c r="AG673" s="488"/>
      <c r="AH673" s="488"/>
      <c r="AI673" s="488"/>
      <c r="AJ673" s="488"/>
      <c r="AK673" s="488"/>
      <c r="AL673" s="488"/>
      <c r="AM673" s="488"/>
      <c r="AN673" s="488"/>
      <c r="AO673" s="488"/>
      <c r="AP673" s="488"/>
      <c r="AQ673" s="488"/>
      <c r="AR673" s="488"/>
      <c r="AS673" s="488"/>
      <c r="AT673" s="488"/>
      <c r="AU673" s="488"/>
      <c r="AV673" s="488"/>
      <c r="AW673" s="488"/>
      <c r="AX673" s="488"/>
      <c r="AY673" s="488"/>
      <c r="AZ673" s="488"/>
      <c r="BA673" s="488"/>
      <c r="BB673" s="488"/>
      <c r="BC673" s="488"/>
      <c r="BD673" s="488"/>
    </row>
    <row r="674" spans="3:56">
      <c r="C674" s="488"/>
      <c r="D674" s="488"/>
      <c r="E674" s="488"/>
      <c r="F674" s="488"/>
      <c r="G674" s="488"/>
      <c r="H674" s="488"/>
      <c r="I674" s="488"/>
      <c r="J674" s="488"/>
      <c r="K674" s="488"/>
      <c r="L674" s="488"/>
      <c r="M674" s="488"/>
      <c r="N674" s="488"/>
      <c r="O674" s="488"/>
      <c r="P674" s="488"/>
      <c r="Q674" s="488"/>
      <c r="R674" s="488"/>
      <c r="S674" s="488"/>
      <c r="T674" s="488"/>
      <c r="U674" s="488"/>
      <c r="V674" s="488"/>
      <c r="W674" s="488"/>
      <c r="X674" s="488"/>
      <c r="Y674" s="488"/>
      <c r="Z674" s="488"/>
      <c r="AA674" s="488"/>
      <c r="AB674" s="488"/>
      <c r="AC674" s="488"/>
      <c r="AD674" s="488"/>
      <c r="AE674" s="488"/>
      <c r="AF674" s="488"/>
      <c r="AG674" s="488"/>
      <c r="AH674" s="488"/>
      <c r="AI674" s="488"/>
      <c r="AJ674" s="488"/>
      <c r="AK674" s="488"/>
      <c r="AL674" s="488"/>
      <c r="AM674" s="488"/>
      <c r="AN674" s="488"/>
      <c r="AO674" s="488"/>
      <c r="AP674" s="488"/>
      <c r="AQ674" s="488"/>
      <c r="AR674" s="488"/>
      <c r="AS674" s="488"/>
      <c r="AT674" s="488"/>
      <c r="AU674" s="488"/>
      <c r="AV674" s="488"/>
      <c r="AW674" s="488"/>
      <c r="AX674" s="488"/>
      <c r="AY674" s="488"/>
      <c r="AZ674" s="488"/>
      <c r="BA674" s="488"/>
      <c r="BB674" s="488"/>
      <c r="BC674" s="488"/>
      <c r="BD674" s="488"/>
    </row>
    <row r="675" spans="3:56">
      <c r="C675" s="488"/>
      <c r="D675" s="488"/>
      <c r="E675" s="488"/>
      <c r="F675" s="488"/>
      <c r="G675" s="488"/>
      <c r="H675" s="488"/>
      <c r="I675" s="488"/>
      <c r="J675" s="488"/>
      <c r="K675" s="488"/>
      <c r="L675" s="488"/>
      <c r="M675" s="488"/>
      <c r="N675" s="488"/>
      <c r="O675" s="488"/>
      <c r="P675" s="488"/>
      <c r="Q675" s="488"/>
      <c r="R675" s="488"/>
      <c r="S675" s="488"/>
      <c r="T675" s="488"/>
      <c r="U675" s="488"/>
      <c r="V675" s="488"/>
      <c r="W675" s="488"/>
      <c r="X675" s="488"/>
      <c r="Y675" s="488"/>
      <c r="Z675" s="488"/>
      <c r="AA675" s="488"/>
      <c r="AB675" s="488"/>
      <c r="AC675" s="488"/>
      <c r="AD675" s="488"/>
      <c r="AE675" s="488"/>
      <c r="AF675" s="488"/>
      <c r="AG675" s="488"/>
      <c r="AH675" s="488"/>
      <c r="AI675" s="488"/>
      <c r="AJ675" s="488"/>
      <c r="AK675" s="488"/>
      <c r="AL675" s="488"/>
      <c r="AM675" s="488"/>
      <c r="AN675" s="488"/>
      <c r="AO675" s="488"/>
      <c r="AP675" s="488"/>
      <c r="AQ675" s="488"/>
      <c r="AR675" s="488"/>
      <c r="AS675" s="488"/>
      <c r="AT675" s="488"/>
      <c r="AU675" s="488"/>
      <c r="AV675" s="488"/>
      <c r="AW675" s="488"/>
      <c r="AX675" s="488"/>
      <c r="AY675" s="488"/>
      <c r="AZ675" s="488"/>
      <c r="BA675" s="488"/>
      <c r="BB675" s="488"/>
      <c r="BC675" s="488"/>
      <c r="BD675" s="488"/>
    </row>
    <row r="676" spans="3:56">
      <c r="C676" s="488"/>
      <c r="D676" s="488"/>
      <c r="E676" s="488"/>
      <c r="F676" s="488"/>
      <c r="G676" s="488"/>
      <c r="H676" s="488"/>
      <c r="I676" s="488"/>
      <c r="J676" s="488"/>
      <c r="K676" s="488"/>
      <c r="L676" s="488"/>
      <c r="M676" s="488"/>
      <c r="N676" s="488"/>
      <c r="O676" s="488"/>
      <c r="P676" s="488"/>
      <c r="Q676" s="488"/>
      <c r="R676" s="488"/>
      <c r="S676" s="488"/>
      <c r="T676" s="488"/>
      <c r="U676" s="488"/>
      <c r="V676" s="488"/>
      <c r="W676" s="488"/>
      <c r="X676" s="488"/>
      <c r="Y676" s="488"/>
      <c r="Z676" s="488"/>
      <c r="AA676" s="488"/>
      <c r="AB676" s="488"/>
      <c r="AC676" s="488"/>
      <c r="AD676" s="488"/>
      <c r="AE676" s="488"/>
      <c r="AF676" s="488"/>
      <c r="AG676" s="488"/>
      <c r="AH676" s="488"/>
      <c r="AI676" s="488"/>
      <c r="AJ676" s="488"/>
      <c r="AK676" s="488"/>
      <c r="AL676" s="488"/>
      <c r="AM676" s="488"/>
      <c r="AN676" s="488"/>
      <c r="AO676" s="488"/>
      <c r="AP676" s="488"/>
      <c r="AQ676" s="488"/>
      <c r="AR676" s="488"/>
      <c r="AS676" s="488"/>
      <c r="AT676" s="488"/>
      <c r="AU676" s="488"/>
      <c r="AV676" s="488"/>
      <c r="AW676" s="488"/>
      <c r="AX676" s="488"/>
      <c r="AY676" s="488"/>
      <c r="AZ676" s="488"/>
      <c r="BA676" s="488"/>
      <c r="BB676" s="488"/>
      <c r="BC676" s="488"/>
      <c r="BD676" s="488"/>
    </row>
    <row r="677" spans="3:56">
      <c r="C677" s="488"/>
      <c r="D677" s="488"/>
      <c r="E677" s="488"/>
      <c r="F677" s="488"/>
      <c r="G677" s="488"/>
      <c r="H677" s="488"/>
      <c r="I677" s="488"/>
      <c r="J677" s="488"/>
      <c r="K677" s="488"/>
      <c r="L677" s="488"/>
      <c r="M677" s="488"/>
      <c r="N677" s="488"/>
      <c r="O677" s="488"/>
      <c r="P677" s="488"/>
      <c r="Q677" s="488"/>
      <c r="R677" s="488"/>
      <c r="S677" s="488"/>
      <c r="T677" s="488"/>
      <c r="U677" s="488"/>
      <c r="V677" s="488"/>
      <c r="W677" s="488"/>
      <c r="X677" s="488"/>
      <c r="Y677" s="488"/>
      <c r="Z677" s="488"/>
      <c r="AA677" s="488"/>
      <c r="AB677" s="488"/>
      <c r="AC677" s="488"/>
      <c r="AD677" s="488"/>
      <c r="AE677" s="488"/>
      <c r="AF677" s="488"/>
      <c r="AG677" s="488"/>
      <c r="AH677" s="488"/>
      <c r="AI677" s="488"/>
      <c r="AJ677" s="488"/>
      <c r="AK677" s="488"/>
      <c r="AL677" s="488"/>
      <c r="AM677" s="488"/>
      <c r="AN677" s="488"/>
      <c r="AO677" s="488"/>
      <c r="AP677" s="488"/>
      <c r="AQ677" s="488"/>
      <c r="AR677" s="488"/>
      <c r="AS677" s="488"/>
      <c r="AT677" s="488"/>
      <c r="AU677" s="488"/>
      <c r="AV677" s="488"/>
      <c r="AW677" s="488"/>
      <c r="AX677" s="488"/>
      <c r="AY677" s="488"/>
      <c r="AZ677" s="488"/>
      <c r="BA677" s="488"/>
      <c r="BB677" s="488"/>
      <c r="BC677" s="488"/>
      <c r="BD677" s="488"/>
    </row>
    <row r="678" spans="3:56">
      <c r="C678" s="488"/>
      <c r="D678" s="488"/>
      <c r="E678" s="488"/>
      <c r="F678" s="488"/>
      <c r="G678" s="488"/>
      <c r="H678" s="488"/>
      <c r="I678" s="488"/>
      <c r="J678" s="488"/>
      <c r="K678" s="488"/>
      <c r="L678" s="488"/>
      <c r="M678" s="488"/>
      <c r="N678" s="488"/>
      <c r="O678" s="488"/>
      <c r="P678" s="488"/>
      <c r="Q678" s="488"/>
      <c r="R678" s="488"/>
      <c r="S678" s="488"/>
      <c r="T678" s="488"/>
      <c r="U678" s="488"/>
      <c r="V678" s="488"/>
      <c r="W678" s="488"/>
      <c r="X678" s="488"/>
      <c r="Y678" s="488"/>
      <c r="Z678" s="488"/>
      <c r="AA678" s="488"/>
      <c r="AB678" s="488"/>
      <c r="AC678" s="488"/>
      <c r="AD678" s="488"/>
      <c r="AE678" s="488"/>
      <c r="AF678" s="488"/>
      <c r="AG678" s="488"/>
      <c r="AH678" s="488"/>
      <c r="AI678" s="488"/>
      <c r="AJ678" s="488"/>
      <c r="AK678" s="488"/>
      <c r="AL678" s="488"/>
      <c r="AM678" s="488"/>
      <c r="AN678" s="488"/>
      <c r="AO678" s="488"/>
      <c r="AP678" s="488"/>
      <c r="AQ678" s="488"/>
      <c r="AR678" s="488"/>
      <c r="AS678" s="488"/>
      <c r="AT678" s="488"/>
      <c r="AU678" s="488"/>
      <c r="AV678" s="488"/>
      <c r="AW678" s="488"/>
      <c r="AX678" s="488"/>
      <c r="AY678" s="488"/>
      <c r="AZ678" s="488"/>
      <c r="BA678" s="488"/>
      <c r="BB678" s="488"/>
      <c r="BC678" s="488"/>
      <c r="BD678" s="488"/>
    </row>
    <row r="679" spans="3:56">
      <c r="C679" s="488"/>
      <c r="D679" s="488"/>
      <c r="E679" s="488"/>
      <c r="F679" s="488"/>
      <c r="G679" s="488"/>
      <c r="H679" s="488"/>
      <c r="I679" s="488"/>
      <c r="J679" s="488"/>
      <c r="K679" s="488"/>
      <c r="L679" s="488"/>
      <c r="M679" s="488"/>
      <c r="N679" s="488"/>
      <c r="O679" s="488"/>
      <c r="P679" s="488"/>
      <c r="Q679" s="488"/>
      <c r="R679" s="488"/>
      <c r="S679" s="488"/>
      <c r="T679" s="488"/>
      <c r="U679" s="488"/>
      <c r="V679" s="488"/>
      <c r="W679" s="488"/>
      <c r="X679" s="488"/>
      <c r="Y679" s="488"/>
      <c r="Z679" s="488"/>
      <c r="AA679" s="488"/>
      <c r="AB679" s="488"/>
      <c r="AC679" s="488"/>
      <c r="AD679" s="488"/>
      <c r="AE679" s="488"/>
      <c r="AF679" s="488"/>
      <c r="AG679" s="488"/>
      <c r="AH679" s="488"/>
      <c r="AI679" s="488"/>
      <c r="AJ679" s="488"/>
      <c r="AK679" s="488"/>
      <c r="AL679" s="488"/>
      <c r="AM679" s="488"/>
      <c r="AN679" s="488"/>
      <c r="AO679" s="488"/>
      <c r="AP679" s="488"/>
      <c r="AQ679" s="488"/>
      <c r="AR679" s="488"/>
      <c r="AS679" s="488"/>
      <c r="AT679" s="488"/>
      <c r="AU679" s="488"/>
      <c r="AV679" s="488"/>
      <c r="AW679" s="488"/>
      <c r="AX679" s="488"/>
      <c r="AY679" s="488"/>
      <c r="AZ679" s="488"/>
      <c r="BA679" s="488"/>
      <c r="BB679" s="488"/>
      <c r="BC679" s="488"/>
      <c r="BD679" s="488"/>
    </row>
    <row r="680" spans="3:56">
      <c r="C680" s="488"/>
      <c r="D680" s="488"/>
      <c r="E680" s="488"/>
      <c r="F680" s="488"/>
      <c r="G680" s="488"/>
      <c r="H680" s="488"/>
      <c r="I680" s="488"/>
      <c r="J680" s="488"/>
      <c r="K680" s="488"/>
      <c r="L680" s="488"/>
      <c r="M680" s="488"/>
      <c r="N680" s="488"/>
      <c r="O680" s="488"/>
      <c r="P680" s="488"/>
      <c r="Q680" s="488"/>
      <c r="R680" s="488"/>
      <c r="S680" s="488"/>
      <c r="T680" s="488"/>
      <c r="U680" s="488"/>
      <c r="V680" s="488"/>
      <c r="W680" s="488"/>
      <c r="X680" s="488"/>
      <c r="Y680" s="488"/>
      <c r="Z680" s="488"/>
      <c r="AA680" s="488"/>
      <c r="AB680" s="488"/>
      <c r="AC680" s="488"/>
      <c r="AD680" s="488"/>
      <c r="AE680" s="488"/>
      <c r="AF680" s="488"/>
      <c r="AG680" s="488"/>
      <c r="AH680" s="488"/>
      <c r="AI680" s="488"/>
      <c r="AJ680" s="488"/>
      <c r="AK680" s="488"/>
      <c r="AL680" s="488"/>
      <c r="AM680" s="488"/>
      <c r="AN680" s="488"/>
      <c r="AO680" s="488"/>
      <c r="AP680" s="488"/>
      <c r="AQ680" s="488"/>
      <c r="AR680" s="488"/>
      <c r="AS680" s="488"/>
      <c r="AT680" s="488"/>
      <c r="AU680" s="488"/>
      <c r="AV680" s="488"/>
      <c r="AW680" s="488"/>
      <c r="AX680" s="488"/>
      <c r="AY680" s="488"/>
      <c r="AZ680" s="488"/>
      <c r="BA680" s="488"/>
      <c r="BB680" s="488"/>
      <c r="BC680" s="488"/>
      <c r="BD680" s="488"/>
    </row>
    <row r="681" spans="3:56">
      <c r="C681" s="488"/>
      <c r="D681" s="488"/>
      <c r="E681" s="488"/>
      <c r="F681" s="488"/>
      <c r="G681" s="488"/>
      <c r="H681" s="488"/>
      <c r="I681" s="488"/>
      <c r="J681" s="488"/>
      <c r="K681" s="488"/>
      <c r="L681" s="488"/>
      <c r="M681" s="488"/>
      <c r="N681" s="488"/>
      <c r="O681" s="488"/>
      <c r="P681" s="488"/>
      <c r="Q681" s="488"/>
      <c r="R681" s="488"/>
      <c r="S681" s="488"/>
      <c r="T681" s="488"/>
      <c r="U681" s="488"/>
      <c r="V681" s="488"/>
      <c r="W681" s="488"/>
      <c r="X681" s="488"/>
      <c r="Y681" s="488"/>
      <c r="Z681" s="488"/>
      <c r="AA681" s="488"/>
      <c r="AB681" s="488"/>
      <c r="AC681" s="488"/>
      <c r="AD681" s="488"/>
      <c r="AE681" s="488"/>
      <c r="AF681" s="488"/>
      <c r="AG681" s="488"/>
      <c r="AH681" s="488"/>
      <c r="AI681" s="488"/>
      <c r="AJ681" s="488"/>
      <c r="AK681" s="488"/>
      <c r="AL681" s="488"/>
      <c r="AM681" s="488"/>
      <c r="AN681" s="488"/>
      <c r="AO681" s="488"/>
      <c r="AP681" s="488"/>
      <c r="AQ681" s="488"/>
      <c r="AR681" s="488"/>
      <c r="AS681" s="488"/>
      <c r="AT681" s="488"/>
      <c r="AU681" s="488"/>
      <c r="AV681" s="488"/>
      <c r="AW681" s="488"/>
      <c r="AX681" s="488"/>
      <c r="AY681" s="488"/>
      <c r="AZ681" s="488"/>
      <c r="BA681" s="488"/>
      <c r="BB681" s="488"/>
      <c r="BC681" s="488"/>
      <c r="BD681" s="488"/>
    </row>
    <row r="682" spans="3:56">
      <c r="C682" s="488"/>
      <c r="D682" s="488"/>
      <c r="E682" s="488"/>
      <c r="F682" s="488"/>
      <c r="G682" s="488"/>
      <c r="H682" s="488"/>
      <c r="I682" s="488"/>
      <c r="J682" s="488"/>
      <c r="K682" s="488"/>
      <c r="L682" s="488"/>
      <c r="M682" s="488"/>
      <c r="N682" s="488"/>
      <c r="O682" s="488"/>
      <c r="P682" s="488"/>
      <c r="Q682" s="488"/>
      <c r="R682" s="488"/>
      <c r="S682" s="488"/>
      <c r="T682" s="488"/>
      <c r="U682" s="488"/>
      <c r="V682" s="488"/>
      <c r="W682" s="488"/>
      <c r="X682" s="488"/>
      <c r="Y682" s="488"/>
      <c r="Z682" s="488"/>
      <c r="AA682" s="488"/>
      <c r="AB682" s="488"/>
      <c r="AC682" s="488"/>
      <c r="AD682" s="488"/>
      <c r="AE682" s="488"/>
      <c r="AF682" s="488"/>
      <c r="AG682" s="488"/>
      <c r="AH682" s="488"/>
      <c r="AI682" s="488"/>
      <c r="AJ682" s="488"/>
      <c r="AK682" s="488"/>
      <c r="AL682" s="488"/>
      <c r="AM682" s="488"/>
      <c r="AN682" s="488"/>
      <c r="AO682" s="488"/>
      <c r="AP682" s="488"/>
      <c r="AQ682" s="488"/>
      <c r="AR682" s="488"/>
      <c r="AS682" s="488"/>
      <c r="AT682" s="488"/>
      <c r="AU682" s="488"/>
      <c r="AV682" s="488"/>
      <c r="AW682" s="488"/>
      <c r="AX682" s="488"/>
      <c r="AY682" s="488"/>
      <c r="AZ682" s="488"/>
      <c r="BA682" s="488"/>
      <c r="BB682" s="488"/>
      <c r="BC682" s="488"/>
      <c r="BD682" s="488"/>
    </row>
    <row r="683" spans="3:56">
      <c r="C683" s="488"/>
      <c r="D683" s="488"/>
      <c r="E683" s="488"/>
      <c r="F683" s="488"/>
      <c r="G683" s="488"/>
      <c r="H683" s="488"/>
      <c r="I683" s="488"/>
      <c r="J683" s="488"/>
      <c r="K683" s="488"/>
      <c r="L683" s="488"/>
      <c r="M683" s="488"/>
      <c r="N683" s="488"/>
      <c r="O683" s="488"/>
      <c r="P683" s="488"/>
      <c r="Q683" s="488"/>
      <c r="R683" s="488"/>
      <c r="S683" s="488"/>
      <c r="T683" s="488"/>
      <c r="U683" s="488"/>
      <c r="V683" s="488"/>
      <c r="W683" s="488"/>
      <c r="X683" s="488"/>
      <c r="Y683" s="488"/>
      <c r="Z683" s="488"/>
      <c r="AA683" s="488"/>
      <c r="AB683" s="488"/>
      <c r="AC683" s="488"/>
      <c r="AD683" s="488"/>
      <c r="AE683" s="488"/>
      <c r="AF683" s="488"/>
      <c r="AG683" s="488"/>
      <c r="AH683" s="488"/>
      <c r="AI683" s="488"/>
      <c r="AJ683" s="488"/>
      <c r="AK683" s="488"/>
      <c r="AL683" s="488"/>
      <c r="AM683" s="488"/>
      <c r="AN683" s="488"/>
      <c r="AO683" s="488"/>
      <c r="AP683" s="488"/>
      <c r="AQ683" s="488"/>
      <c r="AR683" s="488"/>
      <c r="AS683" s="488"/>
      <c r="AT683" s="488"/>
      <c r="AU683" s="488"/>
      <c r="AV683" s="488"/>
      <c r="AW683" s="488"/>
      <c r="AX683" s="488"/>
      <c r="AY683" s="488"/>
      <c r="AZ683" s="488"/>
      <c r="BA683" s="488"/>
      <c r="BB683" s="488"/>
      <c r="BC683" s="488"/>
      <c r="BD683" s="488"/>
    </row>
    <row r="684" spans="3:56">
      <c r="C684" s="488"/>
      <c r="D684" s="488"/>
      <c r="E684" s="488"/>
      <c r="F684" s="488"/>
      <c r="G684" s="488"/>
      <c r="H684" s="488"/>
      <c r="I684" s="488"/>
      <c r="J684" s="488"/>
      <c r="K684" s="488"/>
      <c r="L684" s="488"/>
      <c r="M684" s="488"/>
      <c r="N684" s="488"/>
      <c r="O684" s="488"/>
      <c r="P684" s="488"/>
      <c r="Q684" s="488"/>
      <c r="R684" s="488"/>
      <c r="S684" s="488"/>
      <c r="T684" s="488"/>
      <c r="U684" s="488"/>
      <c r="V684" s="488"/>
      <c r="W684" s="488"/>
      <c r="X684" s="488"/>
      <c r="Y684" s="488"/>
      <c r="Z684" s="488"/>
      <c r="AA684" s="488"/>
      <c r="AB684" s="488"/>
      <c r="AC684" s="488"/>
      <c r="AD684" s="488"/>
      <c r="AE684" s="488"/>
      <c r="AF684" s="488"/>
      <c r="AG684" s="488"/>
      <c r="AH684" s="488"/>
      <c r="AI684" s="488"/>
      <c r="AJ684" s="488"/>
      <c r="AK684" s="488"/>
      <c r="AL684" s="488"/>
      <c r="AM684" s="488"/>
      <c r="AN684" s="488"/>
      <c r="AO684" s="488"/>
      <c r="AP684" s="488"/>
      <c r="AQ684" s="488"/>
      <c r="AR684" s="488"/>
      <c r="AS684" s="488"/>
      <c r="AT684" s="488"/>
      <c r="AU684" s="488"/>
      <c r="AV684" s="488"/>
      <c r="AW684" s="488"/>
      <c r="AX684" s="488"/>
      <c r="AY684" s="488"/>
      <c r="AZ684" s="488"/>
      <c r="BA684" s="488"/>
      <c r="BB684" s="488"/>
      <c r="BC684" s="488"/>
      <c r="BD684" s="488"/>
    </row>
    <row r="685" spans="3:56">
      <c r="C685" s="488"/>
      <c r="D685" s="488"/>
      <c r="E685" s="488"/>
      <c r="F685" s="488"/>
      <c r="G685" s="488"/>
      <c r="H685" s="488"/>
      <c r="I685" s="488"/>
      <c r="J685" s="488"/>
      <c r="K685" s="488"/>
      <c r="L685" s="488"/>
      <c r="M685" s="488"/>
      <c r="N685" s="488"/>
      <c r="O685" s="488"/>
      <c r="P685" s="488"/>
      <c r="Q685" s="488"/>
      <c r="R685" s="488"/>
      <c r="S685" s="488"/>
      <c r="T685" s="488"/>
      <c r="U685" s="488"/>
      <c r="V685" s="488"/>
      <c r="W685" s="488"/>
      <c r="X685" s="488"/>
      <c r="Y685" s="488"/>
      <c r="Z685" s="488"/>
      <c r="AA685" s="488"/>
      <c r="AB685" s="488"/>
      <c r="AC685" s="488"/>
      <c r="AD685" s="488"/>
      <c r="AE685" s="488"/>
      <c r="AF685" s="488"/>
      <c r="AG685" s="488"/>
      <c r="AH685" s="488"/>
      <c r="AI685" s="488"/>
      <c r="AJ685" s="488"/>
      <c r="AK685" s="488"/>
      <c r="AL685" s="488"/>
      <c r="AM685" s="488"/>
      <c r="AN685" s="488"/>
      <c r="AO685" s="488"/>
      <c r="AP685" s="488"/>
      <c r="AQ685" s="488"/>
      <c r="AR685" s="488"/>
      <c r="AS685" s="488"/>
      <c r="AT685" s="488"/>
      <c r="AU685" s="488"/>
      <c r="AV685" s="488"/>
      <c r="AW685" s="488"/>
      <c r="AX685" s="488"/>
      <c r="AY685" s="488"/>
      <c r="AZ685" s="488"/>
      <c r="BA685" s="488"/>
      <c r="BB685" s="488"/>
      <c r="BC685" s="488"/>
      <c r="BD685" s="488"/>
    </row>
    <row r="686" spans="3:56">
      <c r="C686" s="488"/>
      <c r="D686" s="488"/>
      <c r="E686" s="488"/>
      <c r="F686" s="488"/>
      <c r="G686" s="488"/>
      <c r="H686" s="488"/>
      <c r="I686" s="488"/>
      <c r="J686" s="488"/>
      <c r="K686" s="488"/>
      <c r="L686" s="488"/>
      <c r="M686" s="488"/>
      <c r="N686" s="488"/>
      <c r="O686" s="488"/>
      <c r="P686" s="488"/>
      <c r="Q686" s="488"/>
      <c r="R686" s="488"/>
      <c r="S686" s="488"/>
      <c r="T686" s="488"/>
      <c r="U686" s="488"/>
      <c r="V686" s="488"/>
      <c r="W686" s="488"/>
      <c r="X686" s="488"/>
      <c r="Y686" s="488"/>
      <c r="Z686" s="488"/>
      <c r="AA686" s="488"/>
      <c r="AB686" s="488"/>
      <c r="AC686" s="488"/>
      <c r="AD686" s="488"/>
      <c r="AE686" s="488"/>
      <c r="AF686" s="488"/>
      <c r="AG686" s="488"/>
      <c r="AH686" s="488"/>
      <c r="AI686" s="488"/>
      <c r="AJ686" s="488"/>
      <c r="AK686" s="488"/>
      <c r="AL686" s="488"/>
      <c r="AM686" s="488"/>
      <c r="AN686" s="488"/>
      <c r="AO686" s="488"/>
      <c r="AP686" s="488"/>
      <c r="AQ686" s="488"/>
      <c r="AR686" s="488"/>
      <c r="AS686" s="488"/>
      <c r="AT686" s="488"/>
      <c r="AU686" s="488"/>
      <c r="AV686" s="488"/>
      <c r="AW686" s="488"/>
      <c r="AX686" s="488"/>
      <c r="AY686" s="488"/>
      <c r="AZ686" s="488"/>
      <c r="BA686" s="488"/>
      <c r="BB686" s="488"/>
      <c r="BC686" s="488"/>
      <c r="BD686" s="488"/>
    </row>
    <row r="687" spans="3:56">
      <c r="C687" s="488"/>
      <c r="D687" s="488"/>
      <c r="E687" s="488"/>
      <c r="F687" s="488"/>
      <c r="G687" s="488"/>
      <c r="H687" s="488"/>
      <c r="I687" s="488"/>
      <c r="J687" s="488"/>
      <c r="K687" s="488"/>
      <c r="L687" s="488"/>
      <c r="M687" s="488"/>
      <c r="N687" s="488"/>
      <c r="O687" s="488"/>
      <c r="P687" s="488"/>
      <c r="Q687" s="488"/>
      <c r="R687" s="488"/>
      <c r="S687" s="488"/>
      <c r="T687" s="488"/>
      <c r="U687" s="488"/>
      <c r="V687" s="488"/>
      <c r="W687" s="488"/>
      <c r="X687" s="488"/>
      <c r="Y687" s="488"/>
      <c r="Z687" s="488"/>
      <c r="AA687" s="488"/>
      <c r="AB687" s="488"/>
      <c r="AC687" s="488"/>
      <c r="AD687" s="488"/>
      <c r="AE687" s="488"/>
      <c r="AF687" s="488"/>
      <c r="AG687" s="488"/>
      <c r="AH687" s="488"/>
      <c r="AI687" s="488"/>
      <c r="AJ687" s="488"/>
      <c r="AK687" s="488"/>
      <c r="AL687" s="488"/>
      <c r="AM687" s="488"/>
      <c r="AN687" s="488"/>
      <c r="AO687" s="488"/>
      <c r="AP687" s="488"/>
      <c r="AQ687" s="488"/>
      <c r="AR687" s="488"/>
      <c r="AS687" s="488"/>
      <c r="AT687" s="488"/>
      <c r="AU687" s="488"/>
      <c r="AV687" s="488"/>
      <c r="AW687" s="488"/>
      <c r="AX687" s="488"/>
      <c r="AY687" s="488"/>
      <c r="AZ687" s="488"/>
      <c r="BA687" s="488"/>
      <c r="BB687" s="488"/>
      <c r="BC687" s="488"/>
      <c r="BD687" s="488"/>
    </row>
    <row r="688" spans="3:56">
      <c r="C688" s="488"/>
      <c r="D688" s="488"/>
      <c r="E688" s="488"/>
      <c r="F688" s="488"/>
      <c r="G688" s="488"/>
      <c r="H688" s="488"/>
      <c r="I688" s="488"/>
      <c r="J688" s="488"/>
      <c r="K688" s="488"/>
      <c r="L688" s="488"/>
      <c r="M688" s="488"/>
      <c r="N688" s="488"/>
      <c r="O688" s="488"/>
      <c r="P688" s="488"/>
      <c r="Q688" s="488"/>
      <c r="R688" s="488"/>
      <c r="S688" s="488"/>
      <c r="T688" s="488"/>
      <c r="U688" s="488"/>
      <c r="V688" s="488"/>
      <c r="W688" s="488"/>
      <c r="X688" s="488"/>
      <c r="Y688" s="488"/>
      <c r="Z688" s="488"/>
      <c r="AA688" s="488"/>
      <c r="AB688" s="488"/>
      <c r="AC688" s="488"/>
      <c r="AD688" s="488"/>
      <c r="AE688" s="488"/>
      <c r="AF688" s="488"/>
      <c r="AG688" s="488"/>
      <c r="AH688" s="488"/>
      <c r="AI688" s="488"/>
      <c r="AJ688" s="488"/>
      <c r="AK688" s="488"/>
      <c r="AL688" s="488"/>
      <c r="AM688" s="488"/>
      <c r="AN688" s="488"/>
      <c r="AO688" s="488"/>
      <c r="AP688" s="488"/>
      <c r="AQ688" s="488"/>
      <c r="AR688" s="488"/>
      <c r="AS688" s="488"/>
      <c r="AT688" s="488"/>
      <c r="AU688" s="488"/>
      <c r="AV688" s="488"/>
      <c r="AW688" s="488"/>
      <c r="AX688" s="488"/>
      <c r="AY688" s="488"/>
      <c r="AZ688" s="488"/>
      <c r="BA688" s="488"/>
      <c r="BB688" s="488"/>
      <c r="BC688" s="488"/>
      <c r="BD688" s="488"/>
    </row>
    <row r="689" spans="3:56">
      <c r="C689" s="488"/>
      <c r="D689" s="488"/>
      <c r="E689" s="488"/>
      <c r="F689" s="488"/>
      <c r="G689" s="488"/>
      <c r="H689" s="488"/>
      <c r="I689" s="488"/>
      <c r="J689" s="488"/>
      <c r="K689" s="488"/>
      <c r="L689" s="488"/>
      <c r="M689" s="488"/>
      <c r="N689" s="488"/>
      <c r="O689" s="488"/>
      <c r="P689" s="488"/>
      <c r="Q689" s="488"/>
      <c r="R689" s="488"/>
      <c r="S689" s="488"/>
      <c r="T689" s="488"/>
      <c r="U689" s="488"/>
      <c r="V689" s="488"/>
      <c r="W689" s="488"/>
      <c r="X689" s="488"/>
      <c r="Y689" s="488"/>
      <c r="Z689" s="488"/>
      <c r="AA689" s="488"/>
      <c r="AB689" s="488"/>
      <c r="AC689" s="488"/>
      <c r="AD689" s="488"/>
      <c r="AE689" s="488"/>
      <c r="AF689" s="488"/>
      <c r="AG689" s="488"/>
      <c r="AH689" s="488"/>
      <c r="AI689" s="488"/>
      <c r="AJ689" s="488"/>
      <c r="AK689" s="488"/>
      <c r="AL689" s="488"/>
      <c r="AM689" s="488"/>
      <c r="AN689" s="488"/>
      <c r="AO689" s="488"/>
      <c r="AP689" s="488"/>
      <c r="AQ689" s="488"/>
      <c r="AR689" s="488"/>
      <c r="AS689" s="488"/>
      <c r="AT689" s="488"/>
      <c r="AU689" s="488"/>
      <c r="AV689" s="488"/>
      <c r="AW689" s="488"/>
      <c r="AX689" s="488"/>
      <c r="AY689" s="488"/>
      <c r="AZ689" s="488"/>
      <c r="BA689" s="488"/>
      <c r="BB689" s="488"/>
      <c r="BC689" s="488"/>
      <c r="BD689" s="488"/>
    </row>
    <row r="690" spans="3:56">
      <c r="C690" s="488"/>
      <c r="D690" s="488"/>
      <c r="E690" s="488"/>
      <c r="F690" s="488"/>
      <c r="G690" s="488"/>
      <c r="H690" s="488"/>
      <c r="I690" s="488"/>
      <c r="J690" s="488"/>
      <c r="K690" s="488"/>
      <c r="L690" s="488"/>
      <c r="M690" s="488"/>
      <c r="N690" s="488"/>
      <c r="O690" s="488"/>
      <c r="P690" s="488"/>
      <c r="Q690" s="488"/>
      <c r="R690" s="488"/>
      <c r="S690" s="488"/>
      <c r="T690" s="488"/>
      <c r="U690" s="488"/>
      <c r="V690" s="488"/>
      <c r="W690" s="488"/>
      <c r="X690" s="488"/>
      <c r="Y690" s="488"/>
      <c r="Z690" s="488"/>
      <c r="AA690" s="488"/>
      <c r="AB690" s="488"/>
      <c r="AC690" s="488"/>
      <c r="AD690" s="488"/>
      <c r="AE690" s="488"/>
      <c r="AF690" s="488"/>
      <c r="AG690" s="488"/>
      <c r="AH690" s="488"/>
      <c r="AI690" s="488"/>
      <c r="AJ690" s="488"/>
      <c r="AK690" s="488"/>
      <c r="AL690" s="488"/>
      <c r="AM690" s="488"/>
      <c r="AN690" s="488"/>
      <c r="AO690" s="488"/>
      <c r="AP690" s="488"/>
      <c r="AQ690" s="488"/>
      <c r="AR690" s="488"/>
      <c r="AS690" s="488"/>
      <c r="AT690" s="488"/>
      <c r="AU690" s="488"/>
      <c r="AV690" s="488"/>
      <c r="AW690" s="488"/>
      <c r="AX690" s="488"/>
      <c r="AY690" s="488"/>
      <c r="AZ690" s="488"/>
      <c r="BA690" s="488"/>
      <c r="BB690" s="488"/>
      <c r="BC690" s="488"/>
      <c r="BD690" s="488"/>
    </row>
    <row r="691" spans="3:56">
      <c r="C691" s="488"/>
      <c r="D691" s="488"/>
      <c r="E691" s="488"/>
      <c r="F691" s="488"/>
      <c r="G691" s="488"/>
      <c r="H691" s="488"/>
      <c r="I691" s="488"/>
      <c r="J691" s="488"/>
      <c r="K691" s="488"/>
      <c r="L691" s="488"/>
      <c r="M691" s="488"/>
      <c r="N691" s="488"/>
      <c r="O691" s="488"/>
      <c r="P691" s="488"/>
      <c r="Q691" s="488"/>
      <c r="R691" s="488"/>
      <c r="S691" s="488"/>
      <c r="T691" s="488"/>
      <c r="U691" s="488"/>
      <c r="V691" s="488"/>
      <c r="W691" s="488"/>
      <c r="X691" s="488"/>
      <c r="Y691" s="488"/>
      <c r="Z691" s="488"/>
      <c r="AA691" s="488"/>
      <c r="AB691" s="488"/>
      <c r="AC691" s="488"/>
      <c r="AD691" s="488"/>
      <c r="AE691" s="488"/>
      <c r="AF691" s="488"/>
      <c r="AG691" s="488"/>
      <c r="AH691" s="488"/>
      <c r="AI691" s="488"/>
      <c r="AJ691" s="488"/>
      <c r="AK691" s="488"/>
      <c r="AL691" s="488"/>
      <c r="AM691" s="488"/>
      <c r="AN691" s="488"/>
      <c r="AO691" s="488"/>
      <c r="AP691" s="488"/>
      <c r="AQ691" s="488"/>
      <c r="AR691" s="488"/>
      <c r="AS691" s="488"/>
      <c r="AT691" s="488"/>
      <c r="AU691" s="488"/>
      <c r="AV691" s="488"/>
      <c r="AW691" s="488"/>
      <c r="AX691" s="488"/>
      <c r="AY691" s="488"/>
      <c r="AZ691" s="488"/>
      <c r="BA691" s="488"/>
      <c r="BB691" s="488"/>
      <c r="BC691" s="488"/>
      <c r="BD691" s="488"/>
    </row>
    <row r="692" spans="3:56">
      <c r="C692" s="488"/>
      <c r="D692" s="488"/>
      <c r="E692" s="488"/>
      <c r="F692" s="488"/>
      <c r="G692" s="488"/>
      <c r="H692" s="488"/>
      <c r="I692" s="488"/>
      <c r="J692" s="488"/>
      <c r="K692" s="488"/>
      <c r="L692" s="488"/>
      <c r="M692" s="488"/>
      <c r="N692" s="488"/>
      <c r="O692" s="488"/>
      <c r="P692" s="488"/>
      <c r="Q692" s="488"/>
      <c r="R692" s="488"/>
      <c r="S692" s="488"/>
      <c r="T692" s="488"/>
      <c r="U692" s="488"/>
      <c r="V692" s="488"/>
      <c r="W692" s="488"/>
      <c r="X692" s="488"/>
      <c r="Y692" s="488"/>
      <c r="Z692" s="488"/>
      <c r="AA692" s="488"/>
      <c r="AB692" s="488"/>
      <c r="AC692" s="488"/>
      <c r="AD692" s="488"/>
      <c r="AE692" s="488"/>
      <c r="AF692" s="488"/>
      <c r="AG692" s="488"/>
      <c r="AH692" s="488"/>
      <c r="AI692" s="488"/>
      <c r="AJ692" s="488"/>
      <c r="AK692" s="488"/>
      <c r="AL692" s="488"/>
      <c r="AM692" s="488"/>
      <c r="AN692" s="488"/>
      <c r="AO692" s="488"/>
      <c r="AP692" s="488"/>
      <c r="AQ692" s="488"/>
      <c r="AR692" s="488"/>
      <c r="AS692" s="488"/>
      <c r="AT692" s="488"/>
      <c r="AU692" s="488"/>
      <c r="AV692" s="488"/>
      <c r="AW692" s="488"/>
      <c r="AX692" s="488"/>
      <c r="AY692" s="488"/>
      <c r="AZ692" s="488"/>
      <c r="BA692" s="488"/>
      <c r="BB692" s="488"/>
      <c r="BC692" s="488"/>
      <c r="BD692" s="488"/>
    </row>
    <row r="693" spans="3:56">
      <c r="C693" s="488"/>
      <c r="D693" s="488"/>
      <c r="E693" s="488"/>
      <c r="F693" s="488"/>
      <c r="G693" s="488"/>
      <c r="H693" s="488"/>
      <c r="I693" s="488"/>
      <c r="J693" s="488"/>
      <c r="K693" s="488"/>
      <c r="L693" s="488"/>
      <c r="M693" s="488"/>
      <c r="N693" s="488"/>
      <c r="O693" s="488"/>
      <c r="P693" s="488"/>
      <c r="Q693" s="488"/>
      <c r="R693" s="488"/>
      <c r="S693" s="488"/>
      <c r="T693" s="488"/>
      <c r="U693" s="488"/>
      <c r="V693" s="488"/>
      <c r="W693" s="488"/>
      <c r="X693" s="488"/>
      <c r="Y693" s="488"/>
      <c r="Z693" s="488"/>
      <c r="AA693" s="488"/>
      <c r="AB693" s="488"/>
      <c r="AC693" s="488"/>
      <c r="AD693" s="488"/>
      <c r="AE693" s="488"/>
      <c r="AF693" s="488"/>
      <c r="AG693" s="488"/>
      <c r="AH693" s="488"/>
      <c r="AI693" s="488"/>
      <c r="AJ693" s="488"/>
      <c r="AK693" s="488"/>
      <c r="AL693" s="488"/>
      <c r="AM693" s="488"/>
      <c r="AN693" s="488"/>
      <c r="AO693" s="488"/>
      <c r="AP693" s="488"/>
      <c r="AQ693" s="488"/>
      <c r="AR693" s="488"/>
      <c r="AS693" s="488"/>
      <c r="AT693" s="488"/>
      <c r="AU693" s="488"/>
      <c r="AV693" s="488"/>
      <c r="AW693" s="488"/>
      <c r="AX693" s="488"/>
      <c r="AY693" s="488"/>
      <c r="AZ693" s="488"/>
      <c r="BA693" s="488"/>
      <c r="BB693" s="488"/>
      <c r="BC693" s="488"/>
      <c r="BD693" s="488"/>
    </row>
    <row r="694" spans="3:56">
      <c r="C694" s="488"/>
      <c r="D694" s="488"/>
      <c r="E694" s="488"/>
      <c r="F694" s="488"/>
      <c r="G694" s="488"/>
      <c r="H694" s="488"/>
      <c r="I694" s="488"/>
      <c r="J694" s="488"/>
      <c r="K694" s="488"/>
      <c r="L694" s="488"/>
      <c r="M694" s="488"/>
      <c r="N694" s="488"/>
      <c r="O694" s="488"/>
      <c r="P694" s="488"/>
      <c r="Q694" s="488"/>
      <c r="R694" s="488"/>
      <c r="S694" s="488"/>
      <c r="T694" s="488"/>
      <c r="U694" s="488"/>
      <c r="V694" s="488"/>
      <c r="W694" s="488"/>
      <c r="X694" s="488"/>
      <c r="Y694" s="488"/>
      <c r="Z694" s="488"/>
      <c r="AA694" s="488"/>
      <c r="AB694" s="488"/>
      <c r="AC694" s="488"/>
      <c r="AD694" s="488"/>
      <c r="AE694" s="488"/>
      <c r="AF694" s="488"/>
      <c r="AG694" s="488"/>
      <c r="AH694" s="488"/>
      <c r="AI694" s="488"/>
      <c r="AJ694" s="488"/>
      <c r="AK694" s="488"/>
      <c r="AL694" s="488"/>
      <c r="AM694" s="488"/>
      <c r="AN694" s="488"/>
      <c r="AO694" s="488"/>
      <c r="AP694" s="488"/>
      <c r="AQ694" s="488"/>
      <c r="AR694" s="488"/>
      <c r="AS694" s="488"/>
      <c r="AT694" s="488"/>
      <c r="AU694" s="488"/>
      <c r="AV694" s="488"/>
      <c r="AW694" s="488"/>
      <c r="AX694" s="488"/>
      <c r="AY694" s="488"/>
      <c r="AZ694" s="488"/>
      <c r="BA694" s="488"/>
      <c r="BB694" s="488"/>
      <c r="BC694" s="488"/>
      <c r="BD694" s="488"/>
    </row>
    <row r="695" spans="3:56">
      <c r="C695" s="488"/>
      <c r="D695" s="488"/>
      <c r="E695" s="488"/>
      <c r="F695" s="488"/>
      <c r="G695" s="488"/>
      <c r="H695" s="488"/>
      <c r="I695" s="488"/>
      <c r="J695" s="488"/>
      <c r="K695" s="488"/>
      <c r="L695" s="488"/>
      <c r="M695" s="488"/>
      <c r="N695" s="488"/>
      <c r="O695" s="488"/>
      <c r="P695" s="488"/>
      <c r="Q695" s="488"/>
      <c r="R695" s="488"/>
      <c r="S695" s="488"/>
      <c r="T695" s="488"/>
      <c r="U695" s="488"/>
      <c r="V695" s="488"/>
      <c r="W695" s="488"/>
      <c r="X695" s="488"/>
      <c r="Y695" s="488"/>
      <c r="Z695" s="488"/>
      <c r="AA695" s="488"/>
      <c r="AB695" s="488"/>
      <c r="AC695" s="488"/>
      <c r="AD695" s="488"/>
      <c r="AE695" s="488"/>
      <c r="AF695" s="488"/>
      <c r="AG695" s="488"/>
      <c r="AH695" s="488"/>
      <c r="AI695" s="488"/>
      <c r="AJ695" s="488"/>
      <c r="AK695" s="488"/>
      <c r="AL695" s="488"/>
      <c r="AM695" s="488"/>
      <c r="AN695" s="488"/>
      <c r="AO695" s="488"/>
      <c r="AP695" s="488"/>
      <c r="AQ695" s="488"/>
      <c r="AR695" s="488"/>
      <c r="AS695" s="488"/>
      <c r="AT695" s="488"/>
      <c r="AU695" s="488"/>
      <c r="AV695" s="488"/>
      <c r="AW695" s="488"/>
      <c r="AX695" s="488"/>
      <c r="AY695" s="488"/>
      <c r="AZ695" s="488"/>
      <c r="BA695" s="488"/>
      <c r="BB695" s="488"/>
      <c r="BC695" s="488"/>
      <c r="BD695" s="488"/>
    </row>
    <row r="696" spans="3:56">
      <c r="C696" s="488"/>
      <c r="D696" s="488"/>
      <c r="E696" s="488"/>
      <c r="F696" s="488"/>
      <c r="G696" s="488"/>
      <c r="H696" s="488"/>
      <c r="I696" s="488"/>
      <c r="J696" s="488"/>
      <c r="K696" s="488"/>
      <c r="L696" s="488"/>
      <c r="M696" s="488"/>
      <c r="N696" s="488"/>
      <c r="O696" s="488"/>
      <c r="P696" s="488"/>
      <c r="Q696" s="488"/>
      <c r="R696" s="488"/>
      <c r="S696" s="488"/>
      <c r="T696" s="488"/>
      <c r="U696" s="488"/>
      <c r="V696" s="488"/>
      <c r="W696" s="488"/>
      <c r="X696" s="488"/>
      <c r="Y696" s="488"/>
      <c r="Z696" s="488"/>
      <c r="AA696" s="488"/>
      <c r="AB696" s="488"/>
      <c r="AC696" s="488"/>
      <c r="AD696" s="488"/>
      <c r="AE696" s="488"/>
      <c r="AF696" s="488"/>
      <c r="AG696" s="488"/>
      <c r="AH696" s="488"/>
      <c r="AI696" s="488"/>
      <c r="AJ696" s="488"/>
      <c r="AK696" s="488"/>
      <c r="AL696" s="488"/>
      <c r="AM696" s="488"/>
      <c r="AN696" s="488"/>
      <c r="AO696" s="488"/>
      <c r="AP696" s="488"/>
      <c r="AQ696" s="488"/>
      <c r="AR696" s="488"/>
      <c r="AS696" s="488"/>
      <c r="AT696" s="488"/>
      <c r="AU696" s="488"/>
      <c r="AV696" s="488"/>
      <c r="AW696" s="488"/>
      <c r="AX696" s="488"/>
      <c r="AY696" s="488"/>
      <c r="AZ696" s="488"/>
      <c r="BA696" s="488"/>
      <c r="BB696" s="488"/>
      <c r="BC696" s="488"/>
      <c r="BD696" s="488"/>
    </row>
    <row r="697" spans="3:56">
      <c r="C697" s="488"/>
      <c r="D697" s="488"/>
      <c r="E697" s="488"/>
      <c r="F697" s="488"/>
      <c r="G697" s="488"/>
      <c r="H697" s="488"/>
      <c r="I697" s="488"/>
      <c r="J697" s="488"/>
      <c r="K697" s="488"/>
      <c r="L697" s="488"/>
      <c r="M697" s="488"/>
      <c r="N697" s="488"/>
      <c r="O697" s="488"/>
      <c r="P697" s="488"/>
      <c r="Q697" s="488"/>
      <c r="R697" s="488"/>
      <c r="S697" s="488"/>
      <c r="T697" s="488"/>
      <c r="U697" s="488"/>
      <c r="V697" s="488"/>
      <c r="W697" s="488"/>
      <c r="X697" s="488"/>
      <c r="Y697" s="488"/>
      <c r="Z697" s="488"/>
      <c r="AA697" s="488"/>
      <c r="AB697" s="488"/>
      <c r="AC697" s="488"/>
      <c r="AD697" s="488"/>
      <c r="AE697" s="488"/>
      <c r="AF697" s="488"/>
      <c r="AG697" s="488"/>
      <c r="AH697" s="488"/>
      <c r="AI697" s="488"/>
      <c r="AJ697" s="488"/>
      <c r="AK697" s="488"/>
      <c r="AL697" s="488"/>
      <c r="AM697" s="488"/>
      <c r="AN697" s="488"/>
      <c r="AO697" s="488"/>
      <c r="AP697" s="488"/>
      <c r="AQ697" s="488"/>
      <c r="AR697" s="488"/>
      <c r="AS697" s="488"/>
      <c r="AT697" s="488"/>
      <c r="AU697" s="488"/>
      <c r="AV697" s="488"/>
      <c r="AW697" s="488"/>
      <c r="AX697" s="488"/>
      <c r="AY697" s="488"/>
      <c r="AZ697" s="488"/>
      <c r="BA697" s="488"/>
      <c r="BB697" s="488"/>
      <c r="BC697" s="488"/>
      <c r="BD697" s="488"/>
    </row>
    <row r="698" spans="3:56">
      <c r="C698" s="488"/>
      <c r="D698" s="488"/>
      <c r="E698" s="488"/>
      <c r="F698" s="488"/>
      <c r="G698" s="488"/>
      <c r="H698" s="488"/>
      <c r="I698" s="488"/>
      <c r="J698" s="488"/>
      <c r="K698" s="488"/>
      <c r="L698" s="488"/>
      <c r="M698" s="488"/>
      <c r="N698" s="488"/>
      <c r="O698" s="488"/>
      <c r="P698" s="488"/>
      <c r="Q698" s="488"/>
      <c r="R698" s="488"/>
      <c r="S698" s="488"/>
      <c r="T698" s="488"/>
      <c r="U698" s="488"/>
      <c r="V698" s="488"/>
      <c r="W698" s="488"/>
      <c r="X698" s="488"/>
      <c r="Y698" s="488"/>
      <c r="Z698" s="488"/>
      <c r="AA698" s="488"/>
      <c r="AB698" s="488"/>
      <c r="AC698" s="488"/>
      <c r="AD698" s="488"/>
      <c r="AE698" s="488"/>
      <c r="AF698" s="488"/>
      <c r="AG698" s="488"/>
      <c r="AH698" s="488"/>
      <c r="AI698" s="488"/>
      <c r="AJ698" s="488"/>
      <c r="AK698" s="488"/>
      <c r="AL698" s="488"/>
      <c r="AM698" s="488"/>
      <c r="AN698" s="488"/>
      <c r="AO698" s="488"/>
      <c r="AP698" s="488"/>
      <c r="AQ698" s="488"/>
      <c r="AR698" s="488"/>
      <c r="AS698" s="488"/>
      <c r="AT698" s="488"/>
      <c r="AU698" s="488"/>
      <c r="AV698" s="488"/>
      <c r="AW698" s="488"/>
      <c r="AX698" s="488"/>
      <c r="AY698" s="488"/>
      <c r="AZ698" s="488"/>
      <c r="BA698" s="488"/>
      <c r="BB698" s="488"/>
      <c r="BC698" s="488"/>
      <c r="BD698" s="488"/>
    </row>
    <row r="699" spans="3:56">
      <c r="C699" s="488"/>
      <c r="D699" s="488"/>
      <c r="E699" s="488"/>
      <c r="F699" s="488"/>
      <c r="G699" s="488"/>
      <c r="H699" s="488"/>
      <c r="I699" s="488"/>
      <c r="J699" s="488"/>
      <c r="K699" s="488"/>
      <c r="L699" s="488"/>
      <c r="M699" s="488"/>
      <c r="N699" s="488"/>
      <c r="O699" s="488"/>
      <c r="P699" s="488"/>
      <c r="Q699" s="488"/>
      <c r="R699" s="488"/>
      <c r="S699" s="488"/>
      <c r="T699" s="488"/>
      <c r="U699" s="488"/>
      <c r="V699" s="488"/>
      <c r="W699" s="488"/>
      <c r="X699" s="488"/>
      <c r="Y699" s="488"/>
      <c r="Z699" s="488"/>
      <c r="AA699" s="488"/>
      <c r="AB699" s="488"/>
      <c r="AC699" s="488"/>
      <c r="AD699" s="488"/>
      <c r="AE699" s="488"/>
      <c r="AF699" s="488"/>
      <c r="AG699" s="488"/>
      <c r="AH699" s="488"/>
      <c r="AI699" s="488"/>
      <c r="AJ699" s="488"/>
      <c r="AK699" s="488"/>
      <c r="AL699" s="488"/>
      <c r="AM699" s="488"/>
      <c r="AN699" s="488"/>
      <c r="AO699" s="488"/>
      <c r="AP699" s="488"/>
      <c r="AQ699" s="488"/>
      <c r="AR699" s="488"/>
      <c r="AS699" s="488"/>
      <c r="AT699" s="488"/>
      <c r="AU699" s="488"/>
      <c r="AV699" s="488"/>
      <c r="AW699" s="488"/>
      <c r="AX699" s="488"/>
      <c r="AY699" s="488"/>
      <c r="AZ699" s="488"/>
      <c r="BA699" s="488"/>
      <c r="BB699" s="488"/>
      <c r="BC699" s="488"/>
      <c r="BD699" s="488"/>
    </row>
    <row r="700" spans="3:56">
      <c r="C700" s="488"/>
      <c r="D700" s="488"/>
      <c r="E700" s="488"/>
      <c r="F700" s="488"/>
      <c r="G700" s="488"/>
      <c r="H700" s="488"/>
      <c r="I700" s="488"/>
      <c r="J700" s="488"/>
      <c r="K700" s="488"/>
      <c r="L700" s="488"/>
      <c r="M700" s="488"/>
      <c r="N700" s="488"/>
      <c r="O700" s="488"/>
      <c r="P700" s="488"/>
      <c r="Q700" s="488"/>
      <c r="R700" s="488"/>
      <c r="S700" s="488"/>
      <c r="T700" s="488"/>
      <c r="U700" s="488"/>
      <c r="V700" s="488"/>
      <c r="W700" s="488"/>
      <c r="X700" s="488"/>
      <c r="Y700" s="488"/>
      <c r="Z700" s="488"/>
      <c r="AA700" s="488"/>
      <c r="AB700" s="488"/>
      <c r="AC700" s="488"/>
      <c r="AD700" s="488"/>
      <c r="AE700" s="488"/>
      <c r="AF700" s="488"/>
      <c r="AG700" s="488"/>
      <c r="AH700" s="488"/>
      <c r="AI700" s="488"/>
      <c r="AJ700" s="488"/>
      <c r="AK700" s="488"/>
      <c r="AL700" s="488"/>
      <c r="AM700" s="488"/>
      <c r="AN700" s="488"/>
      <c r="AO700" s="488"/>
      <c r="AP700" s="488"/>
      <c r="AQ700" s="488"/>
      <c r="AR700" s="488"/>
      <c r="AS700" s="488"/>
      <c r="AT700" s="488"/>
      <c r="AU700" s="488"/>
      <c r="AV700" s="488"/>
      <c r="AW700" s="488"/>
      <c r="AX700" s="488"/>
      <c r="AY700" s="488"/>
      <c r="AZ700" s="488"/>
      <c r="BA700" s="488"/>
      <c r="BB700" s="488"/>
      <c r="BC700" s="488"/>
      <c r="BD700" s="488"/>
    </row>
    <row r="701" spans="3:56">
      <c r="C701" s="488"/>
      <c r="D701" s="488"/>
      <c r="E701" s="488"/>
      <c r="F701" s="488"/>
      <c r="G701" s="488"/>
      <c r="H701" s="488"/>
      <c r="I701" s="488"/>
      <c r="J701" s="488"/>
      <c r="K701" s="488"/>
      <c r="L701" s="488"/>
      <c r="M701" s="488"/>
      <c r="N701" s="488"/>
      <c r="O701" s="488"/>
      <c r="P701" s="488"/>
      <c r="Q701" s="488"/>
      <c r="R701" s="488"/>
      <c r="S701" s="488"/>
      <c r="T701" s="488"/>
      <c r="U701" s="488"/>
      <c r="V701" s="488"/>
      <c r="W701" s="488"/>
      <c r="X701" s="488"/>
      <c r="Y701" s="488"/>
      <c r="Z701" s="488"/>
      <c r="AA701" s="488"/>
      <c r="AB701" s="488"/>
      <c r="AC701" s="488"/>
      <c r="AD701" s="488"/>
      <c r="AE701" s="488"/>
      <c r="AF701" s="488"/>
      <c r="AG701" s="488"/>
      <c r="AH701" s="488"/>
      <c r="AI701" s="488"/>
      <c r="AJ701" s="488"/>
      <c r="AK701" s="488"/>
      <c r="AL701" s="488"/>
      <c r="AM701" s="488"/>
      <c r="AN701" s="488"/>
      <c r="AO701" s="488"/>
      <c r="AP701" s="488"/>
      <c r="AQ701" s="488"/>
      <c r="AR701" s="488"/>
      <c r="AS701" s="488"/>
      <c r="AT701" s="488"/>
      <c r="AU701" s="488"/>
      <c r="AV701" s="488"/>
      <c r="AW701" s="488"/>
      <c r="AX701" s="488"/>
      <c r="AY701" s="488"/>
      <c r="AZ701" s="488"/>
      <c r="BA701" s="488"/>
      <c r="BB701" s="488"/>
      <c r="BC701" s="488"/>
      <c r="BD701" s="488"/>
    </row>
    <row r="702" spans="3:56">
      <c r="C702" s="488"/>
      <c r="D702" s="488"/>
      <c r="E702" s="488"/>
      <c r="F702" s="488"/>
      <c r="G702" s="488"/>
      <c r="H702" s="488"/>
      <c r="I702" s="488"/>
      <c r="J702" s="488"/>
      <c r="K702" s="488"/>
      <c r="L702" s="488"/>
      <c r="M702" s="488"/>
      <c r="N702" s="488"/>
      <c r="O702" s="488"/>
      <c r="P702" s="488"/>
      <c r="Q702" s="488"/>
      <c r="R702" s="488"/>
      <c r="S702" s="488"/>
      <c r="T702" s="488"/>
      <c r="U702" s="488"/>
      <c r="V702" s="488"/>
      <c r="W702" s="488"/>
      <c r="X702" s="488"/>
      <c r="Y702" s="488"/>
      <c r="Z702" s="488"/>
      <c r="AA702" s="488"/>
      <c r="AB702" s="488"/>
      <c r="AC702" s="488"/>
      <c r="AD702" s="488"/>
      <c r="AE702" s="488"/>
      <c r="AF702" s="488"/>
      <c r="AG702" s="488"/>
      <c r="AH702" s="488"/>
      <c r="AI702" s="488"/>
      <c r="AJ702" s="488"/>
      <c r="AK702" s="488"/>
      <c r="AL702" s="488"/>
      <c r="AM702" s="488"/>
      <c r="AN702" s="488"/>
      <c r="AO702" s="488"/>
      <c r="AP702" s="488"/>
      <c r="AQ702" s="488"/>
      <c r="AR702" s="488"/>
      <c r="AS702" s="488"/>
      <c r="AT702" s="488"/>
      <c r="AU702" s="488"/>
      <c r="AV702" s="488"/>
      <c r="AW702" s="488"/>
      <c r="AX702" s="488"/>
      <c r="AY702" s="488"/>
      <c r="AZ702" s="488"/>
      <c r="BA702" s="488"/>
      <c r="BB702" s="488"/>
      <c r="BC702" s="488"/>
      <c r="BD702" s="488"/>
    </row>
    <row r="703" spans="3:56">
      <c r="C703" s="488"/>
      <c r="D703" s="488"/>
      <c r="E703" s="488"/>
      <c r="F703" s="488"/>
      <c r="G703" s="488"/>
      <c r="H703" s="488"/>
      <c r="I703" s="488"/>
      <c r="J703" s="488"/>
      <c r="K703" s="488"/>
      <c r="L703" s="488"/>
      <c r="M703" s="488"/>
      <c r="N703" s="488"/>
      <c r="O703" s="488"/>
      <c r="P703" s="488"/>
      <c r="Q703" s="488"/>
      <c r="R703" s="488"/>
      <c r="S703" s="488"/>
      <c r="T703" s="488"/>
      <c r="U703" s="488"/>
      <c r="V703" s="488"/>
      <c r="W703" s="488"/>
      <c r="X703" s="488"/>
      <c r="Y703" s="488"/>
      <c r="Z703" s="488"/>
      <c r="AA703" s="488"/>
      <c r="AB703" s="488"/>
      <c r="AC703" s="488"/>
      <c r="AD703" s="488"/>
      <c r="AE703" s="488"/>
      <c r="AF703" s="488"/>
      <c r="AG703" s="488"/>
      <c r="AH703" s="488"/>
      <c r="AI703" s="488"/>
      <c r="AJ703" s="488"/>
      <c r="AK703" s="488"/>
      <c r="AL703" s="488"/>
      <c r="AM703" s="488"/>
      <c r="AN703" s="488"/>
      <c r="AO703" s="488"/>
      <c r="AP703" s="488"/>
      <c r="AQ703" s="488"/>
      <c r="AR703" s="488"/>
      <c r="AS703" s="488"/>
      <c r="AT703" s="488"/>
      <c r="AU703" s="488"/>
      <c r="AV703" s="488"/>
      <c r="AW703" s="488"/>
      <c r="AX703" s="488"/>
      <c r="AY703" s="488"/>
      <c r="AZ703" s="488"/>
      <c r="BA703" s="488"/>
      <c r="BB703" s="488"/>
      <c r="BC703" s="488"/>
      <c r="BD703" s="488"/>
    </row>
    <row r="704" spans="3:56">
      <c r="C704" s="488"/>
      <c r="D704" s="488"/>
      <c r="E704" s="488"/>
      <c r="F704" s="488"/>
      <c r="G704" s="488"/>
      <c r="H704" s="488"/>
      <c r="I704" s="488"/>
      <c r="J704" s="488"/>
      <c r="K704" s="488"/>
      <c r="L704" s="488"/>
      <c r="M704" s="488"/>
      <c r="N704" s="488"/>
      <c r="O704" s="488"/>
      <c r="P704" s="488"/>
      <c r="Q704" s="488"/>
      <c r="R704" s="488"/>
      <c r="S704" s="488"/>
      <c r="T704" s="488"/>
      <c r="U704" s="488"/>
      <c r="V704" s="488"/>
      <c r="W704" s="488"/>
      <c r="X704" s="488"/>
      <c r="Y704" s="488"/>
      <c r="Z704" s="488"/>
      <c r="AA704" s="488"/>
      <c r="AB704" s="488"/>
      <c r="AC704" s="488"/>
      <c r="AD704" s="488"/>
      <c r="AE704" s="488"/>
      <c r="AF704" s="488"/>
      <c r="AG704" s="488"/>
      <c r="AH704" s="488"/>
      <c r="AI704" s="488"/>
      <c r="AJ704" s="488"/>
      <c r="AK704" s="488"/>
      <c r="AL704" s="488"/>
      <c r="AM704" s="488"/>
      <c r="AN704" s="488"/>
      <c r="AO704" s="488"/>
      <c r="AP704" s="488"/>
      <c r="AQ704" s="488"/>
      <c r="AR704" s="488"/>
      <c r="AS704" s="488"/>
      <c r="AT704" s="488"/>
      <c r="AU704" s="488"/>
      <c r="AV704" s="488"/>
      <c r="AW704" s="488"/>
      <c r="AX704" s="488"/>
      <c r="AY704" s="488"/>
      <c r="AZ704" s="488"/>
      <c r="BA704" s="488"/>
      <c r="BB704" s="488"/>
      <c r="BC704" s="488"/>
      <c r="BD704" s="488"/>
    </row>
    <row r="705" spans="3:56">
      <c r="C705" s="488"/>
      <c r="D705" s="488"/>
      <c r="E705" s="488"/>
      <c r="F705" s="488"/>
      <c r="G705" s="488"/>
      <c r="H705" s="488"/>
      <c r="I705" s="488"/>
      <c r="J705" s="488"/>
      <c r="K705" s="488"/>
      <c r="L705" s="488"/>
      <c r="M705" s="488"/>
      <c r="N705" s="488"/>
      <c r="O705" s="488"/>
      <c r="P705" s="488"/>
      <c r="Q705" s="488"/>
      <c r="R705" s="488"/>
      <c r="S705" s="488"/>
      <c r="T705" s="488"/>
      <c r="U705" s="488"/>
      <c r="V705" s="488"/>
      <c r="W705" s="488"/>
      <c r="X705" s="488"/>
      <c r="Y705" s="488"/>
      <c r="Z705" s="488"/>
      <c r="AA705" s="488"/>
      <c r="AB705" s="488"/>
      <c r="AC705" s="488"/>
      <c r="AD705" s="488"/>
      <c r="AE705" s="488"/>
      <c r="AF705" s="488"/>
      <c r="AG705" s="488"/>
      <c r="AH705" s="488"/>
      <c r="AI705" s="488"/>
      <c r="AJ705" s="488"/>
      <c r="AK705" s="488"/>
      <c r="AL705" s="488"/>
      <c r="AM705" s="488"/>
      <c r="AN705" s="488"/>
      <c r="AO705" s="488"/>
      <c r="AP705" s="488"/>
      <c r="AQ705" s="488"/>
      <c r="AR705" s="488"/>
      <c r="AS705" s="488"/>
      <c r="AT705" s="488"/>
      <c r="AU705" s="488"/>
      <c r="AV705" s="488"/>
      <c r="AW705" s="488"/>
      <c r="AX705" s="488"/>
      <c r="AY705" s="488"/>
      <c r="AZ705" s="488"/>
      <c r="BA705" s="488"/>
      <c r="BB705" s="488"/>
      <c r="BC705" s="488"/>
      <c r="BD705" s="488"/>
    </row>
    <row r="706" spans="3:56">
      <c r="C706" s="488"/>
      <c r="D706" s="488"/>
      <c r="E706" s="488"/>
      <c r="F706" s="488"/>
      <c r="G706" s="488"/>
      <c r="H706" s="488"/>
      <c r="I706" s="488"/>
      <c r="J706" s="488"/>
      <c r="K706" s="488"/>
      <c r="L706" s="488"/>
      <c r="M706" s="488"/>
      <c r="N706" s="488"/>
      <c r="O706" s="488"/>
      <c r="P706" s="488"/>
      <c r="Q706" s="488"/>
      <c r="R706" s="488"/>
      <c r="S706" s="488"/>
      <c r="T706" s="488"/>
      <c r="U706" s="488"/>
      <c r="V706" s="488"/>
      <c r="W706" s="488"/>
      <c r="X706" s="488"/>
      <c r="Y706" s="488"/>
      <c r="Z706" s="488"/>
      <c r="AA706" s="488"/>
      <c r="AB706" s="488"/>
      <c r="AC706" s="488"/>
      <c r="AD706" s="488"/>
      <c r="AE706" s="488"/>
      <c r="AF706" s="488"/>
      <c r="AG706" s="488"/>
      <c r="AH706" s="488"/>
      <c r="AI706" s="488"/>
      <c r="AJ706" s="488"/>
      <c r="AK706" s="488"/>
      <c r="AL706" s="488"/>
      <c r="AM706" s="488"/>
      <c r="AN706" s="488"/>
      <c r="AO706" s="488"/>
      <c r="AP706" s="488"/>
      <c r="AQ706" s="488"/>
      <c r="AR706" s="488"/>
      <c r="AS706" s="488"/>
      <c r="AT706" s="488"/>
      <c r="AU706" s="488"/>
      <c r="AV706" s="488"/>
      <c r="AW706" s="488"/>
      <c r="AX706" s="488"/>
      <c r="AY706" s="488"/>
      <c r="AZ706" s="488"/>
      <c r="BA706" s="488"/>
      <c r="BB706" s="488"/>
      <c r="BC706" s="488"/>
      <c r="BD706" s="488"/>
    </row>
    <row r="707" spans="3:56">
      <c r="C707" s="488"/>
      <c r="D707" s="488"/>
      <c r="E707" s="488"/>
      <c r="F707" s="488"/>
      <c r="G707" s="488"/>
      <c r="H707" s="488"/>
      <c r="I707" s="488"/>
      <c r="J707" s="488"/>
      <c r="K707" s="488"/>
      <c r="L707" s="488"/>
      <c r="M707" s="488"/>
      <c r="N707" s="488"/>
      <c r="O707" s="488"/>
      <c r="P707" s="488"/>
      <c r="Q707" s="488"/>
      <c r="R707" s="488"/>
      <c r="S707" s="488"/>
      <c r="T707" s="488"/>
      <c r="U707" s="488"/>
      <c r="V707" s="488"/>
      <c r="W707" s="488"/>
      <c r="X707" s="488"/>
      <c r="Y707" s="488"/>
      <c r="Z707" s="488"/>
      <c r="AA707" s="488"/>
      <c r="AB707" s="488"/>
      <c r="AC707" s="488"/>
      <c r="AD707" s="488"/>
      <c r="AE707" s="488"/>
      <c r="AF707" s="488"/>
      <c r="AG707" s="488"/>
      <c r="AH707" s="488"/>
      <c r="AI707" s="488"/>
      <c r="AJ707" s="488"/>
      <c r="AK707" s="488"/>
      <c r="AL707" s="488"/>
      <c r="AM707" s="488"/>
      <c r="AN707" s="488"/>
      <c r="AO707" s="488"/>
      <c r="AP707" s="488"/>
      <c r="AQ707" s="488"/>
      <c r="AR707" s="488"/>
      <c r="AS707" s="488"/>
      <c r="AT707" s="488"/>
      <c r="AU707" s="488"/>
      <c r="AV707" s="488"/>
      <c r="AW707" s="488"/>
      <c r="AX707" s="488"/>
      <c r="AY707" s="488"/>
      <c r="AZ707" s="488"/>
      <c r="BA707" s="488"/>
      <c r="BB707" s="488"/>
      <c r="BC707" s="488"/>
      <c r="BD707" s="488"/>
    </row>
    <row r="708" spans="3:56">
      <c r="C708" s="488"/>
      <c r="D708" s="488"/>
      <c r="E708" s="488"/>
      <c r="F708" s="488"/>
      <c r="G708" s="488"/>
      <c r="H708" s="488"/>
      <c r="I708" s="488"/>
      <c r="J708" s="488"/>
      <c r="K708" s="488"/>
      <c r="L708" s="488"/>
      <c r="M708" s="488"/>
      <c r="N708" s="488"/>
      <c r="O708" s="488"/>
      <c r="P708" s="488"/>
      <c r="Q708" s="488"/>
      <c r="R708" s="488"/>
      <c r="S708" s="488"/>
      <c r="T708" s="488"/>
      <c r="U708" s="488"/>
      <c r="V708" s="488"/>
      <c r="W708" s="488"/>
      <c r="X708" s="488"/>
      <c r="Y708" s="488"/>
      <c r="Z708" s="488"/>
      <c r="AA708" s="488"/>
      <c r="AB708" s="488"/>
      <c r="AC708" s="488"/>
      <c r="AD708" s="488"/>
      <c r="AE708" s="488"/>
      <c r="AF708" s="488"/>
      <c r="AG708" s="488"/>
      <c r="AH708" s="488"/>
      <c r="AI708" s="488"/>
      <c r="AJ708" s="488"/>
      <c r="AK708" s="488"/>
      <c r="AL708" s="488"/>
      <c r="AM708" s="488"/>
      <c r="AN708" s="488"/>
      <c r="AO708" s="488"/>
      <c r="AP708" s="488"/>
      <c r="AQ708" s="488"/>
      <c r="AR708" s="488"/>
      <c r="AS708" s="488"/>
      <c r="AT708" s="488"/>
      <c r="AU708" s="488"/>
      <c r="AV708" s="488"/>
      <c r="AW708" s="488"/>
      <c r="AX708" s="488"/>
      <c r="AY708" s="488"/>
      <c r="AZ708" s="488"/>
      <c r="BA708" s="488"/>
      <c r="BB708" s="488"/>
      <c r="BC708" s="488"/>
      <c r="BD708" s="488"/>
    </row>
    <row r="709" spans="3:56">
      <c r="C709" s="488"/>
      <c r="D709" s="488"/>
      <c r="E709" s="488"/>
      <c r="F709" s="488"/>
      <c r="G709" s="488"/>
      <c r="H709" s="488"/>
      <c r="I709" s="488"/>
      <c r="J709" s="488"/>
      <c r="K709" s="488"/>
      <c r="L709" s="488"/>
      <c r="M709" s="488"/>
      <c r="N709" s="488"/>
      <c r="O709" s="488"/>
      <c r="P709" s="488"/>
      <c r="Q709" s="488"/>
      <c r="R709" s="488"/>
      <c r="S709" s="488"/>
      <c r="T709" s="488"/>
      <c r="U709" s="488"/>
      <c r="V709" s="488"/>
      <c r="W709" s="488"/>
      <c r="X709" s="488"/>
      <c r="Y709" s="488"/>
      <c r="Z709" s="488"/>
      <c r="AA709" s="488"/>
      <c r="AB709" s="488"/>
      <c r="AC709" s="488"/>
      <c r="AD709" s="488"/>
      <c r="AE709" s="488"/>
      <c r="AF709" s="488"/>
      <c r="AG709" s="488"/>
      <c r="AH709" s="488"/>
      <c r="AI709" s="488"/>
      <c r="AJ709" s="488"/>
      <c r="AK709" s="488"/>
      <c r="AL709" s="488"/>
      <c r="AM709" s="488"/>
      <c r="AN709" s="488"/>
      <c r="AO709" s="488"/>
      <c r="AP709" s="488"/>
      <c r="AQ709" s="488"/>
      <c r="AR709" s="488"/>
      <c r="AS709" s="488"/>
      <c r="AT709" s="488"/>
      <c r="AU709" s="488"/>
      <c r="AV709" s="488"/>
      <c r="AW709" s="488"/>
      <c r="AX709" s="488"/>
      <c r="AY709" s="488"/>
      <c r="AZ709" s="488"/>
      <c r="BA709" s="488"/>
      <c r="BB709" s="488"/>
      <c r="BC709" s="488"/>
      <c r="BD709" s="488"/>
    </row>
    <row r="710" spans="3:56">
      <c r="C710" s="488"/>
      <c r="D710" s="488"/>
      <c r="E710" s="488"/>
      <c r="F710" s="488"/>
      <c r="G710" s="488"/>
      <c r="H710" s="488"/>
      <c r="I710" s="488"/>
      <c r="J710" s="488"/>
      <c r="K710" s="488"/>
      <c r="L710" s="488"/>
      <c r="M710" s="488"/>
      <c r="N710" s="488"/>
      <c r="O710" s="488"/>
      <c r="P710" s="488"/>
      <c r="Q710" s="488"/>
      <c r="R710" s="488"/>
      <c r="S710" s="488"/>
      <c r="T710" s="488"/>
      <c r="U710" s="488"/>
      <c r="V710" s="488"/>
      <c r="W710" s="488"/>
      <c r="X710" s="488"/>
      <c r="Y710" s="488"/>
      <c r="Z710" s="488"/>
      <c r="AA710" s="488"/>
      <c r="AB710" s="488"/>
      <c r="AC710" s="488"/>
      <c r="AD710" s="488"/>
      <c r="AE710" s="488"/>
      <c r="AF710" s="488"/>
      <c r="AG710" s="488"/>
      <c r="AH710" s="488"/>
      <c r="AI710" s="488"/>
      <c r="AJ710" s="488"/>
      <c r="AK710" s="488"/>
      <c r="AL710" s="488"/>
      <c r="AM710" s="488"/>
      <c r="AN710" s="488"/>
      <c r="AO710" s="488"/>
      <c r="AP710" s="488"/>
      <c r="AQ710" s="488"/>
      <c r="AR710" s="488"/>
      <c r="AS710" s="488"/>
      <c r="AT710" s="488"/>
      <c r="AU710" s="488"/>
      <c r="AV710" s="488"/>
      <c r="AW710" s="488"/>
      <c r="AX710" s="488"/>
      <c r="AY710" s="488"/>
      <c r="AZ710" s="488"/>
      <c r="BA710" s="488"/>
      <c r="BB710" s="488"/>
      <c r="BC710" s="488"/>
      <c r="BD710" s="488"/>
    </row>
    <row r="711" spans="3:56">
      <c r="C711" s="488"/>
      <c r="D711" s="488"/>
      <c r="E711" s="488"/>
      <c r="F711" s="488"/>
      <c r="G711" s="488"/>
      <c r="H711" s="488"/>
      <c r="I711" s="488"/>
      <c r="J711" s="488"/>
      <c r="K711" s="488"/>
      <c r="L711" s="488"/>
      <c r="M711" s="488"/>
      <c r="N711" s="488"/>
      <c r="O711" s="488"/>
      <c r="P711" s="488"/>
      <c r="Q711" s="488"/>
      <c r="R711" s="488"/>
      <c r="S711" s="488"/>
      <c r="T711" s="488"/>
      <c r="U711" s="488"/>
      <c r="V711" s="488"/>
      <c r="W711" s="488"/>
      <c r="X711" s="488"/>
      <c r="Y711" s="488"/>
      <c r="Z711" s="488"/>
      <c r="AA711" s="488"/>
      <c r="AB711" s="488"/>
      <c r="AC711" s="488"/>
      <c r="AD711" s="488"/>
      <c r="AE711" s="488"/>
      <c r="AF711" s="488"/>
      <c r="AG711" s="488"/>
      <c r="AH711" s="488"/>
      <c r="AI711" s="488"/>
      <c r="AJ711" s="488"/>
      <c r="AK711" s="488"/>
      <c r="AL711" s="488"/>
      <c r="AM711" s="488"/>
      <c r="AN711" s="488"/>
      <c r="AO711" s="488"/>
      <c r="AP711" s="488"/>
      <c r="AQ711" s="488"/>
      <c r="AR711" s="488"/>
      <c r="AS711" s="488"/>
      <c r="AT711" s="488"/>
      <c r="AU711" s="488"/>
      <c r="AV711" s="488"/>
      <c r="AW711" s="488"/>
      <c r="AX711" s="488"/>
      <c r="AY711" s="488"/>
      <c r="AZ711" s="488"/>
      <c r="BA711" s="488"/>
      <c r="BB711" s="488"/>
      <c r="BC711" s="488"/>
      <c r="BD711" s="488"/>
    </row>
    <row r="712" spans="3:56">
      <c r="C712" s="488"/>
      <c r="D712" s="488"/>
      <c r="E712" s="488"/>
      <c r="F712" s="488"/>
      <c r="G712" s="488"/>
      <c r="H712" s="488"/>
      <c r="I712" s="488"/>
      <c r="J712" s="488"/>
      <c r="K712" s="488"/>
      <c r="L712" s="488"/>
      <c r="M712" s="488"/>
      <c r="N712" s="488"/>
      <c r="O712" s="488"/>
      <c r="P712" s="488"/>
      <c r="Q712" s="488"/>
      <c r="R712" s="488"/>
      <c r="S712" s="488"/>
      <c r="T712" s="488"/>
      <c r="U712" s="488"/>
      <c r="V712" s="488"/>
      <c r="W712" s="488"/>
      <c r="X712" s="488"/>
      <c r="Y712" s="488"/>
      <c r="Z712" s="488"/>
      <c r="AA712" s="488"/>
      <c r="AB712" s="488"/>
      <c r="AC712" s="488"/>
      <c r="AD712" s="488"/>
      <c r="AE712" s="488"/>
      <c r="AF712" s="488"/>
      <c r="AG712" s="488"/>
      <c r="AH712" s="488"/>
      <c r="AI712" s="488"/>
      <c r="AJ712" s="488"/>
      <c r="AK712" s="488"/>
      <c r="AL712" s="488"/>
      <c r="AM712" s="488"/>
      <c r="AN712" s="488"/>
      <c r="AO712" s="488"/>
      <c r="AP712" s="488"/>
      <c r="AQ712" s="488"/>
      <c r="AR712" s="488"/>
      <c r="AS712" s="488"/>
      <c r="AT712" s="488"/>
      <c r="AU712" s="488"/>
      <c r="AV712" s="488"/>
      <c r="AW712" s="488"/>
      <c r="AX712" s="488"/>
      <c r="AY712" s="488"/>
      <c r="AZ712" s="488"/>
      <c r="BA712" s="488"/>
      <c r="BB712" s="488"/>
      <c r="BC712" s="488"/>
      <c r="BD712" s="488"/>
    </row>
    <row r="713" spans="3:56">
      <c r="C713" s="488"/>
      <c r="D713" s="488"/>
      <c r="E713" s="488"/>
      <c r="F713" s="488"/>
      <c r="G713" s="488"/>
      <c r="H713" s="488"/>
      <c r="I713" s="488"/>
      <c r="J713" s="488"/>
      <c r="K713" s="488"/>
      <c r="L713" s="488"/>
      <c r="M713" s="488"/>
      <c r="N713" s="488"/>
      <c r="O713" s="488"/>
      <c r="P713" s="488"/>
      <c r="Q713" s="488"/>
      <c r="R713" s="488"/>
      <c r="S713" s="488"/>
      <c r="T713" s="488"/>
      <c r="U713" s="488"/>
      <c r="V713" s="488"/>
      <c r="W713" s="488"/>
      <c r="X713" s="488"/>
      <c r="Y713" s="488"/>
      <c r="Z713" s="488"/>
      <c r="AA713" s="488"/>
      <c r="AB713" s="488"/>
      <c r="AC713" s="488"/>
      <c r="AD713" s="488"/>
      <c r="AE713" s="488"/>
      <c r="AF713" s="488"/>
      <c r="AG713" s="488"/>
      <c r="AH713" s="488"/>
      <c r="AI713" s="488"/>
      <c r="AJ713" s="488"/>
      <c r="AK713" s="488"/>
      <c r="AL713" s="488"/>
      <c r="AM713" s="488"/>
      <c r="AN713" s="488"/>
      <c r="AO713" s="488"/>
      <c r="AP713" s="488"/>
      <c r="AQ713" s="488"/>
      <c r="AR713" s="488"/>
      <c r="AS713" s="488"/>
      <c r="AT713" s="488"/>
      <c r="AU713" s="488"/>
      <c r="AV713" s="488"/>
      <c r="AW713" s="488"/>
      <c r="AX713" s="488"/>
      <c r="AY713" s="488"/>
      <c r="AZ713" s="488"/>
      <c r="BA713" s="488"/>
      <c r="BB713" s="488"/>
      <c r="BC713" s="488"/>
      <c r="BD713" s="488"/>
    </row>
    <row r="714" spans="3:56">
      <c r="C714" s="488"/>
      <c r="D714" s="488"/>
      <c r="E714" s="488"/>
      <c r="F714" s="488"/>
      <c r="G714" s="488"/>
      <c r="H714" s="488"/>
      <c r="I714" s="488"/>
      <c r="J714" s="488"/>
      <c r="K714" s="488"/>
      <c r="L714" s="488"/>
      <c r="M714" s="488"/>
      <c r="N714" s="488"/>
      <c r="O714" s="488"/>
      <c r="P714" s="488"/>
      <c r="Q714" s="488"/>
      <c r="R714" s="488"/>
      <c r="S714" s="488"/>
      <c r="T714" s="488"/>
      <c r="U714" s="488"/>
      <c r="V714" s="488"/>
      <c r="W714" s="488"/>
      <c r="X714" s="488"/>
      <c r="Y714" s="488"/>
      <c r="Z714" s="488"/>
      <c r="AA714" s="488"/>
      <c r="AB714" s="488"/>
      <c r="AC714" s="488"/>
      <c r="AD714" s="488"/>
      <c r="AE714" s="488"/>
      <c r="AF714" s="488"/>
      <c r="AG714" s="488"/>
      <c r="AH714" s="488"/>
      <c r="AI714" s="488"/>
      <c r="AJ714" s="488"/>
      <c r="AK714" s="488"/>
      <c r="AL714" s="488"/>
      <c r="AM714" s="488"/>
      <c r="AN714" s="488"/>
      <c r="AO714" s="488"/>
      <c r="AP714" s="488"/>
      <c r="AQ714" s="488"/>
      <c r="AR714" s="488"/>
      <c r="AS714" s="488"/>
      <c r="AT714" s="488"/>
      <c r="AU714" s="488"/>
      <c r="AV714" s="488"/>
      <c r="AW714" s="488"/>
      <c r="AX714" s="488"/>
      <c r="AY714" s="488"/>
      <c r="AZ714" s="488"/>
      <c r="BA714" s="488"/>
      <c r="BB714" s="488"/>
      <c r="BC714" s="488"/>
      <c r="BD714" s="488"/>
    </row>
    <row r="715" spans="3:56">
      <c r="C715" s="488"/>
      <c r="D715" s="488"/>
      <c r="E715" s="488"/>
      <c r="F715" s="488"/>
      <c r="G715" s="488"/>
      <c r="H715" s="488"/>
      <c r="I715" s="488"/>
      <c r="J715" s="488"/>
      <c r="K715" s="488"/>
      <c r="L715" s="488"/>
      <c r="M715" s="488"/>
      <c r="N715" s="488"/>
      <c r="O715" s="488"/>
      <c r="P715" s="488"/>
      <c r="Q715" s="488"/>
      <c r="R715" s="488"/>
      <c r="S715" s="488"/>
      <c r="T715" s="488"/>
      <c r="U715" s="488"/>
      <c r="V715" s="488"/>
      <c r="W715" s="488"/>
      <c r="X715" s="488"/>
      <c r="Y715" s="488"/>
      <c r="Z715" s="488"/>
      <c r="AA715" s="488"/>
      <c r="AB715" s="488"/>
      <c r="AC715" s="488"/>
      <c r="AD715" s="488"/>
      <c r="AE715" s="488"/>
      <c r="AF715" s="488"/>
      <c r="AG715" s="488"/>
      <c r="AH715" s="488"/>
      <c r="AI715" s="488"/>
      <c r="AJ715" s="488"/>
      <c r="AK715" s="488"/>
      <c r="AL715" s="488"/>
      <c r="AM715" s="488"/>
      <c r="AN715" s="488"/>
      <c r="AO715" s="488"/>
      <c r="AP715" s="488"/>
      <c r="AQ715" s="488"/>
      <c r="AR715" s="488"/>
      <c r="AS715" s="488"/>
      <c r="AT715" s="488"/>
      <c r="AU715" s="488"/>
      <c r="AV715" s="488"/>
      <c r="AW715" s="488"/>
      <c r="AX715" s="488"/>
      <c r="AY715" s="488"/>
      <c r="AZ715" s="488"/>
      <c r="BA715" s="488"/>
      <c r="BB715" s="488"/>
      <c r="BC715" s="488"/>
      <c r="BD715" s="488"/>
    </row>
    <row r="716" spans="3:56">
      <c r="C716" s="488"/>
      <c r="D716" s="488"/>
      <c r="E716" s="488"/>
      <c r="F716" s="488"/>
      <c r="G716" s="488"/>
      <c r="H716" s="488"/>
      <c r="I716" s="488"/>
      <c r="J716" s="488"/>
      <c r="K716" s="488"/>
      <c r="L716" s="488"/>
      <c r="M716" s="488"/>
      <c r="N716" s="488"/>
      <c r="O716" s="488"/>
      <c r="P716" s="488"/>
      <c r="Q716" s="488"/>
      <c r="R716" s="488"/>
      <c r="S716" s="488"/>
      <c r="T716" s="488"/>
      <c r="U716" s="488"/>
      <c r="V716" s="488"/>
      <c r="W716" s="488"/>
      <c r="X716" s="488"/>
      <c r="Y716" s="488"/>
      <c r="Z716" s="488"/>
      <c r="AA716" s="488"/>
      <c r="AB716" s="488"/>
      <c r="AC716" s="488"/>
      <c r="AD716" s="488"/>
      <c r="AE716" s="488"/>
      <c r="AF716" s="488"/>
      <c r="AG716" s="488"/>
      <c r="AH716" s="488"/>
      <c r="AI716" s="488"/>
      <c r="AJ716" s="488"/>
      <c r="AK716" s="488"/>
      <c r="AL716" s="488"/>
      <c r="AM716" s="488"/>
      <c r="AN716" s="488"/>
      <c r="AO716" s="488"/>
      <c r="AP716" s="488"/>
      <c r="AQ716" s="488"/>
      <c r="AR716" s="488"/>
      <c r="AS716" s="488"/>
      <c r="AT716" s="488"/>
      <c r="AU716" s="488"/>
      <c r="AV716" s="488"/>
      <c r="AW716" s="488"/>
      <c r="AX716" s="488"/>
      <c r="AY716" s="488"/>
      <c r="AZ716" s="488"/>
      <c r="BA716" s="488"/>
      <c r="BB716" s="488"/>
      <c r="BC716" s="488"/>
      <c r="BD716" s="488"/>
    </row>
    <row r="717" spans="3:56">
      <c r="C717" s="488"/>
      <c r="D717" s="488"/>
      <c r="E717" s="488"/>
      <c r="F717" s="488"/>
      <c r="G717" s="488"/>
      <c r="H717" s="488"/>
      <c r="I717" s="488"/>
      <c r="J717" s="488"/>
      <c r="K717" s="488"/>
      <c r="L717" s="488"/>
      <c r="M717" s="488"/>
      <c r="N717" s="488"/>
      <c r="O717" s="488"/>
      <c r="P717" s="488"/>
      <c r="Q717" s="488"/>
      <c r="R717" s="488"/>
      <c r="S717" s="488"/>
      <c r="T717" s="488"/>
      <c r="U717" s="488"/>
      <c r="V717" s="488"/>
      <c r="W717" s="488"/>
      <c r="X717" s="488"/>
      <c r="Y717" s="488"/>
      <c r="Z717" s="488"/>
      <c r="AA717" s="488"/>
      <c r="AB717" s="488"/>
      <c r="AC717" s="488"/>
      <c r="AD717" s="488"/>
      <c r="AE717" s="488"/>
      <c r="AF717" s="488"/>
      <c r="AG717" s="488"/>
      <c r="AH717" s="488"/>
      <c r="AI717" s="488"/>
      <c r="AJ717" s="488"/>
      <c r="AK717" s="488"/>
      <c r="AL717" s="488"/>
      <c r="AM717" s="488"/>
      <c r="AN717" s="488"/>
      <c r="AO717" s="488"/>
      <c r="AP717" s="488"/>
      <c r="AQ717" s="488"/>
      <c r="AR717" s="488"/>
      <c r="AS717" s="488"/>
      <c r="AT717" s="488"/>
      <c r="AU717" s="488"/>
      <c r="AV717" s="488"/>
      <c r="AW717" s="488"/>
      <c r="AX717" s="488"/>
      <c r="AY717" s="488"/>
      <c r="AZ717" s="488"/>
      <c r="BA717" s="488"/>
      <c r="BB717" s="488"/>
      <c r="BC717" s="488"/>
      <c r="BD717" s="488"/>
    </row>
    <row r="718" spans="3:56">
      <c r="C718" s="488"/>
      <c r="D718" s="488"/>
      <c r="E718" s="488"/>
      <c r="F718" s="488"/>
      <c r="G718" s="488"/>
      <c r="H718" s="488"/>
      <c r="I718" s="488"/>
      <c r="J718" s="488"/>
      <c r="K718" s="488"/>
      <c r="L718" s="488"/>
      <c r="M718" s="488"/>
      <c r="N718" s="488"/>
      <c r="O718" s="488"/>
      <c r="P718" s="488"/>
      <c r="Q718" s="488"/>
      <c r="R718" s="488"/>
      <c r="S718" s="488"/>
      <c r="T718" s="488"/>
      <c r="U718" s="488"/>
      <c r="V718" s="488"/>
      <c r="W718" s="488"/>
      <c r="X718" s="488"/>
      <c r="Y718" s="488"/>
      <c r="Z718" s="488"/>
      <c r="AA718" s="488"/>
      <c r="AB718" s="488"/>
      <c r="AC718" s="488"/>
      <c r="AD718" s="488"/>
      <c r="AE718" s="488"/>
      <c r="AF718" s="488"/>
      <c r="AG718" s="488"/>
      <c r="AH718" s="488"/>
      <c r="AI718" s="488"/>
      <c r="AJ718" s="488"/>
      <c r="AK718" s="488"/>
      <c r="AL718" s="488"/>
      <c r="AM718" s="488"/>
      <c r="AN718" s="488"/>
      <c r="AO718" s="488"/>
      <c r="AP718" s="488"/>
      <c r="AQ718" s="488"/>
      <c r="AR718" s="488"/>
      <c r="AS718" s="488"/>
      <c r="AT718" s="488"/>
      <c r="AU718" s="488"/>
      <c r="AV718" s="488"/>
      <c r="AW718" s="488"/>
      <c r="AX718" s="488"/>
      <c r="AY718" s="488"/>
      <c r="AZ718" s="488"/>
      <c r="BA718" s="488"/>
      <c r="BB718" s="488"/>
      <c r="BC718" s="488"/>
      <c r="BD718" s="488"/>
    </row>
    <row r="719" spans="3:56">
      <c r="C719" s="488"/>
      <c r="D719" s="488"/>
      <c r="E719" s="488"/>
      <c r="F719" s="488"/>
      <c r="G719" s="488"/>
      <c r="H719" s="488"/>
      <c r="I719" s="488"/>
      <c r="J719" s="488"/>
      <c r="K719" s="488"/>
      <c r="L719" s="488"/>
      <c r="M719" s="488"/>
      <c r="N719" s="488"/>
      <c r="O719" s="488"/>
      <c r="P719" s="488"/>
      <c r="Q719" s="488"/>
      <c r="R719" s="488"/>
      <c r="S719" s="488"/>
      <c r="T719" s="488"/>
      <c r="U719" s="488"/>
      <c r="V719" s="488"/>
      <c r="W719" s="488"/>
      <c r="X719" s="488"/>
      <c r="Y719" s="488"/>
      <c r="Z719" s="488"/>
      <c r="AA719" s="488"/>
      <c r="AB719" s="488"/>
      <c r="AC719" s="488"/>
      <c r="AD719" s="488"/>
      <c r="AE719" s="488"/>
      <c r="AF719" s="488"/>
      <c r="AG719" s="488"/>
      <c r="AH719" s="488"/>
      <c r="AI719" s="488"/>
      <c r="AJ719" s="488"/>
      <c r="AK719" s="488"/>
      <c r="AL719" s="488"/>
      <c r="AM719" s="488"/>
      <c r="AN719" s="488"/>
      <c r="AO719" s="488"/>
      <c r="AP719" s="488"/>
      <c r="AQ719" s="488"/>
      <c r="AR719" s="488"/>
      <c r="AS719" s="488"/>
      <c r="AT719" s="488"/>
      <c r="AU719" s="488"/>
      <c r="AV719" s="488"/>
      <c r="AW719" s="488"/>
      <c r="AX719" s="488"/>
      <c r="AY719" s="488"/>
      <c r="AZ719" s="488"/>
      <c r="BA719" s="488"/>
      <c r="BB719" s="488"/>
      <c r="BC719" s="488"/>
      <c r="BD719" s="488"/>
    </row>
    <row r="720" spans="3:56">
      <c r="C720" s="488"/>
      <c r="D720" s="488"/>
      <c r="E720" s="488"/>
      <c r="F720" s="488"/>
      <c r="G720" s="488"/>
      <c r="H720" s="488"/>
      <c r="I720" s="488"/>
      <c r="J720" s="488"/>
      <c r="K720" s="488"/>
      <c r="L720" s="488"/>
      <c r="M720" s="488"/>
      <c r="N720" s="488"/>
      <c r="O720" s="488"/>
      <c r="P720" s="488"/>
      <c r="Q720" s="488"/>
      <c r="R720" s="488"/>
      <c r="S720" s="488"/>
      <c r="T720" s="488"/>
      <c r="U720" s="488"/>
      <c r="V720" s="488"/>
      <c r="W720" s="488"/>
      <c r="X720" s="488"/>
      <c r="Y720" s="488"/>
      <c r="Z720" s="488"/>
      <c r="AA720" s="488"/>
      <c r="AB720" s="488"/>
      <c r="AC720" s="488"/>
      <c r="AD720" s="488"/>
      <c r="AE720" s="488"/>
      <c r="AF720" s="488"/>
      <c r="AG720" s="488"/>
      <c r="AH720" s="488"/>
      <c r="AI720" s="488"/>
      <c r="AJ720" s="488"/>
      <c r="AK720" s="488"/>
      <c r="AL720" s="488"/>
      <c r="AM720" s="488"/>
      <c r="AN720" s="488"/>
      <c r="AO720" s="488"/>
      <c r="AP720" s="488"/>
      <c r="AQ720" s="488"/>
      <c r="AR720" s="488"/>
      <c r="AS720" s="488"/>
      <c r="AT720" s="488"/>
      <c r="AU720" s="488"/>
      <c r="AV720" s="488"/>
      <c r="AW720" s="488"/>
      <c r="AX720" s="488"/>
      <c r="AY720" s="488"/>
      <c r="AZ720" s="488"/>
      <c r="BA720" s="488"/>
      <c r="BB720" s="488"/>
      <c r="BC720" s="488"/>
      <c r="BD720" s="488"/>
    </row>
    <row r="721" spans="3:56">
      <c r="C721" s="488"/>
      <c r="D721" s="488"/>
      <c r="E721" s="488"/>
      <c r="F721" s="488"/>
      <c r="G721" s="488"/>
      <c r="H721" s="488"/>
      <c r="I721" s="488"/>
      <c r="J721" s="488"/>
      <c r="K721" s="488"/>
      <c r="L721" s="488"/>
      <c r="M721" s="488"/>
      <c r="N721" s="488"/>
      <c r="O721" s="488"/>
      <c r="P721" s="488"/>
      <c r="Q721" s="488"/>
      <c r="R721" s="488"/>
      <c r="S721" s="488"/>
      <c r="T721" s="488"/>
      <c r="U721" s="488"/>
      <c r="V721" s="488"/>
      <c r="W721" s="488"/>
      <c r="X721" s="488"/>
      <c r="Y721" s="488"/>
      <c r="Z721" s="488"/>
      <c r="AA721" s="488"/>
      <c r="AB721" s="488"/>
      <c r="AC721" s="488"/>
      <c r="AD721" s="488"/>
      <c r="AE721" s="488"/>
      <c r="AF721" s="488"/>
      <c r="AG721" s="488"/>
      <c r="AH721" s="488"/>
      <c r="AI721" s="488"/>
      <c r="AJ721" s="488"/>
      <c r="AK721" s="488"/>
      <c r="AL721" s="488"/>
      <c r="AM721" s="488"/>
      <c r="AN721" s="488"/>
      <c r="AO721" s="488"/>
      <c r="AP721" s="488"/>
      <c r="AQ721" s="488"/>
      <c r="AR721" s="488"/>
      <c r="AS721" s="488"/>
      <c r="AT721" s="488"/>
      <c r="AU721" s="488"/>
      <c r="AV721" s="488"/>
      <c r="AW721" s="488"/>
      <c r="AX721" s="488"/>
      <c r="AY721" s="488"/>
      <c r="AZ721" s="488"/>
      <c r="BA721" s="488"/>
      <c r="BB721" s="488"/>
      <c r="BC721" s="488"/>
      <c r="BD721" s="488"/>
    </row>
    <row r="722" spans="3:56">
      <c r="C722" s="488"/>
      <c r="D722" s="488"/>
      <c r="E722" s="488"/>
      <c r="F722" s="488"/>
      <c r="G722" s="488"/>
      <c r="H722" s="488"/>
      <c r="I722" s="488"/>
      <c r="J722" s="488"/>
      <c r="K722" s="488"/>
      <c r="L722" s="488"/>
      <c r="M722" s="488"/>
      <c r="N722" s="488"/>
      <c r="O722" s="488"/>
      <c r="P722" s="488"/>
      <c r="Q722" s="488"/>
      <c r="R722" s="488"/>
      <c r="S722" s="488"/>
      <c r="T722" s="488"/>
      <c r="U722" s="488"/>
      <c r="V722" s="488"/>
      <c r="W722" s="488"/>
      <c r="X722" s="488"/>
      <c r="Y722" s="488"/>
      <c r="Z722" s="488"/>
      <c r="AA722" s="488"/>
      <c r="AB722" s="488"/>
      <c r="AC722" s="488"/>
      <c r="AD722" s="488"/>
      <c r="AE722" s="488"/>
      <c r="AF722" s="488"/>
      <c r="AG722" s="488"/>
      <c r="AH722" s="488"/>
      <c r="AI722" s="488"/>
      <c r="AJ722" s="488"/>
      <c r="AK722" s="488"/>
      <c r="AL722" s="488"/>
      <c r="AM722" s="488"/>
      <c r="AN722" s="488"/>
      <c r="AO722" s="488"/>
      <c r="AP722" s="488"/>
      <c r="AQ722" s="488"/>
      <c r="AR722" s="488"/>
      <c r="AS722" s="488"/>
      <c r="AT722" s="488"/>
      <c r="AU722" s="488"/>
      <c r="AV722" s="488"/>
      <c r="AW722" s="488"/>
      <c r="AX722" s="488"/>
      <c r="AY722" s="488"/>
      <c r="AZ722" s="488"/>
      <c r="BA722" s="488"/>
      <c r="BB722" s="488"/>
      <c r="BC722" s="488"/>
      <c r="BD722" s="488"/>
    </row>
    <row r="723" spans="3:56">
      <c r="C723" s="488"/>
      <c r="D723" s="488"/>
      <c r="E723" s="488"/>
      <c r="F723" s="488"/>
      <c r="G723" s="488"/>
      <c r="H723" s="488"/>
      <c r="I723" s="488"/>
      <c r="J723" s="488"/>
      <c r="K723" s="488"/>
      <c r="L723" s="488"/>
      <c r="M723" s="488"/>
      <c r="N723" s="488"/>
      <c r="O723" s="488"/>
      <c r="P723" s="488"/>
      <c r="Q723" s="488"/>
      <c r="R723" s="488"/>
      <c r="S723" s="488"/>
      <c r="T723" s="488"/>
      <c r="U723" s="488"/>
      <c r="V723" s="488"/>
      <c r="W723" s="488"/>
      <c r="X723" s="488"/>
      <c r="Y723" s="488"/>
      <c r="Z723" s="488"/>
      <c r="AA723" s="488"/>
      <c r="AB723" s="488"/>
      <c r="AC723" s="488"/>
      <c r="AD723" s="488"/>
      <c r="AE723" s="488"/>
      <c r="AF723" s="488"/>
      <c r="AG723" s="488"/>
      <c r="AH723" s="488"/>
      <c r="AI723" s="488"/>
      <c r="AJ723" s="488"/>
      <c r="AK723" s="488"/>
      <c r="AL723" s="488"/>
      <c r="AM723" s="488"/>
      <c r="AN723" s="488"/>
      <c r="AO723" s="488"/>
      <c r="AP723" s="488"/>
      <c r="AQ723" s="488"/>
      <c r="AR723" s="488"/>
      <c r="AS723" s="488"/>
      <c r="AT723" s="488"/>
      <c r="AU723" s="488"/>
      <c r="AV723" s="488"/>
      <c r="AW723" s="488"/>
      <c r="AX723" s="488"/>
      <c r="AY723" s="488"/>
      <c r="AZ723" s="488"/>
      <c r="BA723" s="488"/>
      <c r="BB723" s="488"/>
      <c r="BC723" s="488"/>
      <c r="BD723" s="488"/>
    </row>
    <row r="724" spans="3:56">
      <c r="C724" s="488"/>
      <c r="D724" s="488"/>
      <c r="E724" s="488"/>
      <c r="F724" s="488"/>
      <c r="G724" s="488"/>
      <c r="H724" s="488"/>
      <c r="I724" s="488"/>
      <c r="J724" s="488"/>
      <c r="K724" s="488"/>
      <c r="L724" s="488"/>
      <c r="M724" s="488"/>
      <c r="N724" s="488"/>
      <c r="O724" s="488"/>
      <c r="P724" s="488"/>
      <c r="Q724" s="488"/>
      <c r="R724" s="488"/>
      <c r="S724" s="488"/>
      <c r="T724" s="488"/>
      <c r="U724" s="488"/>
      <c r="V724" s="488"/>
      <c r="W724" s="488"/>
      <c r="X724" s="488"/>
      <c r="Y724" s="488"/>
      <c r="Z724" s="488"/>
      <c r="AA724" s="488"/>
      <c r="AB724" s="488"/>
      <c r="AC724" s="488"/>
      <c r="AD724" s="488"/>
      <c r="AE724" s="488"/>
      <c r="AF724" s="488"/>
      <c r="AG724" s="488"/>
      <c r="AH724" s="488"/>
      <c r="AI724" s="488"/>
      <c r="AJ724" s="488"/>
      <c r="AK724" s="488"/>
      <c r="AL724" s="488"/>
      <c r="AM724" s="488"/>
      <c r="AN724" s="488"/>
      <c r="AO724" s="488"/>
      <c r="AP724" s="488"/>
      <c r="AQ724" s="488"/>
      <c r="AR724" s="488"/>
      <c r="AS724" s="488"/>
      <c r="AT724" s="488"/>
      <c r="AU724" s="488"/>
      <c r="AV724" s="488"/>
      <c r="AW724" s="488"/>
      <c r="AX724" s="488"/>
      <c r="AY724" s="488"/>
      <c r="AZ724" s="488"/>
      <c r="BA724" s="488"/>
      <c r="BB724" s="488"/>
      <c r="BC724" s="488"/>
      <c r="BD724" s="488"/>
    </row>
    <row r="725" spans="3:56">
      <c r="C725" s="488"/>
      <c r="D725" s="488"/>
      <c r="E725" s="488"/>
      <c r="F725" s="488"/>
      <c r="G725" s="488"/>
      <c r="H725" s="488"/>
      <c r="I725" s="488"/>
      <c r="J725" s="488"/>
      <c r="K725" s="488"/>
      <c r="L725" s="488"/>
      <c r="M725" s="488"/>
      <c r="N725" s="488"/>
      <c r="O725" s="488"/>
      <c r="P725" s="488"/>
      <c r="Q725" s="488"/>
      <c r="R725" s="488"/>
      <c r="S725" s="488"/>
      <c r="T725" s="488"/>
      <c r="U725" s="488"/>
      <c r="V725" s="488"/>
      <c r="W725" s="488"/>
      <c r="X725" s="488"/>
      <c r="Y725" s="488"/>
      <c r="Z725" s="488"/>
      <c r="AA725" s="488"/>
      <c r="AB725" s="488"/>
      <c r="AC725" s="488"/>
      <c r="AD725" s="488"/>
      <c r="AE725" s="488"/>
      <c r="AF725" s="488"/>
      <c r="AG725" s="488"/>
      <c r="AH725" s="488"/>
      <c r="AI725" s="488"/>
      <c r="AJ725" s="488"/>
      <c r="AK725" s="488"/>
      <c r="AL725" s="488"/>
      <c r="AM725" s="488"/>
      <c r="AN725" s="488"/>
      <c r="AO725" s="488"/>
      <c r="AP725" s="488"/>
      <c r="AQ725" s="488"/>
      <c r="AR725" s="488"/>
      <c r="AS725" s="488"/>
      <c r="AT725" s="488"/>
      <c r="AU725" s="488"/>
      <c r="AV725" s="488"/>
      <c r="AW725" s="488"/>
      <c r="AX725" s="488"/>
      <c r="AY725" s="488"/>
      <c r="AZ725" s="488"/>
      <c r="BA725" s="488"/>
      <c r="BB725" s="488"/>
      <c r="BC725" s="488"/>
      <c r="BD725" s="488"/>
    </row>
    <row r="726" spans="3:56">
      <c r="C726" s="488"/>
      <c r="D726" s="488"/>
      <c r="E726" s="488"/>
      <c r="F726" s="488"/>
      <c r="G726" s="488"/>
      <c r="H726" s="488"/>
      <c r="I726" s="488"/>
      <c r="J726" s="488"/>
      <c r="K726" s="488"/>
      <c r="L726" s="488"/>
      <c r="M726" s="488"/>
      <c r="N726" s="488"/>
      <c r="O726" s="488"/>
      <c r="P726" s="488"/>
      <c r="Q726" s="488"/>
      <c r="R726" s="488"/>
      <c r="S726" s="488"/>
      <c r="T726" s="488"/>
      <c r="U726" s="488"/>
      <c r="V726" s="488"/>
      <c r="W726" s="488"/>
      <c r="X726" s="488"/>
      <c r="Y726" s="488"/>
      <c r="Z726" s="488"/>
      <c r="AA726" s="488"/>
      <c r="AB726" s="488"/>
      <c r="AC726" s="488"/>
      <c r="AD726" s="488"/>
      <c r="AE726" s="488"/>
      <c r="AF726" s="488"/>
      <c r="AG726" s="488"/>
      <c r="AH726" s="488"/>
      <c r="AI726" s="488"/>
      <c r="AJ726" s="488"/>
      <c r="AK726" s="488"/>
      <c r="AL726" s="488"/>
      <c r="AM726" s="488"/>
      <c r="AN726" s="488"/>
      <c r="AO726" s="488"/>
      <c r="AP726" s="488"/>
      <c r="AQ726" s="488"/>
      <c r="AR726" s="488"/>
      <c r="AS726" s="488"/>
      <c r="AT726" s="488"/>
      <c r="AU726" s="488"/>
      <c r="AV726" s="488"/>
      <c r="AW726" s="488"/>
      <c r="AX726" s="488"/>
      <c r="AY726" s="488"/>
      <c r="AZ726" s="488"/>
      <c r="BA726" s="488"/>
      <c r="BB726" s="488"/>
      <c r="BC726" s="488"/>
      <c r="BD726" s="488"/>
    </row>
    <row r="727" spans="3:56">
      <c r="C727" s="488"/>
      <c r="D727" s="488"/>
      <c r="E727" s="488"/>
      <c r="F727" s="488"/>
      <c r="G727" s="488"/>
      <c r="H727" s="488"/>
      <c r="I727" s="488"/>
      <c r="J727" s="488"/>
      <c r="K727" s="488"/>
      <c r="L727" s="488"/>
      <c r="M727" s="488"/>
      <c r="N727" s="488"/>
      <c r="O727" s="488"/>
      <c r="P727" s="488"/>
      <c r="Q727" s="488"/>
      <c r="R727" s="488"/>
      <c r="S727" s="488"/>
      <c r="T727" s="488"/>
      <c r="U727" s="488"/>
      <c r="V727" s="488"/>
      <c r="W727" s="488"/>
      <c r="X727" s="488"/>
      <c r="Y727" s="488"/>
      <c r="Z727" s="488"/>
      <c r="AA727" s="488"/>
      <c r="AB727" s="488"/>
      <c r="AC727" s="488"/>
      <c r="AD727" s="488"/>
      <c r="AE727" s="488"/>
      <c r="AF727" s="488"/>
      <c r="AG727" s="488"/>
      <c r="AH727" s="488"/>
      <c r="AI727" s="488"/>
      <c r="AJ727" s="488"/>
      <c r="AK727" s="488"/>
      <c r="AL727" s="488"/>
      <c r="AM727" s="488"/>
      <c r="AN727" s="488"/>
      <c r="AO727" s="488"/>
      <c r="AP727" s="488"/>
      <c r="AQ727" s="488"/>
      <c r="AR727" s="488"/>
      <c r="AS727" s="488"/>
      <c r="AT727" s="488"/>
      <c r="AU727" s="488"/>
      <c r="AV727" s="488"/>
      <c r="AW727" s="488"/>
      <c r="AX727" s="488"/>
      <c r="AY727" s="488"/>
      <c r="AZ727" s="488"/>
      <c r="BA727" s="488"/>
      <c r="BB727" s="488"/>
      <c r="BC727" s="488"/>
      <c r="BD727" s="488"/>
    </row>
    <row r="728" spans="3:56">
      <c r="C728" s="488"/>
      <c r="D728" s="488"/>
      <c r="E728" s="488"/>
      <c r="F728" s="488"/>
      <c r="G728" s="488"/>
      <c r="H728" s="488"/>
      <c r="I728" s="488"/>
      <c r="J728" s="488"/>
      <c r="K728" s="488"/>
      <c r="L728" s="488"/>
      <c r="M728" s="488"/>
      <c r="N728" s="488"/>
      <c r="O728" s="488"/>
      <c r="P728" s="488"/>
      <c r="Q728" s="488"/>
      <c r="R728" s="488"/>
      <c r="S728" s="488"/>
      <c r="T728" s="488"/>
      <c r="U728" s="488"/>
      <c r="V728" s="488"/>
      <c r="W728" s="488"/>
      <c r="X728" s="488"/>
      <c r="Y728" s="488"/>
      <c r="Z728" s="488"/>
      <c r="AA728" s="488"/>
      <c r="AB728" s="488"/>
      <c r="AC728" s="488"/>
      <c r="AD728" s="488"/>
      <c r="AE728" s="488"/>
      <c r="AF728" s="488"/>
      <c r="AG728" s="488"/>
      <c r="AH728" s="488"/>
      <c r="AI728" s="488"/>
      <c r="AJ728" s="488"/>
      <c r="AK728" s="488"/>
      <c r="AL728" s="488"/>
      <c r="AM728" s="488"/>
      <c r="AN728" s="488"/>
      <c r="AO728" s="488"/>
      <c r="AP728" s="488"/>
      <c r="AQ728" s="488"/>
      <c r="AR728" s="488"/>
      <c r="AS728" s="488"/>
      <c r="AT728" s="488"/>
      <c r="AU728" s="488"/>
      <c r="AV728" s="488"/>
      <c r="AW728" s="488"/>
      <c r="AX728" s="488"/>
      <c r="AY728" s="488"/>
      <c r="AZ728" s="488"/>
      <c r="BA728" s="488"/>
      <c r="BB728" s="488"/>
      <c r="BC728" s="488"/>
      <c r="BD728" s="488"/>
    </row>
    <row r="729" spans="3:56">
      <c r="C729" s="488"/>
      <c r="D729" s="488"/>
      <c r="E729" s="488"/>
      <c r="F729" s="488"/>
      <c r="G729" s="488"/>
      <c r="H729" s="488"/>
      <c r="I729" s="488"/>
      <c r="J729" s="488"/>
      <c r="K729" s="488"/>
      <c r="L729" s="488"/>
      <c r="M729" s="488"/>
      <c r="N729" s="488"/>
      <c r="O729" s="488"/>
      <c r="P729" s="488"/>
      <c r="Q729" s="488"/>
      <c r="R729" s="488"/>
      <c r="S729" s="488"/>
      <c r="T729" s="488"/>
      <c r="U729" s="488"/>
      <c r="V729" s="488"/>
      <c r="W729" s="488"/>
      <c r="X729" s="488"/>
      <c r="Y729" s="488"/>
      <c r="Z729" s="488"/>
      <c r="AA729" s="488"/>
      <c r="AB729" s="488"/>
      <c r="AC729" s="488"/>
      <c r="AD729" s="488"/>
      <c r="AE729" s="488"/>
      <c r="AF729" s="488"/>
      <c r="AG729" s="488"/>
      <c r="AH729" s="488"/>
      <c r="AI729" s="488"/>
      <c r="AJ729" s="488"/>
      <c r="AK729" s="488"/>
      <c r="AL729" s="488"/>
      <c r="AM729" s="488"/>
      <c r="AN729" s="488"/>
      <c r="AO729" s="488"/>
      <c r="AP729" s="488"/>
      <c r="AQ729" s="488"/>
      <c r="AR729" s="488"/>
      <c r="AS729" s="488"/>
      <c r="AT729" s="488"/>
      <c r="AU729" s="488"/>
      <c r="AV729" s="488"/>
      <c r="AW729" s="488"/>
      <c r="AX729" s="488"/>
      <c r="AY729" s="488"/>
      <c r="AZ729" s="488"/>
      <c r="BA729" s="488"/>
      <c r="BB729" s="488"/>
      <c r="BC729" s="488"/>
      <c r="BD729" s="488"/>
    </row>
    <row r="730" spans="3:56">
      <c r="C730" s="488"/>
      <c r="D730" s="488"/>
      <c r="E730" s="488"/>
      <c r="F730" s="488"/>
      <c r="G730" s="488"/>
      <c r="H730" s="488"/>
      <c r="I730" s="488"/>
      <c r="J730" s="488"/>
      <c r="K730" s="488"/>
      <c r="L730" s="488"/>
      <c r="M730" s="488"/>
      <c r="N730" s="488"/>
      <c r="O730" s="488"/>
      <c r="P730" s="488"/>
      <c r="Q730" s="488"/>
      <c r="R730" s="488"/>
      <c r="S730" s="488"/>
      <c r="T730" s="488"/>
      <c r="U730" s="488"/>
      <c r="V730" s="488"/>
      <c r="W730" s="488"/>
      <c r="X730" s="488"/>
      <c r="Y730" s="488"/>
      <c r="Z730" s="488"/>
      <c r="AA730" s="488"/>
      <c r="AB730" s="488"/>
      <c r="AC730" s="488"/>
      <c r="AD730" s="488"/>
      <c r="AE730" s="488"/>
      <c r="AF730" s="488"/>
      <c r="AG730" s="488"/>
      <c r="AH730" s="488"/>
      <c r="AI730" s="488"/>
      <c r="AJ730" s="488"/>
      <c r="AK730" s="488"/>
      <c r="AL730" s="488"/>
      <c r="AM730" s="488"/>
      <c r="AN730" s="488"/>
      <c r="AO730" s="488"/>
      <c r="AP730" s="488"/>
      <c r="AQ730" s="488"/>
      <c r="AR730" s="488"/>
      <c r="AS730" s="488"/>
      <c r="AT730" s="488"/>
      <c r="AU730" s="488"/>
      <c r="AV730" s="488"/>
      <c r="AW730" s="488"/>
      <c r="AX730" s="488"/>
      <c r="AY730" s="488"/>
      <c r="AZ730" s="488"/>
      <c r="BA730" s="488"/>
      <c r="BB730" s="488"/>
      <c r="BC730" s="488"/>
      <c r="BD730" s="488"/>
    </row>
    <row r="731" spans="3:56">
      <c r="C731" s="488"/>
      <c r="D731" s="488"/>
      <c r="E731" s="488"/>
      <c r="F731" s="488"/>
      <c r="G731" s="488"/>
      <c r="H731" s="488"/>
      <c r="I731" s="488"/>
      <c r="J731" s="488"/>
      <c r="K731" s="488"/>
      <c r="L731" s="488"/>
      <c r="M731" s="488"/>
      <c r="N731" s="488"/>
      <c r="O731" s="488"/>
      <c r="P731" s="488"/>
      <c r="Q731" s="488"/>
      <c r="R731" s="488"/>
      <c r="S731" s="488"/>
      <c r="T731" s="488"/>
      <c r="U731" s="488"/>
      <c r="V731" s="488"/>
      <c r="W731" s="488"/>
      <c r="X731" s="488"/>
      <c r="Y731" s="488"/>
      <c r="Z731" s="488"/>
      <c r="AA731" s="488"/>
      <c r="AB731" s="488"/>
      <c r="AC731" s="488"/>
      <c r="AD731" s="488"/>
      <c r="AE731" s="488"/>
      <c r="AF731" s="488"/>
      <c r="AG731" s="488"/>
      <c r="AH731" s="488"/>
      <c r="AI731" s="488"/>
      <c r="AJ731" s="488"/>
      <c r="AK731" s="488"/>
      <c r="AL731" s="488"/>
      <c r="AM731" s="488"/>
      <c r="AN731" s="488"/>
      <c r="AO731" s="488"/>
      <c r="AP731" s="488"/>
      <c r="AQ731" s="488"/>
      <c r="AR731" s="488"/>
      <c r="AS731" s="488"/>
      <c r="AT731" s="488"/>
      <c r="AU731" s="488"/>
      <c r="AV731" s="488"/>
      <c r="AW731" s="488"/>
      <c r="AX731" s="488"/>
      <c r="AY731" s="488"/>
      <c r="AZ731" s="488"/>
      <c r="BA731" s="488"/>
      <c r="BB731" s="488"/>
      <c r="BC731" s="488"/>
      <c r="BD731" s="488"/>
    </row>
    <row r="732" spans="3:56">
      <c r="C732" s="488"/>
      <c r="D732" s="488"/>
      <c r="E732" s="488"/>
      <c r="F732" s="488"/>
      <c r="G732" s="488"/>
      <c r="H732" s="488"/>
      <c r="I732" s="488"/>
      <c r="J732" s="488"/>
      <c r="K732" s="488"/>
      <c r="L732" s="488"/>
      <c r="M732" s="488"/>
      <c r="N732" s="488"/>
      <c r="O732" s="488"/>
      <c r="P732" s="488"/>
      <c r="Q732" s="488"/>
      <c r="R732" s="488"/>
      <c r="S732" s="488"/>
      <c r="T732" s="488"/>
      <c r="U732" s="488"/>
      <c r="V732" s="488"/>
      <c r="W732" s="488"/>
      <c r="X732" s="488"/>
      <c r="Y732" s="488"/>
      <c r="Z732" s="488"/>
      <c r="AA732" s="488"/>
      <c r="AB732" s="488"/>
      <c r="AC732" s="488"/>
      <c r="AD732" s="488"/>
      <c r="AE732" s="488"/>
      <c r="AF732" s="488"/>
      <c r="AG732" s="488"/>
      <c r="AH732" s="488"/>
      <c r="AI732" s="488"/>
      <c r="AJ732" s="488"/>
      <c r="AK732" s="488"/>
      <c r="AL732" s="488"/>
      <c r="AM732" s="488"/>
      <c r="AN732" s="488"/>
      <c r="AO732" s="488"/>
      <c r="AP732" s="488"/>
      <c r="AQ732" s="488"/>
      <c r="AR732" s="488"/>
      <c r="AS732" s="488"/>
      <c r="AT732" s="488"/>
      <c r="AU732" s="488"/>
      <c r="AV732" s="488"/>
      <c r="AW732" s="488"/>
      <c r="AX732" s="488"/>
      <c r="AY732" s="488"/>
      <c r="AZ732" s="488"/>
      <c r="BA732" s="488"/>
      <c r="BB732" s="488"/>
      <c r="BC732" s="488"/>
      <c r="BD732" s="488"/>
    </row>
    <row r="733" spans="3:56">
      <c r="C733" s="488"/>
      <c r="D733" s="488"/>
      <c r="E733" s="488"/>
      <c r="F733" s="488"/>
      <c r="G733" s="488"/>
      <c r="H733" s="488"/>
      <c r="I733" s="488"/>
      <c r="J733" s="488"/>
      <c r="K733" s="488"/>
      <c r="L733" s="488"/>
      <c r="M733" s="488"/>
      <c r="N733" s="488"/>
      <c r="O733" s="488"/>
      <c r="P733" s="488"/>
      <c r="Q733" s="488"/>
      <c r="R733" s="488"/>
      <c r="S733" s="488"/>
      <c r="T733" s="488"/>
      <c r="U733" s="488"/>
      <c r="V733" s="488"/>
      <c r="W733" s="488"/>
      <c r="X733" s="488"/>
      <c r="Y733" s="488"/>
      <c r="Z733" s="488"/>
      <c r="AA733" s="488"/>
      <c r="AB733" s="488"/>
      <c r="AC733" s="488"/>
      <c r="AD733" s="488"/>
      <c r="AE733" s="488"/>
      <c r="AF733" s="488"/>
      <c r="AG733" s="488"/>
      <c r="AH733" s="488"/>
      <c r="AI733" s="488"/>
      <c r="AJ733" s="488"/>
      <c r="AK733" s="488"/>
      <c r="AL733" s="488"/>
      <c r="AM733" s="488"/>
      <c r="AN733" s="488"/>
      <c r="AO733" s="488"/>
      <c r="AP733" s="488"/>
      <c r="AQ733" s="488"/>
      <c r="AR733" s="488"/>
      <c r="AS733" s="488"/>
      <c r="AT733" s="488"/>
      <c r="AU733" s="488"/>
      <c r="AV733" s="488"/>
      <c r="AW733" s="488"/>
      <c r="AX733" s="488"/>
      <c r="AY733" s="488"/>
      <c r="AZ733" s="488"/>
      <c r="BA733" s="488"/>
      <c r="BB733" s="488"/>
      <c r="BC733" s="488"/>
      <c r="BD733" s="488"/>
    </row>
    <row r="734" spans="3:56">
      <c r="C734" s="488"/>
      <c r="D734" s="488"/>
      <c r="E734" s="488"/>
      <c r="F734" s="488"/>
      <c r="G734" s="488"/>
      <c r="H734" s="488"/>
      <c r="I734" s="488"/>
      <c r="J734" s="488"/>
      <c r="K734" s="488"/>
      <c r="L734" s="488"/>
      <c r="M734" s="488"/>
      <c r="N734" s="488"/>
      <c r="O734" s="488"/>
      <c r="P734" s="488"/>
      <c r="Q734" s="488"/>
      <c r="R734" s="488"/>
      <c r="S734" s="488"/>
      <c r="T734" s="488"/>
      <c r="U734" s="488"/>
      <c r="V734" s="488"/>
      <c r="W734" s="488"/>
      <c r="X734" s="488"/>
      <c r="Y734" s="488"/>
      <c r="Z734" s="488"/>
      <c r="AA734" s="488"/>
      <c r="AB734" s="488"/>
      <c r="AC734" s="488"/>
      <c r="AD734" s="488"/>
      <c r="AE734" s="488"/>
      <c r="AF734" s="488"/>
      <c r="AG734" s="488"/>
      <c r="AH734" s="488"/>
      <c r="AI734" s="488"/>
      <c r="AJ734" s="488"/>
      <c r="AK734" s="488"/>
      <c r="AL734" s="488"/>
      <c r="AM734" s="488"/>
      <c r="AN734" s="488"/>
      <c r="AO734" s="488"/>
      <c r="AP734" s="488"/>
      <c r="AQ734" s="488"/>
      <c r="AR734" s="488"/>
      <c r="AS734" s="488"/>
      <c r="AT734" s="488"/>
      <c r="AU734" s="488"/>
      <c r="AV734" s="488"/>
      <c r="AW734" s="488"/>
      <c r="AX734" s="488"/>
      <c r="AY734" s="488"/>
      <c r="AZ734" s="488"/>
      <c r="BA734" s="488"/>
      <c r="BB734" s="488"/>
      <c r="BC734" s="488"/>
      <c r="BD734" s="488"/>
    </row>
    <row r="735" spans="3:56">
      <c r="C735" s="488"/>
      <c r="D735" s="488"/>
      <c r="E735" s="488"/>
      <c r="F735" s="488"/>
      <c r="G735" s="488"/>
      <c r="H735" s="488"/>
      <c r="I735" s="488"/>
      <c r="J735" s="488"/>
      <c r="K735" s="488"/>
      <c r="L735" s="488"/>
      <c r="M735" s="488"/>
      <c r="N735" s="488"/>
      <c r="O735" s="488"/>
      <c r="P735" s="488"/>
      <c r="Q735" s="488"/>
      <c r="R735" s="488"/>
      <c r="S735" s="488"/>
      <c r="T735" s="488"/>
      <c r="U735" s="488"/>
      <c r="V735" s="488"/>
      <c r="W735" s="488"/>
      <c r="X735" s="488"/>
      <c r="Y735" s="488"/>
      <c r="Z735" s="488"/>
      <c r="AA735" s="488"/>
      <c r="AB735" s="488"/>
      <c r="AC735" s="488"/>
      <c r="AD735" s="488"/>
      <c r="AE735" s="488"/>
      <c r="AF735" s="488"/>
      <c r="AG735" s="488"/>
      <c r="AH735" s="488"/>
      <c r="AI735" s="488"/>
      <c r="AJ735" s="488"/>
      <c r="AK735" s="488"/>
      <c r="AL735" s="488"/>
      <c r="AM735" s="488"/>
      <c r="AN735" s="488"/>
      <c r="AO735" s="488"/>
      <c r="AP735" s="488"/>
      <c r="AQ735" s="488"/>
      <c r="AR735" s="488"/>
      <c r="AS735" s="488"/>
      <c r="AT735" s="488"/>
      <c r="AU735" s="488"/>
      <c r="AV735" s="488"/>
      <c r="AW735" s="488"/>
      <c r="AX735" s="488"/>
      <c r="AY735" s="488"/>
      <c r="AZ735" s="488"/>
      <c r="BA735" s="488"/>
      <c r="BB735" s="488"/>
      <c r="BC735" s="488"/>
      <c r="BD735" s="488"/>
    </row>
    <row r="736" spans="3:56">
      <c r="C736" s="488"/>
      <c r="D736" s="488"/>
      <c r="E736" s="488"/>
      <c r="F736" s="488"/>
      <c r="G736" s="488"/>
      <c r="H736" s="488"/>
      <c r="I736" s="488"/>
      <c r="J736" s="488"/>
      <c r="K736" s="488"/>
      <c r="L736" s="488"/>
      <c r="M736" s="488"/>
      <c r="N736" s="488"/>
      <c r="O736" s="488"/>
      <c r="P736" s="488"/>
      <c r="Q736" s="488"/>
      <c r="R736" s="488"/>
      <c r="S736" s="488"/>
      <c r="T736" s="488"/>
      <c r="U736" s="488"/>
      <c r="V736" s="488"/>
      <c r="W736" s="488"/>
      <c r="X736" s="488"/>
      <c r="Y736" s="488"/>
      <c r="Z736" s="488"/>
      <c r="AA736" s="488"/>
      <c r="AB736" s="488"/>
      <c r="AC736" s="488"/>
      <c r="AD736" s="488"/>
      <c r="AE736" s="488"/>
      <c r="AF736" s="488"/>
      <c r="AG736" s="488"/>
      <c r="AH736" s="488"/>
      <c r="AI736" s="488"/>
      <c r="AJ736" s="488"/>
      <c r="AK736" s="488"/>
      <c r="AL736" s="488"/>
      <c r="AM736" s="488"/>
      <c r="AN736" s="488"/>
      <c r="AO736" s="488"/>
      <c r="AP736" s="488"/>
      <c r="AQ736" s="488"/>
      <c r="AR736" s="488"/>
      <c r="AS736" s="488"/>
      <c r="AT736" s="488"/>
      <c r="AU736" s="488"/>
      <c r="AV736" s="488"/>
      <c r="AW736" s="488"/>
      <c r="AX736" s="488"/>
      <c r="AY736" s="488"/>
      <c r="AZ736" s="488"/>
      <c r="BA736" s="488"/>
      <c r="BB736" s="488"/>
      <c r="BC736" s="488"/>
      <c r="BD736" s="488"/>
    </row>
    <row r="737" spans="3:56">
      <c r="C737" s="488"/>
      <c r="D737" s="488"/>
      <c r="E737" s="488"/>
      <c r="F737" s="488"/>
      <c r="G737" s="488"/>
      <c r="H737" s="488"/>
      <c r="I737" s="488"/>
      <c r="J737" s="488"/>
      <c r="K737" s="488"/>
      <c r="L737" s="488"/>
      <c r="M737" s="488"/>
      <c r="N737" s="488"/>
      <c r="O737" s="488"/>
      <c r="P737" s="488"/>
      <c r="Q737" s="488"/>
      <c r="R737" s="488"/>
      <c r="S737" s="488"/>
      <c r="T737" s="488"/>
      <c r="U737" s="488"/>
      <c r="V737" s="488"/>
      <c r="W737" s="488"/>
      <c r="X737" s="488"/>
      <c r="Y737" s="488"/>
      <c r="Z737" s="488"/>
      <c r="AA737" s="488"/>
      <c r="AB737" s="488"/>
      <c r="AC737" s="488"/>
      <c r="AD737" s="488"/>
      <c r="AE737" s="488"/>
      <c r="AF737" s="488"/>
      <c r="AG737" s="488"/>
      <c r="AH737" s="488"/>
      <c r="AI737" s="488"/>
      <c r="AJ737" s="488"/>
      <c r="AK737" s="488"/>
      <c r="AL737" s="488"/>
      <c r="AM737" s="488"/>
      <c r="AN737" s="488"/>
      <c r="AO737" s="488"/>
      <c r="AP737" s="488"/>
      <c r="AQ737" s="488"/>
      <c r="AR737" s="488"/>
      <c r="AS737" s="488"/>
      <c r="AT737" s="488"/>
      <c r="AU737" s="488"/>
      <c r="AV737" s="488"/>
      <c r="AW737" s="488"/>
      <c r="AX737" s="488"/>
      <c r="AY737" s="488"/>
      <c r="AZ737" s="488"/>
      <c r="BA737" s="488"/>
      <c r="BB737" s="488"/>
      <c r="BC737" s="488"/>
      <c r="BD737" s="488"/>
    </row>
    <row r="738" spans="3:56">
      <c r="C738" s="488"/>
      <c r="D738" s="488"/>
      <c r="E738" s="488"/>
      <c r="F738" s="488"/>
      <c r="G738" s="488"/>
      <c r="H738" s="488"/>
      <c r="I738" s="488"/>
      <c r="J738" s="488"/>
      <c r="K738" s="488"/>
      <c r="L738" s="488"/>
      <c r="M738" s="488"/>
      <c r="N738" s="488"/>
      <c r="O738" s="488"/>
      <c r="P738" s="488"/>
      <c r="Q738" s="488"/>
      <c r="R738" s="488"/>
      <c r="S738" s="488"/>
      <c r="T738" s="488"/>
      <c r="U738" s="488"/>
      <c r="V738" s="488"/>
      <c r="W738" s="488"/>
      <c r="X738" s="488"/>
      <c r="Y738" s="488"/>
      <c r="Z738" s="488"/>
      <c r="AA738" s="488"/>
      <c r="AB738" s="488"/>
      <c r="AC738" s="488"/>
      <c r="AD738" s="488"/>
      <c r="AE738" s="488"/>
      <c r="AF738" s="488"/>
      <c r="AG738" s="488"/>
      <c r="AH738" s="488"/>
      <c r="AI738" s="488"/>
      <c r="AJ738" s="488"/>
      <c r="AK738" s="488"/>
      <c r="AL738" s="488"/>
      <c r="AM738" s="488"/>
      <c r="AN738" s="488"/>
      <c r="AO738" s="488"/>
      <c r="AP738" s="488"/>
      <c r="AQ738" s="488"/>
      <c r="AR738" s="488"/>
      <c r="AS738" s="488"/>
      <c r="AT738" s="488"/>
      <c r="AU738" s="488"/>
      <c r="AV738" s="488"/>
      <c r="AW738" s="488"/>
      <c r="AX738" s="488"/>
      <c r="AY738" s="488"/>
      <c r="AZ738" s="488"/>
      <c r="BA738" s="488"/>
      <c r="BB738" s="488"/>
      <c r="BC738" s="488"/>
      <c r="BD738" s="488"/>
    </row>
    <row r="739" spans="3:56">
      <c r="C739" s="488"/>
      <c r="D739" s="488"/>
      <c r="E739" s="488"/>
      <c r="F739" s="488"/>
      <c r="G739" s="488"/>
      <c r="H739" s="488"/>
      <c r="I739" s="488"/>
      <c r="J739" s="488"/>
      <c r="K739" s="488"/>
      <c r="L739" s="488"/>
      <c r="M739" s="488"/>
      <c r="N739" s="488"/>
      <c r="O739" s="488"/>
      <c r="P739" s="488"/>
      <c r="Q739" s="488"/>
      <c r="R739" s="488"/>
      <c r="S739" s="488"/>
      <c r="T739" s="488"/>
      <c r="U739" s="488"/>
      <c r="V739" s="488"/>
      <c r="W739" s="488"/>
      <c r="X739" s="488"/>
      <c r="Y739" s="488"/>
      <c r="Z739" s="488"/>
      <c r="AA739" s="488"/>
      <c r="AB739" s="488"/>
      <c r="AC739" s="488"/>
      <c r="AD739" s="488"/>
      <c r="AE739" s="488"/>
      <c r="AF739" s="488"/>
      <c r="AG739" s="488"/>
      <c r="AH739" s="488"/>
      <c r="AI739" s="488"/>
      <c r="AJ739" s="488"/>
      <c r="AK739" s="488"/>
      <c r="AL739" s="488"/>
      <c r="AM739" s="488"/>
      <c r="AN739" s="488"/>
      <c r="AO739" s="488"/>
      <c r="AP739" s="488"/>
      <c r="AQ739" s="488"/>
      <c r="AR739" s="488"/>
      <c r="AS739" s="488"/>
      <c r="AT739" s="488"/>
      <c r="AU739" s="488"/>
      <c r="AV739" s="488"/>
      <c r="AW739" s="488"/>
      <c r="AX739" s="488"/>
      <c r="AY739" s="488"/>
      <c r="AZ739" s="488"/>
      <c r="BA739" s="488"/>
      <c r="BB739" s="488"/>
      <c r="BC739" s="488"/>
      <c r="BD739" s="488"/>
    </row>
    <row r="740" spans="3:56">
      <c r="C740" s="488"/>
      <c r="D740" s="488"/>
      <c r="E740" s="488"/>
      <c r="F740" s="488"/>
      <c r="G740" s="488"/>
      <c r="H740" s="488"/>
      <c r="I740" s="488"/>
      <c r="J740" s="488"/>
      <c r="K740" s="488"/>
      <c r="L740" s="488"/>
      <c r="M740" s="488"/>
      <c r="N740" s="488"/>
      <c r="O740" s="488"/>
      <c r="P740" s="488"/>
      <c r="Q740" s="488"/>
      <c r="R740" s="488"/>
      <c r="S740" s="488"/>
      <c r="T740" s="488"/>
      <c r="U740" s="488"/>
      <c r="V740" s="488"/>
      <c r="W740" s="488"/>
      <c r="X740" s="488"/>
      <c r="Y740" s="488"/>
      <c r="Z740" s="488"/>
      <c r="AA740" s="488"/>
      <c r="AB740" s="488"/>
      <c r="AC740" s="488"/>
      <c r="AD740" s="488"/>
      <c r="AE740" s="488"/>
      <c r="AF740" s="488"/>
      <c r="AG740" s="488"/>
      <c r="AH740" s="488"/>
      <c r="AI740" s="488"/>
      <c r="AJ740" s="488"/>
      <c r="AK740" s="488"/>
      <c r="AL740" s="488"/>
      <c r="AM740" s="488"/>
      <c r="AN740" s="488"/>
      <c r="AO740" s="488"/>
      <c r="AP740" s="488"/>
      <c r="AQ740" s="488"/>
      <c r="AR740" s="488"/>
      <c r="AS740" s="488"/>
      <c r="AT740" s="488"/>
      <c r="AU740" s="488"/>
      <c r="AV740" s="488"/>
      <c r="AW740" s="488"/>
      <c r="AX740" s="488"/>
      <c r="AY740" s="488"/>
      <c r="AZ740" s="488"/>
      <c r="BA740" s="488"/>
      <c r="BB740" s="488"/>
      <c r="BC740" s="488"/>
      <c r="BD740" s="488"/>
    </row>
    <row r="741" spans="3:56">
      <c r="C741" s="488"/>
      <c r="D741" s="488"/>
      <c r="E741" s="488"/>
      <c r="F741" s="488"/>
      <c r="G741" s="488"/>
      <c r="H741" s="488"/>
      <c r="I741" s="488"/>
      <c r="J741" s="488"/>
      <c r="K741" s="488"/>
      <c r="L741" s="488"/>
      <c r="M741" s="488"/>
      <c r="N741" s="488"/>
      <c r="O741" s="488"/>
      <c r="P741" s="488"/>
      <c r="Q741" s="488"/>
      <c r="R741" s="488"/>
      <c r="S741" s="488"/>
      <c r="T741" s="488"/>
      <c r="U741" s="488"/>
      <c r="V741" s="488"/>
      <c r="W741" s="488"/>
      <c r="X741" s="488"/>
      <c r="Y741" s="488"/>
      <c r="Z741" s="488"/>
      <c r="AA741" s="488"/>
      <c r="AB741" s="488"/>
      <c r="AC741" s="488"/>
      <c r="AD741" s="488"/>
      <c r="AE741" s="488"/>
      <c r="AF741" s="488"/>
      <c r="AG741" s="488"/>
      <c r="AH741" s="488"/>
      <c r="AI741" s="488"/>
      <c r="AJ741" s="488"/>
      <c r="AK741" s="488"/>
      <c r="AL741" s="488"/>
      <c r="AM741" s="488"/>
      <c r="AN741" s="488"/>
      <c r="AO741" s="488"/>
      <c r="AP741" s="488"/>
      <c r="AQ741" s="488"/>
      <c r="AR741" s="488"/>
      <c r="AS741" s="488"/>
      <c r="AT741" s="488"/>
      <c r="AU741" s="488"/>
      <c r="AV741" s="488"/>
      <c r="AW741" s="488"/>
      <c r="AX741" s="488"/>
      <c r="AY741" s="488"/>
      <c r="AZ741" s="488"/>
      <c r="BA741" s="488"/>
      <c r="BB741" s="488"/>
      <c r="BC741" s="488"/>
      <c r="BD741" s="488"/>
    </row>
    <row r="742" spans="3:56">
      <c r="C742" s="488"/>
      <c r="D742" s="488"/>
      <c r="E742" s="488"/>
      <c r="F742" s="488"/>
      <c r="G742" s="488"/>
      <c r="H742" s="488"/>
      <c r="I742" s="488"/>
      <c r="J742" s="488"/>
      <c r="K742" s="488"/>
      <c r="L742" s="488"/>
      <c r="M742" s="488"/>
      <c r="N742" s="488"/>
      <c r="O742" s="488"/>
      <c r="P742" s="488"/>
      <c r="Q742" s="488"/>
      <c r="R742" s="488"/>
      <c r="S742" s="488"/>
      <c r="T742" s="488"/>
      <c r="U742" s="488"/>
      <c r="V742" s="488"/>
      <c r="W742" s="488"/>
      <c r="X742" s="488"/>
      <c r="Y742" s="488"/>
      <c r="Z742" s="488"/>
      <c r="AA742" s="488"/>
      <c r="AB742" s="488"/>
      <c r="AC742" s="488"/>
      <c r="AD742" s="488"/>
      <c r="AE742" s="488"/>
      <c r="AF742" s="488"/>
      <c r="AG742" s="488"/>
      <c r="AH742" s="488"/>
      <c r="AI742" s="488"/>
      <c r="AJ742" s="488"/>
      <c r="AK742" s="488"/>
      <c r="AL742" s="488"/>
      <c r="AM742" s="488"/>
      <c r="AN742" s="488"/>
      <c r="AO742" s="488"/>
      <c r="AP742" s="488"/>
      <c r="AQ742" s="488"/>
      <c r="AR742" s="488"/>
      <c r="AS742" s="488"/>
      <c r="AT742" s="488"/>
      <c r="AU742" s="488"/>
      <c r="AV742" s="488"/>
      <c r="AW742" s="488"/>
      <c r="AX742" s="488"/>
      <c r="AY742" s="488"/>
      <c r="AZ742" s="488"/>
      <c r="BA742" s="488"/>
      <c r="BB742" s="488"/>
      <c r="BC742" s="488"/>
      <c r="BD742" s="488"/>
    </row>
    <row r="743" spans="3:56">
      <c r="C743" s="488"/>
      <c r="D743" s="488"/>
      <c r="E743" s="488"/>
      <c r="F743" s="488"/>
      <c r="G743" s="488"/>
      <c r="H743" s="488"/>
      <c r="I743" s="488"/>
      <c r="J743" s="488"/>
      <c r="K743" s="488"/>
      <c r="L743" s="488"/>
      <c r="M743" s="488"/>
      <c r="N743" s="488"/>
      <c r="O743" s="488"/>
      <c r="P743" s="488"/>
      <c r="Q743" s="488"/>
      <c r="R743" s="488"/>
      <c r="S743" s="488"/>
      <c r="T743" s="488"/>
      <c r="U743" s="488"/>
      <c r="V743" s="488"/>
      <c r="W743" s="488"/>
      <c r="X743" s="488"/>
      <c r="Y743" s="488"/>
      <c r="Z743" s="488"/>
      <c r="AA743" s="488"/>
      <c r="AB743" s="488"/>
      <c r="AC743" s="488"/>
      <c r="AD743" s="488"/>
      <c r="AE743" s="488"/>
      <c r="AF743" s="488"/>
      <c r="AG743" s="488"/>
      <c r="AH743" s="488"/>
      <c r="AI743" s="488"/>
      <c r="AJ743" s="488"/>
      <c r="AK743" s="488"/>
      <c r="AL743" s="488"/>
      <c r="AM743" s="488"/>
      <c r="AN743" s="488"/>
      <c r="AO743" s="488"/>
      <c r="AP743" s="488"/>
      <c r="AQ743" s="488"/>
      <c r="AR743" s="488"/>
      <c r="AS743" s="488"/>
      <c r="AT743" s="488"/>
      <c r="AU743" s="488"/>
      <c r="AV743" s="488"/>
      <c r="AW743" s="488"/>
      <c r="AX743" s="488"/>
      <c r="AY743" s="488"/>
      <c r="AZ743" s="488"/>
      <c r="BA743" s="488"/>
      <c r="BB743" s="488"/>
      <c r="BC743" s="488"/>
      <c r="BD743" s="488"/>
    </row>
    <row r="744" spans="3:56">
      <c r="C744" s="488"/>
      <c r="D744" s="488"/>
      <c r="E744" s="488"/>
      <c r="F744" s="488"/>
      <c r="G744" s="488"/>
      <c r="H744" s="488"/>
      <c r="I744" s="488"/>
      <c r="J744" s="488"/>
      <c r="K744" s="488"/>
      <c r="L744" s="488"/>
      <c r="M744" s="488"/>
      <c r="N744" s="488"/>
      <c r="O744" s="488"/>
      <c r="P744" s="488"/>
      <c r="Q744" s="488"/>
      <c r="R744" s="488"/>
      <c r="S744" s="488"/>
      <c r="T744" s="488"/>
      <c r="U744" s="488"/>
      <c r="V744" s="488"/>
      <c r="W744" s="488"/>
      <c r="X744" s="488"/>
      <c r="Y744" s="488"/>
      <c r="Z744" s="488"/>
      <c r="AA744" s="488"/>
      <c r="AB744" s="488"/>
      <c r="AC744" s="488"/>
      <c r="AD744" s="488"/>
      <c r="AE744" s="488"/>
      <c r="AF744" s="488"/>
      <c r="AG744" s="488"/>
      <c r="AH744" s="488"/>
      <c r="AI744" s="488"/>
      <c r="AJ744" s="488"/>
      <c r="AK744" s="488"/>
      <c r="AL744" s="488"/>
      <c r="AM744" s="488"/>
      <c r="AN744" s="488"/>
      <c r="AO744" s="488"/>
      <c r="AP744" s="488"/>
      <c r="AQ744" s="488"/>
      <c r="AR744" s="488"/>
      <c r="AS744" s="488"/>
      <c r="AT744" s="488"/>
      <c r="AU744" s="488"/>
      <c r="AV744" s="488"/>
      <c r="AW744" s="488"/>
      <c r="AX744" s="488"/>
      <c r="AY744" s="488"/>
      <c r="AZ744" s="488"/>
      <c r="BA744" s="488"/>
      <c r="BB744" s="488"/>
      <c r="BC744" s="488"/>
      <c r="BD744" s="488"/>
    </row>
    <row r="745" spans="3:56">
      <c r="C745" s="488"/>
      <c r="D745" s="488"/>
      <c r="E745" s="488"/>
      <c r="F745" s="488"/>
      <c r="G745" s="488"/>
      <c r="H745" s="488"/>
      <c r="I745" s="488"/>
      <c r="J745" s="488"/>
      <c r="K745" s="488"/>
      <c r="L745" s="488"/>
      <c r="M745" s="488"/>
      <c r="N745" s="488"/>
      <c r="O745" s="488"/>
      <c r="P745" s="488"/>
      <c r="Q745" s="488"/>
      <c r="R745" s="488"/>
      <c r="S745" s="488"/>
      <c r="T745" s="488"/>
      <c r="U745" s="488"/>
      <c r="V745" s="488"/>
      <c r="W745" s="488"/>
      <c r="X745" s="488"/>
      <c r="Y745" s="488"/>
      <c r="Z745" s="488"/>
      <c r="AA745" s="488"/>
      <c r="AB745" s="488"/>
      <c r="AC745" s="488"/>
      <c r="AD745" s="488"/>
      <c r="AE745" s="488"/>
      <c r="AF745" s="488"/>
      <c r="AG745" s="488"/>
      <c r="AH745" s="488"/>
      <c r="AI745" s="488"/>
      <c r="AJ745" s="488"/>
      <c r="AK745" s="488"/>
      <c r="AL745" s="488"/>
      <c r="AM745" s="488"/>
      <c r="AN745" s="488"/>
      <c r="AO745" s="488"/>
      <c r="AP745" s="488"/>
      <c r="AQ745" s="488"/>
      <c r="AR745" s="488"/>
      <c r="AS745" s="488"/>
      <c r="AT745" s="488"/>
      <c r="AU745" s="488"/>
      <c r="AV745" s="488"/>
      <c r="AW745" s="488"/>
      <c r="AX745" s="488"/>
      <c r="AY745" s="488"/>
      <c r="AZ745" s="488"/>
      <c r="BA745" s="488"/>
      <c r="BB745" s="488"/>
      <c r="BC745" s="488"/>
      <c r="BD745" s="488"/>
    </row>
    <row r="746" spans="3:56">
      <c r="C746" s="488"/>
      <c r="D746" s="488"/>
      <c r="E746" s="488"/>
      <c r="F746" s="488"/>
      <c r="G746" s="488"/>
      <c r="H746" s="488"/>
      <c r="I746" s="488"/>
      <c r="J746" s="488"/>
      <c r="K746" s="488"/>
      <c r="L746" s="488"/>
      <c r="M746" s="488"/>
      <c r="N746" s="488"/>
      <c r="O746" s="488"/>
      <c r="P746" s="488"/>
      <c r="Q746" s="488"/>
      <c r="R746" s="488"/>
      <c r="S746" s="488"/>
      <c r="T746" s="488"/>
      <c r="U746" s="488"/>
      <c r="V746" s="488"/>
      <c r="W746" s="488"/>
      <c r="X746" s="488"/>
      <c r="Y746" s="488"/>
      <c r="Z746" s="488"/>
      <c r="AA746" s="488"/>
      <c r="AB746" s="488"/>
      <c r="AC746" s="488"/>
      <c r="AD746" s="488"/>
      <c r="AE746" s="488"/>
      <c r="AF746" s="488"/>
      <c r="AG746" s="488"/>
      <c r="AH746" s="488"/>
      <c r="AI746" s="488"/>
      <c r="AJ746" s="488"/>
      <c r="AK746" s="488"/>
      <c r="AL746" s="488"/>
      <c r="AM746" s="488"/>
      <c r="AN746" s="488"/>
      <c r="AO746" s="488"/>
      <c r="AP746" s="488"/>
      <c r="AQ746" s="488"/>
      <c r="AR746" s="488"/>
      <c r="AS746" s="488"/>
      <c r="AT746" s="488"/>
      <c r="AU746" s="488"/>
      <c r="AV746" s="488"/>
      <c r="AW746" s="488"/>
      <c r="AX746" s="488"/>
      <c r="AY746" s="488"/>
      <c r="AZ746" s="488"/>
      <c r="BA746" s="488"/>
      <c r="BB746" s="488"/>
      <c r="BC746" s="488"/>
      <c r="BD746" s="488"/>
    </row>
    <row r="747" spans="3:56">
      <c r="C747" s="488"/>
      <c r="D747" s="488"/>
      <c r="E747" s="488"/>
      <c r="F747" s="488"/>
      <c r="G747" s="488"/>
      <c r="H747" s="488"/>
      <c r="I747" s="488"/>
      <c r="J747" s="488"/>
      <c r="K747" s="488"/>
      <c r="L747" s="488"/>
      <c r="M747" s="488"/>
      <c r="N747" s="488"/>
      <c r="O747" s="488"/>
      <c r="P747" s="488"/>
      <c r="Q747" s="488"/>
      <c r="R747" s="488"/>
      <c r="S747" s="488"/>
      <c r="T747" s="488"/>
      <c r="U747" s="488"/>
      <c r="V747" s="488"/>
      <c r="W747" s="488"/>
      <c r="X747" s="488"/>
      <c r="Y747" s="488"/>
      <c r="Z747" s="488"/>
      <c r="AA747" s="488"/>
      <c r="AB747" s="488"/>
      <c r="AC747" s="488"/>
      <c r="AD747" s="488"/>
      <c r="AE747" s="488"/>
      <c r="AF747" s="488"/>
      <c r="AG747" s="488"/>
      <c r="AH747" s="488"/>
      <c r="AI747" s="488"/>
      <c r="AJ747" s="488"/>
      <c r="AK747" s="488"/>
      <c r="AL747" s="488"/>
      <c r="AM747" s="488"/>
      <c r="AN747" s="488"/>
      <c r="AO747" s="488"/>
      <c r="AP747" s="488"/>
      <c r="AQ747" s="488"/>
      <c r="AR747" s="488"/>
      <c r="AS747" s="488"/>
      <c r="AT747" s="488"/>
      <c r="AU747" s="488"/>
      <c r="AV747" s="488"/>
      <c r="AW747" s="488"/>
      <c r="AX747" s="488"/>
      <c r="AY747" s="488"/>
      <c r="AZ747" s="488"/>
      <c r="BA747" s="488"/>
      <c r="BB747" s="488"/>
      <c r="BC747" s="488"/>
      <c r="BD747" s="488"/>
    </row>
    <row r="748" spans="3:56">
      <c r="C748" s="488"/>
      <c r="D748" s="488"/>
      <c r="E748" s="488"/>
      <c r="F748" s="488"/>
      <c r="G748" s="488"/>
      <c r="H748" s="488"/>
      <c r="I748" s="488"/>
      <c r="J748" s="488"/>
      <c r="K748" s="488"/>
      <c r="L748" s="488"/>
      <c r="M748" s="488"/>
      <c r="N748" s="488"/>
      <c r="O748" s="488"/>
      <c r="P748" s="488"/>
      <c r="Q748" s="488"/>
      <c r="R748" s="488"/>
      <c r="S748" s="488"/>
      <c r="T748" s="488"/>
      <c r="U748" s="488"/>
      <c r="V748" s="488"/>
      <c r="W748" s="488"/>
      <c r="X748" s="488"/>
      <c r="Y748" s="488"/>
      <c r="Z748" s="488"/>
      <c r="AA748" s="488"/>
      <c r="AB748" s="488"/>
      <c r="AC748" s="488"/>
      <c r="AD748" s="488"/>
      <c r="AE748" s="488"/>
      <c r="AF748" s="488"/>
      <c r="AG748" s="488"/>
      <c r="AH748" s="488"/>
      <c r="AI748" s="488"/>
      <c r="AJ748" s="488"/>
      <c r="AK748" s="488"/>
      <c r="AL748" s="488"/>
      <c r="AM748" s="488"/>
      <c r="AN748" s="488"/>
      <c r="AO748" s="488"/>
      <c r="AP748" s="488"/>
      <c r="AQ748" s="488"/>
      <c r="AR748" s="488"/>
      <c r="AS748" s="488"/>
      <c r="AT748" s="488"/>
      <c r="AU748" s="488"/>
      <c r="AV748" s="488"/>
      <c r="AW748" s="488"/>
      <c r="AX748" s="488"/>
      <c r="AY748" s="488"/>
      <c r="AZ748" s="488"/>
      <c r="BA748" s="488"/>
      <c r="BB748" s="488"/>
      <c r="BC748" s="488"/>
      <c r="BD748" s="488"/>
    </row>
    <row r="749" spans="3:56">
      <c r="C749" s="488"/>
      <c r="D749" s="488"/>
      <c r="E749" s="488"/>
      <c r="F749" s="488"/>
      <c r="G749" s="488"/>
      <c r="H749" s="488"/>
      <c r="I749" s="488"/>
      <c r="J749" s="488"/>
      <c r="K749" s="488"/>
      <c r="L749" s="488"/>
      <c r="M749" s="488"/>
      <c r="N749" s="488"/>
      <c r="O749" s="488"/>
      <c r="P749" s="488"/>
      <c r="Q749" s="488"/>
      <c r="R749" s="488"/>
      <c r="S749" s="488"/>
      <c r="T749" s="488"/>
      <c r="U749" s="488"/>
      <c r="V749" s="488"/>
      <c r="W749" s="488"/>
      <c r="X749" s="488"/>
      <c r="Y749" s="488"/>
      <c r="Z749" s="488"/>
      <c r="AA749" s="488"/>
      <c r="AB749" s="488"/>
      <c r="AC749" s="488"/>
      <c r="AD749" s="488"/>
      <c r="AE749" s="488"/>
      <c r="AF749" s="488"/>
      <c r="AG749" s="488"/>
      <c r="AH749" s="488"/>
      <c r="AI749" s="488"/>
      <c r="AJ749" s="488"/>
      <c r="AK749" s="488"/>
      <c r="AL749" s="488"/>
      <c r="AM749" s="488"/>
      <c r="AN749" s="488"/>
      <c r="AO749" s="488"/>
      <c r="AP749" s="488"/>
      <c r="AQ749" s="488"/>
      <c r="AR749" s="488"/>
      <c r="AS749" s="488"/>
      <c r="AT749" s="488"/>
      <c r="AU749" s="488"/>
      <c r="AV749" s="488"/>
      <c r="AW749" s="488"/>
      <c r="AX749" s="488"/>
      <c r="AY749" s="488"/>
      <c r="AZ749" s="488"/>
      <c r="BA749" s="488"/>
      <c r="BB749" s="488"/>
      <c r="BC749" s="488"/>
      <c r="BD749" s="488"/>
    </row>
    <row r="750" spans="3:56">
      <c r="C750" s="488"/>
      <c r="D750" s="488"/>
      <c r="E750" s="488"/>
      <c r="F750" s="488"/>
      <c r="G750" s="488"/>
      <c r="H750" s="488"/>
      <c r="I750" s="488"/>
      <c r="J750" s="488"/>
      <c r="K750" s="488"/>
      <c r="L750" s="488"/>
      <c r="M750" s="488"/>
      <c r="N750" s="488"/>
      <c r="O750" s="488"/>
      <c r="P750" s="488"/>
      <c r="Q750" s="488"/>
      <c r="R750" s="488"/>
      <c r="S750" s="488"/>
      <c r="T750" s="488"/>
      <c r="U750" s="488"/>
      <c r="V750" s="488"/>
      <c r="W750" s="488"/>
      <c r="X750" s="488"/>
      <c r="Y750" s="488"/>
      <c r="Z750" s="488"/>
      <c r="AA750" s="488"/>
      <c r="AB750" s="488"/>
      <c r="AC750" s="488"/>
      <c r="AD750" s="488"/>
      <c r="AE750" s="488"/>
      <c r="AF750" s="488"/>
      <c r="AG750" s="488"/>
      <c r="AH750" s="488"/>
      <c r="AI750" s="488"/>
      <c r="AJ750" s="488"/>
      <c r="AK750" s="488"/>
      <c r="AL750" s="488"/>
      <c r="AM750" s="488"/>
      <c r="AN750" s="488"/>
      <c r="AO750" s="488"/>
      <c r="AP750" s="488"/>
      <c r="AQ750" s="488"/>
      <c r="AR750" s="488"/>
      <c r="AS750" s="488"/>
      <c r="AT750" s="488"/>
      <c r="AU750" s="488"/>
      <c r="AV750" s="488"/>
      <c r="AW750" s="488"/>
      <c r="AX750" s="488"/>
      <c r="AY750" s="488"/>
      <c r="AZ750" s="488"/>
      <c r="BA750" s="488"/>
      <c r="BB750" s="488"/>
      <c r="BC750" s="488"/>
      <c r="BD750" s="488"/>
    </row>
    <row r="751" spans="3:56">
      <c r="C751" s="488"/>
      <c r="D751" s="488"/>
      <c r="E751" s="488"/>
      <c r="F751" s="488"/>
      <c r="G751" s="488"/>
      <c r="H751" s="488"/>
      <c r="I751" s="488"/>
      <c r="J751" s="488"/>
      <c r="K751" s="488"/>
      <c r="L751" s="488"/>
      <c r="M751" s="488"/>
      <c r="N751" s="488"/>
      <c r="O751" s="488"/>
      <c r="P751" s="488"/>
      <c r="Q751" s="488"/>
      <c r="R751" s="488"/>
      <c r="S751" s="488"/>
      <c r="T751" s="488"/>
      <c r="U751" s="488"/>
      <c r="V751" s="488"/>
      <c r="W751" s="488"/>
      <c r="X751" s="488"/>
      <c r="Y751" s="488"/>
      <c r="Z751" s="488"/>
      <c r="AA751" s="488"/>
      <c r="AB751" s="488"/>
      <c r="AC751" s="488"/>
      <c r="AD751" s="488"/>
      <c r="AE751" s="488"/>
      <c r="AF751" s="488"/>
      <c r="AG751" s="488"/>
      <c r="AH751" s="488"/>
      <c r="AI751" s="488"/>
      <c r="AJ751" s="488"/>
      <c r="AK751" s="488"/>
      <c r="AL751" s="488"/>
      <c r="AM751" s="488"/>
      <c r="AN751" s="488"/>
      <c r="AO751" s="488"/>
      <c r="AP751" s="488"/>
      <c r="AQ751" s="488"/>
      <c r="AR751" s="488"/>
      <c r="AS751" s="488"/>
      <c r="AT751" s="488"/>
      <c r="AU751" s="488"/>
      <c r="AV751" s="488"/>
      <c r="AW751" s="488"/>
      <c r="AX751" s="488"/>
      <c r="AY751" s="488"/>
      <c r="AZ751" s="488"/>
      <c r="BA751" s="488"/>
      <c r="BB751" s="488"/>
      <c r="BC751" s="488"/>
      <c r="BD751" s="488"/>
    </row>
    <row r="752" spans="3:56">
      <c r="C752" s="488"/>
      <c r="D752" s="488"/>
      <c r="E752" s="488"/>
      <c r="F752" s="488"/>
      <c r="G752" s="488"/>
      <c r="H752" s="488"/>
      <c r="I752" s="488"/>
      <c r="J752" s="488"/>
      <c r="K752" s="488"/>
      <c r="L752" s="488"/>
      <c r="M752" s="488"/>
      <c r="N752" s="488"/>
      <c r="O752" s="488"/>
      <c r="P752" s="488"/>
      <c r="Q752" s="488"/>
      <c r="R752" s="488"/>
      <c r="S752" s="488"/>
      <c r="T752" s="488"/>
      <c r="U752" s="488"/>
      <c r="V752" s="488"/>
      <c r="W752" s="488"/>
      <c r="X752" s="488"/>
      <c r="Y752" s="488"/>
      <c r="Z752" s="488"/>
      <c r="AA752" s="488"/>
      <c r="AB752" s="488"/>
      <c r="AC752" s="488"/>
      <c r="AD752" s="488"/>
      <c r="AE752" s="488"/>
      <c r="AF752" s="488"/>
      <c r="AG752" s="488"/>
      <c r="AH752" s="488"/>
      <c r="AI752" s="488"/>
      <c r="AJ752" s="488"/>
      <c r="AK752" s="488"/>
      <c r="AL752" s="488"/>
      <c r="AM752" s="488"/>
      <c r="AN752" s="488"/>
      <c r="AO752" s="488"/>
      <c r="AP752" s="488"/>
      <c r="AQ752" s="488"/>
      <c r="AR752" s="488"/>
      <c r="AS752" s="488"/>
      <c r="AT752" s="488"/>
      <c r="AU752" s="488"/>
      <c r="AV752" s="488"/>
      <c r="AW752" s="488"/>
      <c r="AX752" s="488"/>
      <c r="AY752" s="488"/>
      <c r="AZ752" s="488"/>
      <c r="BA752" s="488"/>
      <c r="BB752" s="488"/>
      <c r="BC752" s="488"/>
      <c r="BD752" s="488"/>
    </row>
    <row r="753" spans="3:56">
      <c r="C753" s="488"/>
      <c r="D753" s="488"/>
      <c r="E753" s="488"/>
      <c r="F753" s="488"/>
      <c r="G753" s="488"/>
      <c r="H753" s="488"/>
      <c r="I753" s="488"/>
      <c r="J753" s="488"/>
      <c r="K753" s="488"/>
      <c r="L753" s="488"/>
      <c r="M753" s="488"/>
      <c r="N753" s="488"/>
      <c r="O753" s="488"/>
      <c r="P753" s="488"/>
      <c r="Q753" s="488"/>
      <c r="R753" s="488"/>
      <c r="S753" s="488"/>
      <c r="T753" s="488"/>
      <c r="U753" s="488"/>
      <c r="V753" s="488"/>
      <c r="W753" s="488"/>
      <c r="X753" s="488"/>
      <c r="Y753" s="488"/>
      <c r="Z753" s="488"/>
      <c r="AA753" s="488"/>
      <c r="AB753" s="488"/>
      <c r="AC753" s="488"/>
      <c r="AD753" s="488"/>
      <c r="AE753" s="488"/>
      <c r="AF753" s="488"/>
      <c r="AG753" s="488"/>
      <c r="AH753" s="488"/>
      <c r="AI753" s="488"/>
      <c r="AJ753" s="488"/>
      <c r="AK753" s="488"/>
      <c r="AL753" s="488"/>
      <c r="AM753" s="488"/>
      <c r="AN753" s="488"/>
      <c r="AO753" s="488"/>
      <c r="AP753" s="488"/>
      <c r="AQ753" s="488"/>
      <c r="AR753" s="488"/>
      <c r="AS753" s="488"/>
      <c r="AT753" s="488"/>
      <c r="AU753" s="488"/>
      <c r="AV753" s="488"/>
      <c r="AW753" s="488"/>
      <c r="AX753" s="488"/>
      <c r="AY753" s="488"/>
      <c r="AZ753" s="488"/>
      <c r="BA753" s="488"/>
      <c r="BB753" s="488"/>
      <c r="BC753" s="488"/>
      <c r="BD753" s="488"/>
    </row>
    <row r="754" spans="3:56">
      <c r="C754" s="488"/>
      <c r="D754" s="488"/>
      <c r="E754" s="488"/>
      <c r="F754" s="488"/>
      <c r="G754" s="488"/>
      <c r="H754" s="488"/>
      <c r="I754" s="488"/>
      <c r="J754" s="488"/>
      <c r="K754" s="488"/>
      <c r="L754" s="488"/>
      <c r="M754" s="488"/>
      <c r="N754" s="488"/>
      <c r="O754" s="488"/>
      <c r="P754" s="488"/>
      <c r="Q754" s="488"/>
      <c r="R754" s="488"/>
      <c r="S754" s="488"/>
      <c r="T754" s="488"/>
      <c r="U754" s="488"/>
      <c r="V754" s="488"/>
      <c r="W754" s="488"/>
      <c r="X754" s="488"/>
      <c r="Y754" s="488"/>
      <c r="Z754" s="488"/>
      <c r="AA754" s="488"/>
      <c r="AB754" s="488"/>
      <c r="AC754" s="488"/>
      <c r="AD754" s="488"/>
      <c r="AE754" s="488"/>
      <c r="AF754" s="488"/>
      <c r="AG754" s="488"/>
      <c r="AH754" s="488"/>
      <c r="AI754" s="488"/>
      <c r="AJ754" s="488"/>
      <c r="AK754" s="488"/>
      <c r="AL754" s="488"/>
      <c r="AM754" s="488"/>
      <c r="AN754" s="488"/>
      <c r="AO754" s="488"/>
      <c r="AP754" s="488"/>
      <c r="AQ754" s="488"/>
      <c r="AR754" s="488"/>
      <c r="AS754" s="488"/>
      <c r="AT754" s="488"/>
      <c r="AU754" s="488"/>
      <c r="AV754" s="488"/>
      <c r="AW754" s="488"/>
      <c r="AX754" s="488"/>
      <c r="AY754" s="488"/>
      <c r="AZ754" s="488"/>
      <c r="BA754" s="488"/>
      <c r="BB754" s="488"/>
      <c r="BC754" s="488"/>
      <c r="BD754" s="488"/>
    </row>
    <row r="755" spans="3:56">
      <c r="C755" s="488"/>
      <c r="D755" s="488"/>
      <c r="E755" s="488"/>
      <c r="F755" s="488"/>
      <c r="G755" s="488"/>
      <c r="H755" s="488"/>
      <c r="I755" s="488"/>
      <c r="J755" s="488"/>
      <c r="K755" s="488"/>
      <c r="L755" s="488"/>
      <c r="M755" s="488"/>
      <c r="N755" s="488"/>
      <c r="O755" s="488"/>
      <c r="P755" s="488"/>
      <c r="Q755" s="488"/>
      <c r="R755" s="488"/>
      <c r="S755" s="488"/>
      <c r="T755" s="488"/>
      <c r="U755" s="488"/>
      <c r="V755" s="488"/>
      <c r="W755" s="488"/>
      <c r="X755" s="488"/>
      <c r="Y755" s="488"/>
      <c r="Z755" s="488"/>
      <c r="AA755" s="488"/>
      <c r="AB755" s="488"/>
      <c r="AC755" s="488"/>
      <c r="AD755" s="488"/>
      <c r="AE755" s="488"/>
      <c r="AF755" s="488"/>
      <c r="AG755" s="488"/>
      <c r="AH755" s="488"/>
      <c r="AI755" s="488"/>
      <c r="AJ755" s="488"/>
      <c r="AK755" s="488"/>
      <c r="AL755" s="488"/>
      <c r="AM755" s="488"/>
      <c r="AN755" s="488"/>
      <c r="AO755" s="488"/>
      <c r="AP755" s="488"/>
      <c r="AQ755" s="488"/>
      <c r="AR755" s="488"/>
      <c r="AS755" s="488"/>
      <c r="AT755" s="488"/>
      <c r="AU755" s="488"/>
      <c r="AV755" s="488"/>
      <c r="AW755" s="488"/>
      <c r="AX755" s="488"/>
      <c r="AY755" s="488"/>
      <c r="AZ755" s="488"/>
      <c r="BA755" s="488"/>
      <c r="BB755" s="488"/>
      <c r="BC755" s="488"/>
      <c r="BD755" s="488"/>
    </row>
    <row r="756" spans="3:56">
      <c r="C756" s="488"/>
      <c r="D756" s="488"/>
      <c r="E756" s="488"/>
      <c r="F756" s="488"/>
      <c r="G756" s="488"/>
      <c r="H756" s="488"/>
      <c r="I756" s="488"/>
      <c r="J756" s="488"/>
      <c r="K756" s="488"/>
      <c r="L756" s="488"/>
      <c r="M756" s="488"/>
      <c r="N756" s="488"/>
      <c r="O756" s="488"/>
      <c r="P756" s="488"/>
      <c r="Q756" s="488"/>
      <c r="R756" s="488"/>
      <c r="S756" s="488"/>
      <c r="T756" s="488"/>
      <c r="U756" s="488"/>
      <c r="V756" s="488"/>
      <c r="W756" s="488"/>
      <c r="X756" s="488"/>
      <c r="Y756" s="488"/>
      <c r="Z756" s="488"/>
      <c r="AA756" s="488"/>
      <c r="AB756" s="488"/>
      <c r="AC756" s="488"/>
      <c r="AD756" s="488"/>
      <c r="AE756" s="488"/>
      <c r="AF756" s="488"/>
      <c r="AG756" s="488"/>
      <c r="AH756" s="488"/>
      <c r="AI756" s="488"/>
      <c r="AJ756" s="488"/>
      <c r="AK756" s="488"/>
      <c r="AL756" s="488"/>
      <c r="AM756" s="488"/>
      <c r="AN756" s="488"/>
      <c r="AO756" s="488"/>
      <c r="AP756" s="488"/>
      <c r="AQ756" s="488"/>
      <c r="AR756" s="488"/>
      <c r="AS756" s="488"/>
      <c r="AT756" s="488"/>
      <c r="AU756" s="488"/>
      <c r="AV756" s="488"/>
      <c r="AW756" s="488"/>
      <c r="AX756" s="488"/>
      <c r="AY756" s="488"/>
      <c r="AZ756" s="488"/>
      <c r="BA756" s="488"/>
      <c r="BB756" s="488"/>
      <c r="BC756" s="488"/>
      <c r="BD756" s="488"/>
    </row>
    <row r="757" spans="3:56">
      <c r="C757" s="488"/>
      <c r="D757" s="488"/>
      <c r="E757" s="488"/>
      <c r="F757" s="488"/>
      <c r="G757" s="488"/>
      <c r="H757" s="488"/>
      <c r="I757" s="488"/>
      <c r="J757" s="488"/>
      <c r="K757" s="488"/>
      <c r="L757" s="488"/>
      <c r="M757" s="488"/>
      <c r="N757" s="488"/>
      <c r="O757" s="488"/>
      <c r="P757" s="488"/>
      <c r="Q757" s="488"/>
      <c r="R757" s="488"/>
      <c r="S757" s="488"/>
      <c r="T757" s="488"/>
      <c r="U757" s="488"/>
      <c r="V757" s="488"/>
      <c r="W757" s="488"/>
      <c r="X757" s="488"/>
      <c r="Y757" s="488"/>
      <c r="Z757" s="488"/>
      <c r="AA757" s="488"/>
      <c r="AB757" s="488"/>
      <c r="AC757" s="488"/>
      <c r="AD757" s="488"/>
      <c r="AE757" s="488"/>
      <c r="AF757" s="488"/>
      <c r="AG757" s="488"/>
      <c r="AH757" s="488"/>
      <c r="AI757" s="488"/>
      <c r="AJ757" s="488"/>
      <c r="AK757" s="488"/>
      <c r="AL757" s="488"/>
      <c r="AM757" s="488"/>
      <c r="AN757" s="488"/>
      <c r="AO757" s="488"/>
      <c r="AP757" s="488"/>
      <c r="AQ757" s="488"/>
      <c r="AR757" s="488"/>
      <c r="AS757" s="488"/>
      <c r="AT757" s="488"/>
      <c r="AU757" s="488"/>
      <c r="AV757" s="488"/>
      <c r="AW757" s="488"/>
      <c r="AX757" s="488"/>
      <c r="AY757" s="488"/>
      <c r="AZ757" s="488"/>
      <c r="BA757" s="488"/>
      <c r="BB757" s="488"/>
      <c r="BC757" s="488"/>
      <c r="BD757" s="488"/>
    </row>
    <row r="758" spans="3:56">
      <c r="C758" s="488"/>
      <c r="D758" s="488"/>
      <c r="E758" s="488"/>
      <c r="F758" s="488"/>
      <c r="G758" s="488"/>
      <c r="H758" s="488"/>
      <c r="I758" s="488"/>
      <c r="J758" s="488"/>
      <c r="K758" s="488"/>
      <c r="L758" s="488"/>
      <c r="M758" s="488"/>
      <c r="N758" s="488"/>
      <c r="O758" s="488"/>
      <c r="P758" s="488"/>
      <c r="Q758" s="488"/>
      <c r="R758" s="488"/>
      <c r="S758" s="488"/>
      <c r="T758" s="488"/>
      <c r="U758" s="488"/>
      <c r="V758" s="488"/>
      <c r="W758" s="488"/>
      <c r="X758" s="488"/>
      <c r="Y758" s="488"/>
      <c r="Z758" s="488"/>
      <c r="AA758" s="488"/>
      <c r="AB758" s="488"/>
      <c r="AC758" s="488"/>
      <c r="AD758" s="488"/>
      <c r="AE758" s="488"/>
      <c r="AF758" s="488"/>
      <c r="AG758" s="488"/>
      <c r="AH758" s="488"/>
      <c r="AI758" s="488"/>
      <c r="AJ758" s="488"/>
      <c r="AK758" s="488"/>
      <c r="AL758" s="488"/>
      <c r="AM758" s="488"/>
      <c r="AN758" s="488"/>
      <c r="AO758" s="488"/>
      <c r="AP758" s="488"/>
      <c r="AQ758" s="488"/>
      <c r="AR758" s="488"/>
      <c r="AS758" s="488"/>
      <c r="AT758" s="488"/>
      <c r="AU758" s="488"/>
      <c r="AV758" s="488"/>
      <c r="AW758" s="488"/>
      <c r="AX758" s="488"/>
      <c r="AY758" s="488"/>
      <c r="AZ758" s="488"/>
      <c r="BA758" s="488"/>
      <c r="BB758" s="488"/>
      <c r="BC758" s="488"/>
      <c r="BD758" s="488"/>
    </row>
    <row r="759" spans="3:56">
      <c r="C759" s="488"/>
      <c r="D759" s="488"/>
      <c r="E759" s="488"/>
      <c r="F759" s="488"/>
      <c r="G759" s="488"/>
      <c r="H759" s="488"/>
      <c r="I759" s="488"/>
      <c r="J759" s="488"/>
      <c r="K759" s="488"/>
      <c r="L759" s="488"/>
      <c r="M759" s="488"/>
      <c r="N759" s="488"/>
      <c r="O759" s="488"/>
      <c r="P759" s="488"/>
      <c r="Q759" s="488"/>
      <c r="R759" s="488"/>
      <c r="S759" s="488"/>
      <c r="T759" s="488"/>
      <c r="U759" s="488"/>
      <c r="V759" s="488"/>
      <c r="W759" s="488"/>
      <c r="X759" s="488"/>
      <c r="Y759" s="488"/>
      <c r="Z759" s="488"/>
      <c r="AA759" s="488"/>
      <c r="AB759" s="488"/>
      <c r="AC759" s="488"/>
      <c r="AD759" s="488"/>
      <c r="AE759" s="488"/>
      <c r="AF759" s="488"/>
      <c r="AG759" s="488"/>
      <c r="AH759" s="488"/>
      <c r="AI759" s="488"/>
      <c r="AJ759" s="488"/>
      <c r="AK759" s="488"/>
      <c r="AL759" s="488"/>
      <c r="AM759" s="488"/>
      <c r="AN759" s="488"/>
      <c r="AO759" s="488"/>
      <c r="AP759" s="488"/>
      <c r="AQ759" s="488"/>
      <c r="AR759" s="488"/>
      <c r="AS759" s="488"/>
      <c r="AT759" s="488"/>
      <c r="AU759" s="488"/>
      <c r="AV759" s="488"/>
      <c r="AW759" s="488"/>
      <c r="AX759" s="488"/>
      <c r="AY759" s="488"/>
      <c r="AZ759" s="488"/>
      <c r="BA759" s="488"/>
      <c r="BB759" s="488"/>
      <c r="BC759" s="488"/>
      <c r="BD759" s="488"/>
    </row>
    <row r="760" spans="3:56">
      <c r="C760" s="488"/>
      <c r="D760" s="488"/>
      <c r="E760" s="488"/>
      <c r="F760" s="488"/>
      <c r="G760" s="488"/>
      <c r="H760" s="488"/>
      <c r="I760" s="488"/>
      <c r="J760" s="488"/>
      <c r="K760" s="488"/>
      <c r="L760" s="488"/>
      <c r="M760" s="488"/>
      <c r="N760" s="488"/>
      <c r="O760" s="488"/>
      <c r="P760" s="488"/>
      <c r="Q760" s="488"/>
      <c r="R760" s="488"/>
      <c r="S760" s="488"/>
      <c r="T760" s="488"/>
      <c r="U760" s="488"/>
      <c r="V760" s="488"/>
      <c r="W760" s="488"/>
      <c r="X760" s="488"/>
      <c r="Y760" s="488"/>
      <c r="Z760" s="488"/>
      <c r="AA760" s="488"/>
      <c r="AB760" s="488"/>
      <c r="AC760" s="488"/>
      <c r="AD760" s="488"/>
      <c r="AE760" s="488"/>
      <c r="AF760" s="488"/>
      <c r="AG760" s="488"/>
      <c r="AH760" s="488"/>
      <c r="AI760" s="488"/>
      <c r="AJ760" s="488"/>
      <c r="AK760" s="488"/>
      <c r="AL760" s="488"/>
      <c r="AM760" s="488"/>
      <c r="AN760" s="488"/>
      <c r="AO760" s="488"/>
      <c r="AP760" s="488"/>
      <c r="AQ760" s="488"/>
      <c r="AR760" s="488"/>
      <c r="AS760" s="488"/>
      <c r="AT760" s="488"/>
      <c r="AU760" s="488"/>
      <c r="AV760" s="488"/>
      <c r="AW760" s="488"/>
      <c r="AX760" s="488"/>
      <c r="AY760" s="488"/>
      <c r="AZ760" s="488"/>
      <c r="BA760" s="488"/>
      <c r="BB760" s="488"/>
      <c r="BC760" s="488"/>
      <c r="BD760" s="488"/>
    </row>
    <row r="761" spans="3:56">
      <c r="C761" s="488"/>
      <c r="D761" s="488"/>
      <c r="E761" s="488"/>
      <c r="F761" s="488"/>
      <c r="G761" s="488"/>
      <c r="H761" s="488"/>
      <c r="I761" s="488"/>
      <c r="J761" s="488"/>
      <c r="K761" s="488"/>
      <c r="L761" s="488"/>
      <c r="M761" s="488"/>
      <c r="N761" s="488"/>
      <c r="O761" s="488"/>
      <c r="P761" s="488"/>
      <c r="Q761" s="488"/>
      <c r="R761" s="488"/>
      <c r="S761" s="488"/>
      <c r="T761" s="488"/>
      <c r="U761" s="488"/>
      <c r="V761" s="488"/>
      <c r="W761" s="488"/>
      <c r="X761" s="488"/>
      <c r="Y761" s="488"/>
      <c r="Z761" s="488"/>
      <c r="AA761" s="488"/>
      <c r="AB761" s="488"/>
      <c r="AC761" s="488"/>
      <c r="AD761" s="488"/>
      <c r="AE761" s="488"/>
      <c r="AF761" s="488"/>
      <c r="AG761" s="488"/>
      <c r="AH761" s="488"/>
      <c r="AI761" s="488"/>
      <c r="AJ761" s="488"/>
      <c r="AK761" s="488"/>
      <c r="AL761" s="488"/>
      <c r="AM761" s="488"/>
      <c r="AN761" s="488"/>
      <c r="AO761" s="488"/>
      <c r="AP761" s="488"/>
      <c r="AQ761" s="488"/>
      <c r="AR761" s="488"/>
      <c r="AS761" s="488"/>
      <c r="AT761" s="488"/>
      <c r="AU761" s="488"/>
      <c r="AV761" s="488"/>
      <c r="AW761" s="488"/>
      <c r="AX761" s="488"/>
      <c r="AY761" s="488"/>
      <c r="AZ761" s="488"/>
      <c r="BA761" s="488"/>
      <c r="BB761" s="488"/>
      <c r="BC761" s="488"/>
      <c r="BD761" s="488"/>
    </row>
    <row r="762" spans="3:56">
      <c r="C762" s="488"/>
      <c r="D762" s="488"/>
      <c r="E762" s="488"/>
      <c r="F762" s="488"/>
      <c r="G762" s="488"/>
      <c r="H762" s="488"/>
      <c r="I762" s="488"/>
      <c r="J762" s="488"/>
      <c r="K762" s="488"/>
      <c r="L762" s="488"/>
      <c r="M762" s="488"/>
      <c r="N762" s="488"/>
      <c r="O762" s="488"/>
      <c r="P762" s="488"/>
      <c r="Q762" s="488"/>
      <c r="R762" s="488"/>
      <c r="S762" s="488"/>
      <c r="T762" s="488"/>
      <c r="U762" s="488"/>
      <c r="V762" s="488"/>
      <c r="W762" s="488"/>
      <c r="X762" s="488"/>
      <c r="Y762" s="488"/>
      <c r="Z762" s="488"/>
      <c r="AA762" s="488"/>
      <c r="AB762" s="488"/>
      <c r="AC762" s="488"/>
      <c r="AD762" s="488"/>
      <c r="AE762" s="488"/>
      <c r="AF762" s="488"/>
      <c r="AG762" s="488"/>
      <c r="AH762" s="488"/>
      <c r="AI762" s="488"/>
      <c r="AJ762" s="488"/>
      <c r="AK762" s="488"/>
      <c r="AL762" s="488"/>
      <c r="AM762" s="488"/>
      <c r="AN762" s="488"/>
      <c r="AO762" s="488"/>
      <c r="AP762" s="488"/>
      <c r="AQ762" s="488"/>
      <c r="AR762" s="488"/>
      <c r="AS762" s="488"/>
      <c r="AT762" s="488"/>
      <c r="AU762" s="488"/>
      <c r="AV762" s="488"/>
      <c r="AW762" s="488"/>
      <c r="AX762" s="488"/>
      <c r="AY762" s="488"/>
      <c r="AZ762" s="488"/>
      <c r="BA762" s="488"/>
      <c r="BB762" s="488"/>
      <c r="BC762" s="488"/>
      <c r="BD762" s="488"/>
    </row>
    <row r="763" spans="3:56">
      <c r="C763" s="488"/>
      <c r="D763" s="488"/>
      <c r="E763" s="488"/>
      <c r="F763" s="488"/>
      <c r="G763" s="488"/>
      <c r="H763" s="488"/>
      <c r="I763" s="488"/>
      <c r="J763" s="488"/>
      <c r="K763" s="488"/>
      <c r="L763" s="488"/>
      <c r="M763" s="488"/>
      <c r="N763" s="488"/>
      <c r="O763" s="488"/>
      <c r="P763" s="488"/>
      <c r="Q763" s="488"/>
      <c r="R763" s="488"/>
      <c r="S763" s="488"/>
      <c r="T763" s="488"/>
      <c r="U763" s="488"/>
      <c r="V763" s="488"/>
      <c r="W763" s="488"/>
      <c r="X763" s="488"/>
      <c r="Y763" s="488"/>
      <c r="Z763" s="488"/>
      <c r="AA763" s="488"/>
      <c r="AB763" s="488"/>
      <c r="AC763" s="488"/>
      <c r="AD763" s="488"/>
      <c r="AE763" s="488"/>
      <c r="AF763" s="488"/>
      <c r="AG763" s="488"/>
      <c r="AH763" s="488"/>
      <c r="AI763" s="488"/>
      <c r="AJ763" s="488"/>
      <c r="AK763" s="488"/>
      <c r="AL763" s="488"/>
      <c r="AM763" s="488"/>
      <c r="AN763" s="488"/>
      <c r="AO763" s="488"/>
      <c r="AP763" s="488"/>
      <c r="AQ763" s="488"/>
      <c r="AR763" s="488"/>
      <c r="AS763" s="488"/>
      <c r="AT763" s="488"/>
      <c r="AU763" s="488"/>
      <c r="AV763" s="488"/>
      <c r="AW763" s="488"/>
      <c r="AX763" s="488"/>
      <c r="AY763" s="488"/>
      <c r="AZ763" s="488"/>
      <c r="BA763" s="488"/>
      <c r="BB763" s="488"/>
      <c r="BC763" s="488"/>
      <c r="BD763" s="488"/>
    </row>
    <row r="764" spans="3:56">
      <c r="C764" s="488"/>
      <c r="D764" s="488"/>
      <c r="E764" s="488"/>
      <c r="F764" s="488"/>
      <c r="G764" s="488"/>
      <c r="H764" s="488"/>
      <c r="I764" s="488"/>
      <c r="J764" s="488"/>
      <c r="K764" s="488"/>
      <c r="L764" s="488"/>
      <c r="M764" s="488"/>
      <c r="N764" s="488"/>
      <c r="O764" s="488"/>
      <c r="P764" s="488"/>
      <c r="Q764" s="488"/>
      <c r="R764" s="488"/>
      <c r="S764" s="488"/>
      <c r="T764" s="488"/>
      <c r="U764" s="488"/>
      <c r="V764" s="488"/>
      <c r="W764" s="488"/>
      <c r="X764" s="488"/>
      <c r="Y764" s="488"/>
      <c r="Z764" s="488"/>
      <c r="AA764" s="488"/>
      <c r="AB764" s="488"/>
      <c r="AC764" s="488"/>
      <c r="AD764" s="488"/>
      <c r="AE764" s="488"/>
      <c r="AF764" s="488"/>
      <c r="AG764" s="488"/>
      <c r="AH764" s="488"/>
      <c r="AI764" s="488"/>
      <c r="AJ764" s="488"/>
      <c r="AK764" s="488"/>
      <c r="AL764" s="488"/>
      <c r="AM764" s="488"/>
      <c r="AN764" s="488"/>
      <c r="AO764" s="488"/>
      <c r="AP764" s="488"/>
      <c r="AQ764" s="488"/>
      <c r="AR764" s="488"/>
      <c r="AS764" s="488"/>
      <c r="AT764" s="488"/>
      <c r="AU764" s="488"/>
      <c r="AV764" s="488"/>
      <c r="AW764" s="488"/>
      <c r="AX764" s="488"/>
      <c r="AY764" s="488"/>
      <c r="AZ764" s="488"/>
      <c r="BA764" s="488"/>
      <c r="BB764" s="488"/>
      <c r="BC764" s="488"/>
      <c r="BD764" s="488"/>
    </row>
    <row r="765" spans="3:56">
      <c r="C765" s="488"/>
      <c r="D765" s="488"/>
      <c r="E765" s="488"/>
      <c r="F765" s="488"/>
      <c r="G765" s="488"/>
      <c r="H765" s="488"/>
      <c r="I765" s="488"/>
      <c r="J765" s="488"/>
      <c r="K765" s="488"/>
      <c r="L765" s="488"/>
      <c r="M765" s="488"/>
      <c r="N765" s="488"/>
      <c r="O765" s="488"/>
      <c r="P765" s="488"/>
      <c r="Q765" s="488"/>
      <c r="R765" s="488"/>
      <c r="S765" s="488"/>
      <c r="T765" s="488"/>
      <c r="U765" s="488"/>
      <c r="V765" s="488"/>
      <c r="W765" s="488"/>
      <c r="X765" s="488"/>
      <c r="Y765" s="488"/>
      <c r="Z765" s="488"/>
      <c r="AA765" s="488"/>
      <c r="AB765" s="488"/>
      <c r="AC765" s="488"/>
      <c r="AD765" s="488"/>
      <c r="AE765" s="488"/>
      <c r="AF765" s="488"/>
      <c r="AG765" s="488"/>
      <c r="AH765" s="488"/>
      <c r="AI765" s="488"/>
      <c r="AJ765" s="488"/>
      <c r="AK765" s="488"/>
      <c r="AL765" s="488"/>
      <c r="AM765" s="488"/>
      <c r="AN765" s="488"/>
      <c r="AO765" s="488"/>
      <c r="AP765" s="488"/>
      <c r="AQ765" s="488"/>
      <c r="AR765" s="488"/>
      <c r="AS765" s="488"/>
      <c r="AT765" s="488"/>
      <c r="AU765" s="488"/>
      <c r="AV765" s="488"/>
      <c r="AW765" s="488"/>
      <c r="AX765" s="488"/>
      <c r="AY765" s="488"/>
      <c r="AZ765" s="488"/>
      <c r="BA765" s="488"/>
      <c r="BB765" s="488"/>
      <c r="BC765" s="488"/>
      <c r="BD765" s="488"/>
    </row>
    <row r="766" spans="3:56">
      <c r="C766" s="488"/>
      <c r="D766" s="488"/>
      <c r="E766" s="488"/>
      <c r="F766" s="488"/>
      <c r="G766" s="488"/>
      <c r="H766" s="488"/>
      <c r="I766" s="488"/>
      <c r="J766" s="488"/>
      <c r="K766" s="488"/>
      <c r="L766" s="488"/>
      <c r="M766" s="488"/>
      <c r="N766" s="488"/>
      <c r="O766" s="488"/>
      <c r="P766" s="488"/>
      <c r="Q766" s="488"/>
      <c r="R766" s="488"/>
      <c r="S766" s="488"/>
      <c r="T766" s="488"/>
      <c r="U766" s="488"/>
      <c r="V766" s="488"/>
      <c r="W766" s="488"/>
      <c r="X766" s="488"/>
      <c r="Y766" s="488"/>
      <c r="Z766" s="488"/>
      <c r="AA766" s="488"/>
      <c r="AB766" s="488"/>
      <c r="AC766" s="488"/>
      <c r="AD766" s="488"/>
      <c r="AE766" s="488"/>
      <c r="AF766" s="488"/>
      <c r="AG766" s="488"/>
      <c r="AH766" s="488"/>
      <c r="AI766" s="488"/>
      <c r="AJ766" s="488"/>
      <c r="AK766" s="488"/>
      <c r="AL766" s="488"/>
      <c r="AM766" s="488"/>
      <c r="AN766" s="488"/>
      <c r="AO766" s="488"/>
      <c r="AP766" s="488"/>
      <c r="AQ766" s="488"/>
      <c r="AR766" s="488"/>
      <c r="AS766" s="488"/>
      <c r="AT766" s="488"/>
      <c r="AU766" s="488"/>
      <c r="AV766" s="488"/>
      <c r="AW766" s="488"/>
      <c r="AX766" s="488"/>
      <c r="AY766" s="488"/>
      <c r="AZ766" s="488"/>
      <c r="BA766" s="488"/>
      <c r="BB766" s="488"/>
      <c r="BC766" s="488"/>
      <c r="BD766" s="488"/>
    </row>
    <row r="767" spans="3:56">
      <c r="C767" s="488"/>
      <c r="D767" s="488"/>
      <c r="E767" s="488"/>
      <c r="F767" s="488"/>
      <c r="G767" s="488"/>
      <c r="H767" s="488"/>
      <c r="I767" s="488"/>
      <c r="J767" s="488"/>
      <c r="K767" s="488"/>
      <c r="L767" s="488"/>
      <c r="M767" s="488"/>
      <c r="N767" s="488"/>
      <c r="O767" s="488"/>
      <c r="P767" s="488"/>
      <c r="Q767" s="488"/>
      <c r="R767" s="488"/>
      <c r="S767" s="488"/>
      <c r="T767" s="488"/>
      <c r="U767" s="488"/>
      <c r="V767" s="488"/>
      <c r="W767" s="488"/>
      <c r="X767" s="488"/>
      <c r="Y767" s="488"/>
      <c r="Z767" s="488"/>
      <c r="AA767" s="488"/>
      <c r="AB767" s="488"/>
      <c r="AC767" s="488"/>
      <c r="AD767" s="488"/>
      <c r="AE767" s="488"/>
      <c r="AF767" s="488"/>
      <c r="AG767" s="488"/>
      <c r="AH767" s="488"/>
      <c r="AI767" s="488"/>
      <c r="AJ767" s="488"/>
      <c r="AK767" s="488"/>
      <c r="AL767" s="488"/>
      <c r="AM767" s="488"/>
      <c r="AN767" s="488"/>
      <c r="AO767" s="488"/>
      <c r="AP767" s="488"/>
      <c r="AQ767" s="488"/>
      <c r="AR767" s="488"/>
      <c r="AS767" s="488"/>
      <c r="AT767" s="488"/>
      <c r="AU767" s="488"/>
      <c r="AV767" s="488"/>
      <c r="AW767" s="488"/>
      <c r="AX767" s="488"/>
      <c r="AY767" s="488"/>
      <c r="AZ767" s="488"/>
      <c r="BA767" s="488"/>
      <c r="BB767" s="488"/>
      <c r="BC767" s="488"/>
      <c r="BD767" s="488"/>
    </row>
    <row r="768" spans="3:56">
      <c r="C768" s="488"/>
      <c r="D768" s="488"/>
      <c r="E768" s="488"/>
      <c r="F768" s="488"/>
      <c r="G768" s="488"/>
      <c r="H768" s="488"/>
      <c r="I768" s="488"/>
      <c r="J768" s="488"/>
      <c r="K768" s="488"/>
      <c r="L768" s="488"/>
      <c r="M768" s="488"/>
      <c r="N768" s="488"/>
      <c r="O768" s="488"/>
      <c r="P768" s="488"/>
      <c r="Q768" s="488"/>
      <c r="R768" s="488"/>
      <c r="S768" s="488"/>
      <c r="T768" s="488"/>
      <c r="U768" s="488"/>
      <c r="V768" s="488"/>
      <c r="W768" s="488"/>
      <c r="X768" s="488"/>
      <c r="Y768" s="488"/>
      <c r="Z768" s="488"/>
      <c r="AA768" s="488"/>
      <c r="AB768" s="488"/>
      <c r="AC768" s="488"/>
      <c r="AD768" s="488"/>
      <c r="AE768" s="488"/>
      <c r="AF768" s="488"/>
      <c r="AG768" s="488"/>
      <c r="AH768" s="488"/>
      <c r="AI768" s="488"/>
      <c r="AJ768" s="488"/>
      <c r="AK768" s="488"/>
      <c r="AL768" s="488"/>
      <c r="AM768" s="488"/>
      <c r="AN768" s="488"/>
      <c r="AO768" s="488"/>
      <c r="AP768" s="488"/>
      <c r="AQ768" s="488"/>
      <c r="AR768" s="488"/>
      <c r="AS768" s="488"/>
      <c r="AT768" s="488"/>
      <c r="AU768" s="488"/>
      <c r="AV768" s="488"/>
      <c r="AW768" s="488"/>
      <c r="AX768" s="488"/>
      <c r="AY768" s="488"/>
      <c r="AZ768" s="488"/>
      <c r="BA768" s="488"/>
      <c r="BB768" s="488"/>
      <c r="BC768" s="488"/>
      <c r="BD768" s="488"/>
    </row>
    <row r="769" spans="3:56">
      <c r="C769" s="488"/>
      <c r="D769" s="488"/>
      <c r="E769" s="488"/>
      <c r="F769" s="488"/>
      <c r="G769" s="488"/>
      <c r="H769" s="488"/>
      <c r="I769" s="488"/>
      <c r="J769" s="488"/>
      <c r="K769" s="488"/>
      <c r="L769" s="488"/>
      <c r="M769" s="488"/>
      <c r="N769" s="488"/>
      <c r="O769" s="488"/>
      <c r="P769" s="488"/>
      <c r="Q769" s="488"/>
      <c r="R769" s="488"/>
      <c r="S769" s="488"/>
      <c r="T769" s="488"/>
      <c r="U769" s="488"/>
      <c r="V769" s="488"/>
      <c r="W769" s="488"/>
      <c r="X769" s="488"/>
      <c r="Y769" s="488"/>
      <c r="Z769" s="488"/>
      <c r="AA769" s="488"/>
      <c r="AB769" s="488"/>
      <c r="AC769" s="488"/>
      <c r="AD769" s="488"/>
      <c r="AE769" s="488"/>
      <c r="AF769" s="488"/>
      <c r="AG769" s="488"/>
      <c r="AH769" s="488"/>
      <c r="AI769" s="488"/>
      <c r="AJ769" s="488"/>
      <c r="AK769" s="488"/>
      <c r="AL769" s="488"/>
      <c r="AM769" s="488"/>
      <c r="AN769" s="488"/>
      <c r="AO769" s="488"/>
      <c r="AP769" s="488"/>
      <c r="AQ769" s="488"/>
      <c r="AR769" s="488"/>
      <c r="AS769" s="488"/>
      <c r="AT769" s="488"/>
      <c r="AU769" s="488"/>
      <c r="AV769" s="488"/>
      <c r="AW769" s="488"/>
      <c r="AX769" s="488"/>
      <c r="AY769" s="488"/>
      <c r="AZ769" s="488"/>
      <c r="BA769" s="488"/>
      <c r="BB769" s="488"/>
      <c r="BC769" s="488"/>
      <c r="BD769" s="488"/>
    </row>
    <row r="770" spans="3:56">
      <c r="C770" s="488"/>
      <c r="D770" s="488"/>
      <c r="E770" s="488"/>
      <c r="F770" s="488"/>
      <c r="G770" s="488"/>
      <c r="H770" s="488"/>
      <c r="I770" s="488"/>
      <c r="J770" s="488"/>
      <c r="K770" s="488"/>
      <c r="L770" s="488"/>
      <c r="M770" s="488"/>
      <c r="N770" s="488"/>
      <c r="O770" s="488"/>
      <c r="P770" s="488"/>
      <c r="Q770" s="488"/>
      <c r="R770" s="488"/>
      <c r="S770" s="488"/>
      <c r="T770" s="488"/>
      <c r="U770" s="488"/>
      <c r="V770" s="488"/>
      <c r="W770" s="488"/>
      <c r="X770" s="488"/>
      <c r="Y770" s="488"/>
      <c r="Z770" s="488"/>
      <c r="AA770" s="488"/>
      <c r="AB770" s="488"/>
      <c r="AC770" s="488"/>
      <c r="AD770" s="488"/>
      <c r="AE770" s="488"/>
      <c r="AF770" s="488"/>
      <c r="AG770" s="488"/>
      <c r="AH770" s="488"/>
      <c r="AI770" s="488"/>
      <c r="AJ770" s="488"/>
      <c r="AK770" s="488"/>
      <c r="AL770" s="488"/>
      <c r="AM770" s="488"/>
      <c r="AN770" s="488"/>
      <c r="AO770" s="488"/>
      <c r="AP770" s="488"/>
      <c r="AQ770" s="488"/>
      <c r="AR770" s="488"/>
      <c r="AS770" s="488"/>
      <c r="AT770" s="488"/>
      <c r="AU770" s="488"/>
      <c r="AV770" s="488"/>
      <c r="AW770" s="488"/>
      <c r="AX770" s="488"/>
      <c r="AY770" s="488"/>
      <c r="AZ770" s="488"/>
      <c r="BA770" s="488"/>
      <c r="BB770" s="488"/>
      <c r="BC770" s="488"/>
      <c r="BD770" s="488"/>
    </row>
    <row r="771" spans="3:56">
      <c r="C771" s="488"/>
      <c r="D771" s="488"/>
      <c r="E771" s="488"/>
      <c r="F771" s="488"/>
      <c r="G771" s="488"/>
      <c r="H771" s="488"/>
      <c r="I771" s="488"/>
      <c r="J771" s="488"/>
      <c r="K771" s="488"/>
      <c r="L771" s="488"/>
      <c r="M771" s="488"/>
      <c r="N771" s="488"/>
      <c r="O771" s="488"/>
      <c r="P771" s="488"/>
      <c r="Q771" s="488"/>
      <c r="R771" s="488"/>
      <c r="S771" s="488"/>
      <c r="T771" s="488"/>
      <c r="U771" s="488"/>
      <c r="V771" s="488"/>
      <c r="W771" s="488"/>
      <c r="X771" s="488"/>
      <c r="Y771" s="488"/>
      <c r="Z771" s="488"/>
      <c r="AA771" s="488"/>
      <c r="AB771" s="488"/>
      <c r="AC771" s="488"/>
      <c r="AD771" s="488"/>
      <c r="AE771" s="488"/>
      <c r="AF771" s="488"/>
      <c r="AG771" s="488"/>
      <c r="AH771" s="488"/>
      <c r="AI771" s="488"/>
      <c r="AJ771" s="488"/>
      <c r="AK771" s="488"/>
      <c r="AL771" s="488"/>
      <c r="AM771" s="488"/>
      <c r="AN771" s="488"/>
      <c r="AO771" s="488"/>
      <c r="AP771" s="488"/>
      <c r="AQ771" s="488"/>
      <c r="AR771" s="488"/>
      <c r="AS771" s="488"/>
      <c r="AT771" s="488"/>
      <c r="AU771" s="488"/>
      <c r="AV771" s="488"/>
      <c r="AW771" s="488"/>
      <c r="AX771" s="488"/>
      <c r="AY771" s="488"/>
      <c r="AZ771" s="488"/>
      <c r="BA771" s="488"/>
      <c r="BB771" s="488"/>
      <c r="BC771" s="488"/>
      <c r="BD771" s="488"/>
    </row>
    <row r="772" spans="3:56">
      <c r="C772" s="488"/>
      <c r="D772" s="488"/>
      <c r="E772" s="488"/>
      <c r="F772" s="488"/>
      <c r="G772" s="488"/>
      <c r="H772" s="488"/>
      <c r="I772" s="488"/>
      <c r="J772" s="488"/>
      <c r="K772" s="488"/>
      <c r="L772" s="488"/>
      <c r="M772" s="488"/>
      <c r="N772" s="488"/>
      <c r="O772" s="488"/>
      <c r="P772" s="488"/>
      <c r="Q772" s="488"/>
      <c r="R772" s="488"/>
      <c r="S772" s="488"/>
      <c r="T772" s="488"/>
      <c r="U772" s="488"/>
      <c r="V772" s="488"/>
      <c r="W772" s="488"/>
      <c r="X772" s="488"/>
      <c r="Y772" s="488"/>
      <c r="Z772" s="488"/>
      <c r="AA772" s="488"/>
      <c r="AB772" s="488"/>
      <c r="AC772" s="488"/>
      <c r="AD772" s="488"/>
      <c r="AE772" s="488"/>
      <c r="AF772" s="488"/>
      <c r="AG772" s="488"/>
      <c r="AH772" s="488"/>
      <c r="AI772" s="488"/>
      <c r="AJ772" s="488"/>
      <c r="AK772" s="488"/>
      <c r="AL772" s="488"/>
      <c r="AM772" s="488"/>
      <c r="AN772" s="488"/>
      <c r="AO772" s="488"/>
      <c r="AP772" s="488"/>
      <c r="AQ772" s="488"/>
      <c r="AR772" s="488"/>
      <c r="AS772" s="488"/>
      <c r="AT772" s="488"/>
      <c r="AU772" s="488"/>
      <c r="AV772" s="488"/>
      <c r="AW772" s="488"/>
      <c r="AX772" s="488"/>
      <c r="AY772" s="488"/>
      <c r="AZ772" s="488"/>
      <c r="BA772" s="488"/>
      <c r="BB772" s="488"/>
      <c r="BC772" s="488"/>
      <c r="BD772" s="488"/>
    </row>
    <row r="773" spans="3:56">
      <c r="C773" s="488"/>
      <c r="D773" s="488"/>
      <c r="E773" s="488"/>
      <c r="F773" s="488"/>
      <c r="G773" s="488"/>
      <c r="H773" s="488"/>
      <c r="I773" s="488"/>
      <c r="J773" s="488"/>
      <c r="K773" s="488"/>
      <c r="L773" s="488"/>
      <c r="M773" s="488"/>
      <c r="N773" s="488"/>
      <c r="O773" s="488"/>
      <c r="P773" s="488"/>
      <c r="Q773" s="488"/>
      <c r="R773" s="488"/>
      <c r="S773" s="488"/>
      <c r="T773" s="488"/>
      <c r="U773" s="488"/>
      <c r="V773" s="488"/>
      <c r="W773" s="488"/>
      <c r="X773" s="488"/>
      <c r="Y773" s="488"/>
      <c r="Z773" s="488"/>
      <c r="AA773" s="488"/>
      <c r="AB773" s="488"/>
      <c r="AC773" s="488"/>
      <c r="AD773" s="488"/>
      <c r="AE773" s="488"/>
      <c r="AF773" s="488"/>
      <c r="AG773" s="488"/>
      <c r="AH773" s="488"/>
      <c r="AI773" s="488"/>
      <c r="AJ773" s="488"/>
      <c r="AK773" s="488"/>
      <c r="AL773" s="488"/>
      <c r="AM773" s="488"/>
      <c r="AN773" s="488"/>
      <c r="AO773" s="488"/>
      <c r="AP773" s="488"/>
      <c r="AQ773" s="488"/>
      <c r="AR773" s="488"/>
      <c r="AS773" s="488"/>
      <c r="AT773" s="488"/>
      <c r="AU773" s="488"/>
      <c r="AV773" s="488"/>
      <c r="AW773" s="488"/>
      <c r="AX773" s="488"/>
      <c r="AY773" s="488"/>
      <c r="AZ773" s="488"/>
      <c r="BA773" s="488"/>
      <c r="BB773" s="488"/>
      <c r="BC773" s="488"/>
      <c r="BD773" s="488"/>
    </row>
    <row r="774" spans="3:56">
      <c r="C774" s="488"/>
      <c r="D774" s="488"/>
      <c r="E774" s="488"/>
      <c r="F774" s="488"/>
      <c r="G774" s="488"/>
      <c r="H774" s="488"/>
      <c r="I774" s="488"/>
      <c r="J774" s="488"/>
      <c r="K774" s="488"/>
      <c r="L774" s="488"/>
      <c r="M774" s="488"/>
      <c r="N774" s="488"/>
      <c r="O774" s="488"/>
      <c r="P774" s="488"/>
      <c r="Q774" s="488"/>
      <c r="R774" s="488"/>
      <c r="S774" s="488"/>
      <c r="T774" s="488"/>
      <c r="U774" s="488"/>
      <c r="V774" s="488"/>
      <c r="W774" s="488"/>
      <c r="X774" s="488"/>
      <c r="Y774" s="488"/>
      <c r="Z774" s="488"/>
      <c r="AA774" s="488"/>
      <c r="AB774" s="488"/>
      <c r="AC774" s="488"/>
      <c r="AD774" s="488"/>
      <c r="AE774" s="488"/>
      <c r="AF774" s="488"/>
      <c r="AG774" s="488"/>
      <c r="AH774" s="488"/>
      <c r="AI774" s="488"/>
      <c r="AJ774" s="488"/>
      <c r="AK774" s="488"/>
      <c r="AL774" s="488"/>
      <c r="AM774" s="488"/>
      <c r="AN774" s="488"/>
      <c r="AO774" s="488"/>
      <c r="AP774" s="488"/>
      <c r="AQ774" s="488"/>
      <c r="AR774" s="488"/>
      <c r="AS774" s="488"/>
      <c r="AT774" s="488"/>
      <c r="AU774" s="488"/>
      <c r="AV774" s="488"/>
      <c r="AW774" s="488"/>
      <c r="AX774" s="488"/>
      <c r="AY774" s="488"/>
      <c r="AZ774" s="488"/>
      <c r="BA774" s="488"/>
      <c r="BB774" s="488"/>
      <c r="BC774" s="488"/>
      <c r="BD774" s="488"/>
    </row>
    <row r="775" spans="3:56">
      <c r="C775" s="488"/>
      <c r="D775" s="488"/>
      <c r="E775" s="488"/>
      <c r="F775" s="488"/>
      <c r="G775" s="488"/>
      <c r="H775" s="488"/>
      <c r="I775" s="488"/>
      <c r="J775" s="488"/>
      <c r="K775" s="488"/>
      <c r="L775" s="488"/>
      <c r="M775" s="488"/>
      <c r="N775" s="488"/>
      <c r="O775" s="488"/>
      <c r="P775" s="488"/>
      <c r="Q775" s="488"/>
      <c r="R775" s="488"/>
      <c r="S775" s="488"/>
      <c r="T775" s="488"/>
      <c r="U775" s="488"/>
      <c r="V775" s="488"/>
      <c r="W775" s="488"/>
      <c r="X775" s="488"/>
      <c r="Y775" s="488"/>
      <c r="Z775" s="488"/>
      <c r="AA775" s="488"/>
      <c r="AB775" s="488"/>
      <c r="AC775" s="488"/>
      <c r="AD775" s="488"/>
      <c r="AE775" s="488"/>
      <c r="AF775" s="488"/>
      <c r="AG775" s="488"/>
      <c r="AH775" s="488"/>
      <c r="AI775" s="488"/>
      <c r="AJ775" s="488"/>
      <c r="AK775" s="488"/>
      <c r="AL775" s="488"/>
      <c r="AM775" s="488"/>
      <c r="AN775" s="488"/>
      <c r="AO775" s="488"/>
      <c r="AP775" s="488"/>
      <c r="AQ775" s="488"/>
      <c r="AR775" s="488"/>
      <c r="AS775" s="488"/>
      <c r="AT775" s="488"/>
      <c r="AU775" s="488"/>
      <c r="AV775" s="488"/>
      <c r="AW775" s="488"/>
      <c r="AX775" s="488"/>
      <c r="AY775" s="488"/>
      <c r="AZ775" s="488"/>
      <c r="BA775" s="488"/>
      <c r="BB775" s="488"/>
      <c r="BC775" s="488"/>
      <c r="BD775" s="488"/>
    </row>
    <row r="776" spans="3:56">
      <c r="C776" s="488"/>
      <c r="D776" s="488"/>
      <c r="E776" s="488"/>
      <c r="F776" s="488"/>
      <c r="G776" s="488"/>
      <c r="H776" s="488"/>
      <c r="I776" s="488"/>
      <c r="J776" s="488"/>
      <c r="K776" s="488"/>
      <c r="L776" s="488"/>
      <c r="M776" s="488"/>
      <c r="N776" s="488"/>
      <c r="O776" s="488"/>
      <c r="P776" s="488"/>
      <c r="Q776" s="488"/>
      <c r="R776" s="488"/>
      <c r="S776" s="488"/>
      <c r="T776" s="488"/>
      <c r="U776" s="488"/>
      <c r="V776" s="488"/>
      <c r="W776" s="488"/>
      <c r="X776" s="488"/>
      <c r="Y776" s="488"/>
      <c r="Z776" s="488"/>
      <c r="AA776" s="488"/>
      <c r="AB776" s="488"/>
      <c r="AC776" s="488"/>
      <c r="AD776" s="488"/>
      <c r="AE776" s="488"/>
      <c r="AF776" s="488"/>
      <c r="AG776" s="488"/>
      <c r="AH776" s="488"/>
      <c r="AI776" s="488"/>
      <c r="AJ776" s="488"/>
      <c r="AK776" s="488"/>
      <c r="AL776" s="488"/>
      <c r="AM776" s="488"/>
      <c r="AN776" s="488"/>
      <c r="AO776" s="488"/>
      <c r="AP776" s="488"/>
      <c r="AQ776" s="488"/>
      <c r="AR776" s="488"/>
      <c r="AS776" s="488"/>
      <c r="AT776" s="488"/>
      <c r="AU776" s="488"/>
      <c r="AV776" s="488"/>
      <c r="AW776" s="488"/>
      <c r="AX776" s="488"/>
      <c r="AY776" s="488"/>
      <c r="AZ776" s="488"/>
      <c r="BA776" s="488"/>
      <c r="BB776" s="488"/>
      <c r="BC776" s="488"/>
      <c r="BD776" s="488"/>
    </row>
    <row r="777" spans="3:56">
      <c r="C777" s="488"/>
      <c r="D777" s="488"/>
      <c r="E777" s="488"/>
      <c r="F777" s="488"/>
      <c r="G777" s="488"/>
      <c r="H777" s="488"/>
      <c r="I777" s="488"/>
      <c r="J777" s="488"/>
      <c r="K777" s="488"/>
      <c r="L777" s="488"/>
      <c r="M777" s="488"/>
      <c r="N777" s="488"/>
      <c r="O777" s="488"/>
      <c r="P777" s="488"/>
      <c r="Q777" s="488"/>
      <c r="R777" s="488"/>
      <c r="S777" s="488"/>
      <c r="T777" s="488"/>
      <c r="U777" s="488"/>
      <c r="V777" s="488"/>
      <c r="W777" s="488"/>
      <c r="X777" s="488"/>
      <c r="Y777" s="488"/>
      <c r="Z777" s="488"/>
      <c r="AA777" s="488"/>
      <c r="AB777" s="488"/>
      <c r="AC777" s="488"/>
      <c r="AD777" s="488"/>
      <c r="AE777" s="488"/>
      <c r="AF777" s="488"/>
      <c r="AG777" s="488"/>
      <c r="AH777" s="488"/>
      <c r="AI777" s="488"/>
      <c r="AJ777" s="488"/>
      <c r="AK777" s="488"/>
      <c r="AL777" s="488"/>
      <c r="AM777" s="488"/>
      <c r="AN777" s="488"/>
      <c r="AO777" s="488"/>
      <c r="AP777" s="488"/>
      <c r="AQ777" s="488"/>
      <c r="AR777" s="488"/>
      <c r="AS777" s="488"/>
      <c r="AT777" s="488"/>
      <c r="AU777" s="488"/>
      <c r="AV777" s="488"/>
      <c r="AW777" s="488"/>
      <c r="AX777" s="488"/>
      <c r="AY777" s="488"/>
      <c r="AZ777" s="488"/>
      <c r="BA777" s="488"/>
      <c r="BB777" s="488"/>
      <c r="BC777" s="488"/>
      <c r="BD777" s="488"/>
    </row>
    <row r="778" spans="3:56">
      <c r="C778" s="488"/>
      <c r="D778" s="488"/>
      <c r="E778" s="488"/>
      <c r="F778" s="488"/>
      <c r="G778" s="488"/>
      <c r="H778" s="488"/>
      <c r="I778" s="488"/>
      <c r="J778" s="488"/>
      <c r="K778" s="488"/>
      <c r="L778" s="488"/>
      <c r="M778" s="488"/>
      <c r="N778" s="488"/>
      <c r="O778" s="488"/>
      <c r="P778" s="488"/>
      <c r="Q778" s="488"/>
      <c r="R778" s="488"/>
      <c r="S778" s="488"/>
      <c r="T778" s="488"/>
      <c r="U778" s="488"/>
      <c r="V778" s="488"/>
      <c r="W778" s="488"/>
      <c r="X778" s="488"/>
      <c r="Y778" s="488"/>
      <c r="Z778" s="488"/>
      <c r="AA778" s="488"/>
      <c r="AB778" s="488"/>
      <c r="AC778" s="488"/>
      <c r="AD778" s="488"/>
      <c r="AE778" s="488"/>
      <c r="AF778" s="488"/>
      <c r="AG778" s="488"/>
      <c r="AH778" s="488"/>
      <c r="AI778" s="488"/>
      <c r="AJ778" s="488"/>
      <c r="AK778" s="488"/>
      <c r="AL778" s="488"/>
      <c r="AM778" s="488"/>
      <c r="AN778" s="488"/>
      <c r="AO778" s="488"/>
      <c r="AP778" s="488"/>
      <c r="AQ778" s="488"/>
      <c r="AR778" s="488"/>
      <c r="AS778" s="488"/>
      <c r="AT778" s="488"/>
      <c r="AU778" s="488"/>
      <c r="AV778" s="488"/>
      <c r="AW778" s="488"/>
      <c r="AX778" s="488"/>
      <c r="AY778" s="488"/>
      <c r="AZ778" s="488"/>
      <c r="BA778" s="488"/>
      <c r="BB778" s="488"/>
      <c r="BC778" s="488"/>
      <c r="BD778" s="488"/>
    </row>
    <row r="779" spans="3:56">
      <c r="C779" s="488"/>
      <c r="D779" s="488"/>
      <c r="E779" s="488"/>
      <c r="F779" s="488"/>
      <c r="G779" s="488"/>
      <c r="H779" s="488"/>
      <c r="I779" s="488"/>
      <c r="J779" s="488"/>
      <c r="K779" s="488"/>
      <c r="L779" s="488"/>
      <c r="M779" s="488"/>
      <c r="N779" s="488"/>
      <c r="O779" s="488"/>
      <c r="P779" s="488"/>
      <c r="Q779" s="488"/>
      <c r="R779" s="488"/>
      <c r="S779" s="488"/>
      <c r="T779" s="488"/>
      <c r="U779" s="488"/>
      <c r="V779" s="488"/>
      <c r="W779" s="488"/>
      <c r="X779" s="488"/>
      <c r="Y779" s="488"/>
      <c r="Z779" s="488"/>
      <c r="AA779" s="488"/>
      <c r="AB779" s="488"/>
      <c r="AC779" s="488"/>
      <c r="AD779" s="488"/>
      <c r="AE779" s="488"/>
      <c r="AF779" s="488"/>
      <c r="AG779" s="488"/>
      <c r="AH779" s="488"/>
      <c r="AI779" s="488"/>
      <c r="AJ779" s="488"/>
      <c r="AK779" s="488"/>
      <c r="AL779" s="488"/>
      <c r="AM779" s="488"/>
      <c r="AN779" s="488"/>
      <c r="AO779" s="488"/>
      <c r="AP779" s="488"/>
      <c r="AQ779" s="488"/>
      <c r="AR779" s="488"/>
      <c r="AS779" s="488"/>
      <c r="AT779" s="488"/>
      <c r="AU779" s="488"/>
      <c r="AV779" s="488"/>
      <c r="AW779" s="488"/>
      <c r="AX779" s="488"/>
      <c r="AY779" s="488"/>
      <c r="AZ779" s="488"/>
      <c r="BA779" s="488"/>
      <c r="BB779" s="488"/>
      <c r="BC779" s="488"/>
      <c r="BD779" s="488"/>
    </row>
    <row r="780" spans="3:56">
      <c r="C780" s="488"/>
      <c r="D780" s="488"/>
      <c r="E780" s="488"/>
      <c r="F780" s="488"/>
      <c r="G780" s="488"/>
      <c r="H780" s="488"/>
      <c r="I780" s="488"/>
      <c r="J780" s="488"/>
      <c r="K780" s="488"/>
      <c r="L780" s="488"/>
      <c r="M780" s="488"/>
      <c r="N780" s="488"/>
      <c r="O780" s="488"/>
      <c r="P780" s="488"/>
      <c r="Q780" s="488"/>
      <c r="R780" s="488"/>
      <c r="S780" s="488"/>
      <c r="T780" s="488"/>
      <c r="U780" s="488"/>
      <c r="V780" s="488"/>
      <c r="W780" s="488"/>
      <c r="X780" s="488"/>
      <c r="Y780" s="488"/>
      <c r="Z780" s="488"/>
      <c r="AA780" s="488"/>
      <c r="AB780" s="488"/>
      <c r="AC780" s="488"/>
      <c r="AD780" s="488"/>
      <c r="AE780" s="488"/>
      <c r="AF780" s="488"/>
      <c r="AG780" s="488"/>
      <c r="AH780" s="488"/>
      <c r="AI780" s="488"/>
      <c r="AJ780" s="488"/>
      <c r="AK780" s="488"/>
      <c r="AL780" s="488"/>
      <c r="AM780" s="488"/>
      <c r="AN780" s="488"/>
      <c r="AO780" s="488"/>
      <c r="AP780" s="488"/>
      <c r="AQ780" s="488"/>
      <c r="AR780" s="488"/>
      <c r="AS780" s="488"/>
      <c r="AT780" s="488"/>
      <c r="AU780" s="488"/>
      <c r="AV780" s="488"/>
      <c r="AW780" s="488"/>
      <c r="AX780" s="488"/>
      <c r="AY780" s="488"/>
      <c r="AZ780" s="488"/>
      <c r="BA780" s="488"/>
      <c r="BB780" s="488"/>
      <c r="BC780" s="488"/>
      <c r="BD780" s="488"/>
    </row>
    <row r="781" spans="3:56">
      <c r="C781" s="488"/>
      <c r="D781" s="488"/>
      <c r="E781" s="488"/>
      <c r="F781" s="488"/>
      <c r="G781" s="488"/>
      <c r="H781" s="488"/>
      <c r="I781" s="488"/>
      <c r="J781" s="488"/>
      <c r="K781" s="488"/>
      <c r="L781" s="488"/>
      <c r="M781" s="488"/>
      <c r="N781" s="488"/>
      <c r="O781" s="488"/>
      <c r="P781" s="488"/>
      <c r="Q781" s="488"/>
      <c r="R781" s="488"/>
      <c r="S781" s="488"/>
      <c r="T781" s="488"/>
      <c r="U781" s="488"/>
      <c r="V781" s="488"/>
      <c r="W781" s="488"/>
      <c r="X781" s="488"/>
      <c r="Y781" s="488"/>
      <c r="Z781" s="488"/>
      <c r="AA781" s="488"/>
      <c r="AB781" s="488"/>
      <c r="AC781" s="488"/>
      <c r="AD781" s="488"/>
      <c r="AE781" s="488"/>
      <c r="AF781" s="488"/>
      <c r="AG781" s="488"/>
      <c r="AH781" s="488"/>
      <c r="AI781" s="488"/>
      <c r="AJ781" s="488"/>
      <c r="AK781" s="488"/>
      <c r="AL781" s="488"/>
      <c r="AM781" s="488"/>
      <c r="AN781" s="488"/>
      <c r="AO781" s="488"/>
      <c r="AP781" s="488"/>
      <c r="AQ781" s="488"/>
      <c r="AR781" s="488"/>
      <c r="AS781" s="488"/>
      <c r="AT781" s="488"/>
      <c r="AU781" s="488"/>
      <c r="AV781" s="488"/>
      <c r="AW781" s="488"/>
      <c r="AX781" s="488"/>
      <c r="AY781" s="488"/>
      <c r="AZ781" s="488"/>
      <c r="BA781" s="488"/>
      <c r="BB781" s="488"/>
      <c r="BC781" s="488"/>
      <c r="BD781" s="488"/>
    </row>
    <row r="782" spans="3:56">
      <c r="C782" s="488"/>
      <c r="D782" s="488"/>
      <c r="E782" s="488"/>
      <c r="F782" s="488"/>
      <c r="G782" s="488"/>
      <c r="H782" s="488"/>
      <c r="I782" s="488"/>
      <c r="J782" s="488"/>
      <c r="K782" s="488"/>
      <c r="L782" s="488"/>
      <c r="M782" s="488"/>
      <c r="N782" s="488"/>
      <c r="O782" s="488"/>
      <c r="P782" s="488"/>
      <c r="Q782" s="488"/>
      <c r="R782" s="488"/>
      <c r="S782" s="488"/>
      <c r="T782" s="488"/>
      <c r="U782" s="488"/>
      <c r="V782" s="488"/>
      <c r="W782" s="488"/>
      <c r="X782" s="488"/>
      <c r="Y782" s="488"/>
      <c r="Z782" s="488"/>
      <c r="AA782" s="488"/>
      <c r="AB782" s="488"/>
      <c r="AC782" s="488"/>
      <c r="AD782" s="488"/>
      <c r="AE782" s="488"/>
      <c r="AF782" s="488"/>
      <c r="AG782" s="488"/>
      <c r="AH782" s="488"/>
      <c r="AI782" s="488"/>
      <c r="AJ782" s="488"/>
      <c r="AK782" s="488"/>
      <c r="AL782" s="488"/>
      <c r="AM782" s="488"/>
      <c r="AN782" s="488"/>
      <c r="AO782" s="488"/>
      <c r="AP782" s="488"/>
      <c r="AQ782" s="488"/>
      <c r="AR782" s="488"/>
      <c r="AS782" s="488"/>
      <c r="AT782" s="488"/>
      <c r="AU782" s="488"/>
      <c r="AV782" s="488"/>
      <c r="AW782" s="488"/>
      <c r="AX782" s="488"/>
      <c r="AY782" s="488"/>
      <c r="AZ782" s="488"/>
      <c r="BA782" s="488"/>
      <c r="BB782" s="488"/>
      <c r="BC782" s="488"/>
      <c r="BD782" s="488"/>
    </row>
    <row r="783" spans="3:56">
      <c r="C783" s="488"/>
      <c r="D783" s="488"/>
      <c r="E783" s="488"/>
      <c r="F783" s="488"/>
      <c r="G783" s="488"/>
      <c r="H783" s="488"/>
      <c r="I783" s="488"/>
      <c r="J783" s="488"/>
      <c r="K783" s="488"/>
      <c r="L783" s="488"/>
      <c r="M783" s="488"/>
      <c r="N783" s="488"/>
      <c r="O783" s="488"/>
      <c r="P783" s="488"/>
      <c r="Q783" s="488"/>
      <c r="R783" s="488"/>
      <c r="S783" s="488"/>
      <c r="T783" s="488"/>
      <c r="U783" s="488"/>
      <c r="V783" s="488"/>
      <c r="W783" s="488"/>
      <c r="X783" s="488"/>
      <c r="Y783" s="488"/>
      <c r="Z783" s="488"/>
      <c r="AA783" s="488"/>
      <c r="AB783" s="488"/>
      <c r="AC783" s="488"/>
      <c r="AD783" s="488"/>
      <c r="AE783" s="488"/>
      <c r="AF783" s="488"/>
      <c r="AG783" s="488"/>
      <c r="AH783" s="488"/>
      <c r="AI783" s="488"/>
      <c r="AJ783" s="488"/>
      <c r="AK783" s="488"/>
      <c r="AL783" s="488"/>
      <c r="AM783" s="488"/>
      <c r="AN783" s="488"/>
      <c r="AO783" s="488"/>
      <c r="AP783" s="488"/>
      <c r="AQ783" s="488"/>
      <c r="AR783" s="488"/>
      <c r="AS783" s="488"/>
      <c r="AT783" s="488"/>
      <c r="AU783" s="488"/>
      <c r="AV783" s="488"/>
      <c r="AW783" s="488"/>
      <c r="AX783" s="488"/>
      <c r="AY783" s="488"/>
      <c r="AZ783" s="488"/>
      <c r="BA783" s="488"/>
      <c r="BB783" s="488"/>
      <c r="BC783" s="488"/>
      <c r="BD783" s="488"/>
    </row>
    <row r="784" spans="3:56">
      <c r="C784" s="488"/>
      <c r="D784" s="488"/>
      <c r="E784" s="488"/>
      <c r="F784" s="488"/>
      <c r="G784" s="488"/>
      <c r="H784" s="488"/>
      <c r="I784" s="488"/>
      <c r="J784" s="488"/>
      <c r="K784" s="488"/>
      <c r="L784" s="488"/>
      <c r="M784" s="488"/>
      <c r="N784" s="488"/>
      <c r="O784" s="488"/>
      <c r="P784" s="488"/>
      <c r="Q784" s="488"/>
      <c r="R784" s="488"/>
      <c r="S784" s="488"/>
      <c r="T784" s="488"/>
      <c r="U784" s="488"/>
      <c r="V784" s="488"/>
      <c r="W784" s="488"/>
      <c r="X784" s="488"/>
      <c r="Y784" s="488"/>
      <c r="Z784" s="488"/>
      <c r="AA784" s="488"/>
      <c r="AB784" s="488"/>
      <c r="AC784" s="488"/>
      <c r="AD784" s="488"/>
      <c r="AE784" s="488"/>
      <c r="AF784" s="488"/>
      <c r="AG784" s="488"/>
      <c r="AH784" s="488"/>
      <c r="AI784" s="488"/>
      <c r="AJ784" s="488"/>
      <c r="AK784" s="488"/>
      <c r="AL784" s="488"/>
      <c r="AM784" s="488"/>
      <c r="AN784" s="488"/>
      <c r="AO784" s="488"/>
      <c r="AP784" s="488"/>
      <c r="AQ784" s="488"/>
      <c r="AR784" s="488"/>
      <c r="AS784" s="488"/>
      <c r="AT784" s="488"/>
      <c r="AU784" s="488"/>
      <c r="AV784" s="488"/>
      <c r="AW784" s="488"/>
      <c r="AX784" s="488"/>
      <c r="AY784" s="488"/>
      <c r="AZ784" s="488"/>
      <c r="BA784" s="488"/>
      <c r="BB784" s="488"/>
      <c r="BC784" s="488"/>
      <c r="BD784" s="488"/>
    </row>
    <row r="785" spans="3:56">
      <c r="C785" s="488"/>
      <c r="D785" s="488"/>
      <c r="E785" s="488"/>
      <c r="F785" s="488"/>
      <c r="G785" s="488"/>
      <c r="H785" s="488"/>
      <c r="I785" s="488"/>
      <c r="J785" s="488"/>
      <c r="K785" s="488"/>
      <c r="L785" s="488"/>
      <c r="M785" s="488"/>
      <c r="N785" s="488"/>
      <c r="O785" s="488"/>
      <c r="P785" s="488"/>
      <c r="Q785" s="488"/>
      <c r="R785" s="488"/>
      <c r="S785" s="488"/>
      <c r="T785" s="488"/>
      <c r="U785" s="488"/>
      <c r="V785" s="488"/>
      <c r="W785" s="488"/>
      <c r="X785" s="488"/>
      <c r="Y785" s="488"/>
      <c r="Z785" s="488"/>
      <c r="AA785" s="488"/>
      <c r="AB785" s="488"/>
      <c r="AC785" s="488"/>
      <c r="AD785" s="488"/>
      <c r="AE785" s="488"/>
      <c r="AF785" s="488"/>
      <c r="AG785" s="488"/>
      <c r="AH785" s="488"/>
      <c r="AI785" s="488"/>
      <c r="AJ785" s="488"/>
      <c r="AK785" s="488"/>
      <c r="AL785" s="488"/>
      <c r="AM785" s="488"/>
      <c r="AN785" s="488"/>
      <c r="AO785" s="488"/>
      <c r="AP785" s="488"/>
      <c r="AQ785" s="488"/>
      <c r="AR785" s="488"/>
      <c r="AS785" s="488"/>
      <c r="AT785" s="488"/>
      <c r="AU785" s="488"/>
      <c r="AV785" s="488"/>
      <c r="AW785" s="488"/>
      <c r="AX785" s="488"/>
      <c r="AY785" s="488"/>
      <c r="AZ785" s="488"/>
      <c r="BA785" s="488"/>
      <c r="BB785" s="488"/>
      <c r="BC785" s="488"/>
      <c r="BD785" s="488"/>
    </row>
    <row r="786" spans="3:56">
      <c r="C786" s="488"/>
      <c r="D786" s="488"/>
      <c r="E786" s="488"/>
      <c r="F786" s="488"/>
      <c r="G786" s="488"/>
      <c r="H786" s="488"/>
      <c r="I786" s="488"/>
      <c r="J786" s="488"/>
      <c r="K786" s="488"/>
      <c r="L786" s="488"/>
      <c r="M786" s="488"/>
      <c r="N786" s="488"/>
      <c r="O786" s="488"/>
      <c r="P786" s="488"/>
      <c r="Q786" s="488"/>
      <c r="R786" s="488"/>
      <c r="S786" s="488"/>
      <c r="T786" s="488"/>
      <c r="U786" s="488"/>
      <c r="V786" s="488"/>
      <c r="W786" s="488"/>
      <c r="X786" s="488"/>
      <c r="Y786" s="488"/>
      <c r="Z786" s="488"/>
      <c r="AA786" s="488"/>
      <c r="AB786" s="488"/>
      <c r="AC786" s="488"/>
      <c r="AD786" s="488"/>
      <c r="AE786" s="488"/>
      <c r="AF786" s="488"/>
      <c r="AG786" s="488"/>
      <c r="AH786" s="488"/>
      <c r="AI786" s="488"/>
      <c r="AJ786" s="488"/>
      <c r="AK786" s="488"/>
      <c r="AL786" s="488"/>
      <c r="AM786" s="488"/>
      <c r="AN786" s="488"/>
      <c r="AO786" s="488"/>
      <c r="AP786" s="488"/>
      <c r="AQ786" s="488"/>
      <c r="AR786" s="488"/>
      <c r="AS786" s="488"/>
      <c r="AT786" s="488"/>
      <c r="AU786" s="488"/>
      <c r="AV786" s="488"/>
      <c r="AW786" s="488"/>
      <c r="AX786" s="488"/>
      <c r="AY786" s="488"/>
      <c r="AZ786" s="488"/>
      <c r="BA786" s="488"/>
      <c r="BB786" s="488"/>
      <c r="BC786" s="488"/>
      <c r="BD786" s="488"/>
    </row>
    <row r="787" spans="3:56">
      <c r="C787" s="488"/>
      <c r="D787" s="488"/>
      <c r="E787" s="488"/>
      <c r="F787" s="488"/>
      <c r="G787" s="488"/>
      <c r="H787" s="488"/>
      <c r="I787" s="488"/>
      <c r="J787" s="488"/>
      <c r="K787" s="488"/>
      <c r="L787" s="488"/>
      <c r="M787" s="488"/>
      <c r="N787" s="488"/>
      <c r="O787" s="488"/>
      <c r="P787" s="488"/>
      <c r="Q787" s="488"/>
      <c r="R787" s="488"/>
      <c r="S787" s="488"/>
      <c r="T787" s="488"/>
      <c r="U787" s="488"/>
      <c r="V787" s="488"/>
      <c r="W787" s="488"/>
      <c r="X787" s="488"/>
      <c r="Y787" s="488"/>
      <c r="Z787" s="488"/>
      <c r="AA787" s="488"/>
      <c r="AB787" s="488"/>
      <c r="AC787" s="488"/>
      <c r="AD787" s="488"/>
      <c r="AE787" s="488"/>
      <c r="AF787" s="488"/>
      <c r="AG787" s="488"/>
      <c r="AH787" s="488"/>
      <c r="AI787" s="488"/>
      <c r="AJ787" s="488"/>
      <c r="AK787" s="488"/>
      <c r="AL787" s="488"/>
      <c r="AM787" s="488"/>
      <c r="AN787" s="488"/>
      <c r="AO787" s="488"/>
      <c r="AP787" s="488"/>
      <c r="AQ787" s="488"/>
      <c r="AR787" s="488"/>
      <c r="AS787" s="488"/>
      <c r="AT787" s="488"/>
      <c r="AU787" s="488"/>
      <c r="AV787" s="488"/>
      <c r="AW787" s="488"/>
      <c r="AX787" s="488"/>
      <c r="AY787" s="488"/>
      <c r="AZ787" s="488"/>
      <c r="BA787" s="488"/>
      <c r="BB787" s="488"/>
      <c r="BC787" s="488"/>
      <c r="BD787" s="488"/>
    </row>
    <row r="788" spans="3:56">
      <c r="C788" s="488"/>
      <c r="D788" s="488"/>
      <c r="E788" s="488"/>
      <c r="F788" s="488"/>
      <c r="G788" s="488"/>
      <c r="H788" s="488"/>
      <c r="I788" s="488"/>
      <c r="J788" s="488"/>
      <c r="K788" s="488"/>
      <c r="L788" s="488"/>
      <c r="M788" s="488"/>
      <c r="N788" s="488"/>
      <c r="O788" s="488"/>
      <c r="P788" s="488"/>
      <c r="Q788" s="488"/>
      <c r="R788" s="488"/>
      <c r="S788" s="488"/>
      <c r="T788" s="488"/>
      <c r="U788" s="488"/>
      <c r="V788" s="488"/>
      <c r="W788" s="488"/>
      <c r="X788" s="488"/>
      <c r="Y788" s="488"/>
      <c r="Z788" s="488"/>
      <c r="AA788" s="488"/>
      <c r="AB788" s="488"/>
      <c r="AC788" s="488"/>
      <c r="AD788" s="488"/>
      <c r="AE788" s="488"/>
      <c r="AF788" s="488"/>
      <c r="AG788" s="488"/>
      <c r="AH788" s="488"/>
      <c r="AI788" s="488"/>
      <c r="AJ788" s="488"/>
      <c r="AK788" s="488"/>
      <c r="AL788" s="488"/>
      <c r="AM788" s="488"/>
      <c r="AN788" s="488"/>
      <c r="AO788" s="488"/>
      <c r="AP788" s="488"/>
      <c r="AQ788" s="488"/>
      <c r="AR788" s="488"/>
      <c r="AS788" s="488"/>
      <c r="AT788" s="488"/>
      <c r="AU788" s="488"/>
      <c r="AV788" s="488"/>
      <c r="AW788" s="488"/>
      <c r="AX788" s="488"/>
      <c r="AY788" s="488"/>
      <c r="AZ788" s="488"/>
      <c r="BA788" s="488"/>
      <c r="BB788" s="488"/>
      <c r="BC788" s="488"/>
      <c r="BD788" s="488"/>
    </row>
    <row r="789" spans="3:56">
      <c r="C789" s="488"/>
      <c r="D789" s="488"/>
      <c r="E789" s="488"/>
      <c r="F789" s="488"/>
      <c r="G789" s="488"/>
      <c r="H789" s="488"/>
      <c r="I789" s="488"/>
      <c r="J789" s="488"/>
      <c r="K789" s="488"/>
      <c r="L789" s="488"/>
      <c r="M789" s="488"/>
      <c r="N789" s="488"/>
      <c r="O789" s="488"/>
      <c r="P789" s="488"/>
      <c r="Q789" s="488"/>
      <c r="R789" s="488"/>
      <c r="S789" s="488"/>
      <c r="T789" s="488"/>
      <c r="U789" s="488"/>
      <c r="V789" s="488"/>
      <c r="W789" s="488"/>
      <c r="X789" s="488"/>
      <c r="Y789" s="488"/>
      <c r="Z789" s="488"/>
      <c r="AA789" s="488"/>
      <c r="AB789" s="488"/>
      <c r="AC789" s="488"/>
      <c r="AD789" s="488"/>
      <c r="AE789" s="488"/>
      <c r="AF789" s="488"/>
      <c r="AG789" s="488"/>
      <c r="AH789" s="488"/>
      <c r="AI789" s="488"/>
      <c r="AJ789" s="488"/>
      <c r="AK789" s="488"/>
      <c r="AL789" s="488"/>
      <c r="AM789" s="488"/>
      <c r="AN789" s="488"/>
      <c r="AO789" s="488"/>
      <c r="AP789" s="488"/>
      <c r="AQ789" s="488"/>
      <c r="AR789" s="488"/>
      <c r="AS789" s="488"/>
      <c r="AT789" s="488"/>
      <c r="AU789" s="488"/>
      <c r="AV789" s="488"/>
      <c r="AW789" s="488"/>
      <c r="AX789" s="488"/>
      <c r="AY789" s="488"/>
      <c r="AZ789" s="488"/>
      <c r="BA789" s="488"/>
      <c r="BB789" s="488"/>
      <c r="BC789" s="488"/>
      <c r="BD789" s="488"/>
    </row>
    <row r="790" spans="3:56">
      <c r="C790" s="488"/>
      <c r="D790" s="488"/>
      <c r="E790" s="488"/>
      <c r="F790" s="488"/>
      <c r="G790" s="488"/>
      <c r="H790" s="488"/>
      <c r="I790" s="488"/>
      <c r="J790" s="488"/>
      <c r="K790" s="488"/>
      <c r="L790" s="488"/>
      <c r="M790" s="488"/>
      <c r="N790" s="488"/>
      <c r="O790" s="488"/>
      <c r="P790" s="488"/>
      <c r="Q790" s="488"/>
      <c r="R790" s="488"/>
      <c r="S790" s="488"/>
      <c r="T790" s="488"/>
      <c r="U790" s="488"/>
      <c r="V790" s="488"/>
      <c r="W790" s="488"/>
      <c r="X790" s="488"/>
      <c r="Y790" s="488"/>
      <c r="Z790" s="488"/>
      <c r="AA790" s="488"/>
      <c r="AB790" s="488"/>
      <c r="AC790" s="488"/>
      <c r="AD790" s="488"/>
      <c r="AE790" s="488"/>
      <c r="AF790" s="488"/>
      <c r="AG790" s="488"/>
      <c r="AH790" s="488"/>
      <c r="AI790" s="488"/>
      <c r="AJ790" s="488"/>
      <c r="AK790" s="488"/>
      <c r="AL790" s="488"/>
      <c r="AM790" s="488"/>
      <c r="AN790" s="488"/>
      <c r="AO790" s="488"/>
      <c r="AP790" s="488"/>
      <c r="AQ790" s="488"/>
      <c r="AR790" s="488"/>
      <c r="AS790" s="488"/>
      <c r="AT790" s="488"/>
      <c r="AU790" s="488"/>
      <c r="AV790" s="488"/>
      <c r="AW790" s="488"/>
      <c r="AX790" s="488"/>
      <c r="AY790" s="488"/>
      <c r="AZ790" s="488"/>
      <c r="BA790" s="488"/>
      <c r="BB790" s="488"/>
      <c r="BC790" s="488"/>
      <c r="BD790" s="488"/>
    </row>
    <row r="791" spans="3:56">
      <c r="C791" s="488"/>
      <c r="D791" s="488"/>
      <c r="E791" s="488"/>
      <c r="F791" s="488"/>
      <c r="G791" s="488"/>
      <c r="H791" s="488"/>
      <c r="I791" s="488"/>
      <c r="J791" s="488"/>
      <c r="K791" s="488"/>
      <c r="L791" s="488"/>
      <c r="M791" s="488"/>
      <c r="N791" s="488"/>
      <c r="O791" s="488"/>
      <c r="P791" s="488"/>
      <c r="Q791" s="488"/>
      <c r="R791" s="488"/>
      <c r="S791" s="488"/>
      <c r="T791" s="488"/>
      <c r="U791" s="488"/>
      <c r="V791" s="488"/>
      <c r="W791" s="488"/>
      <c r="X791" s="488"/>
      <c r="Y791" s="488"/>
      <c r="Z791" s="488"/>
      <c r="AA791" s="488"/>
      <c r="AB791" s="488"/>
      <c r="AC791" s="488"/>
      <c r="AD791" s="488"/>
      <c r="AE791" s="488"/>
      <c r="AF791" s="488"/>
      <c r="AG791" s="488"/>
      <c r="AH791" s="488"/>
      <c r="AI791" s="488"/>
      <c r="AJ791" s="488"/>
      <c r="AK791" s="488"/>
      <c r="AL791" s="488"/>
      <c r="AM791" s="488"/>
      <c r="AN791" s="488"/>
      <c r="AO791" s="488"/>
      <c r="AP791" s="488"/>
      <c r="AQ791" s="488"/>
      <c r="AR791" s="488"/>
      <c r="AS791" s="488"/>
      <c r="AT791" s="488"/>
      <c r="AU791" s="488"/>
      <c r="AV791" s="488"/>
      <c r="AW791" s="488"/>
      <c r="AX791" s="488"/>
      <c r="AY791" s="488"/>
      <c r="AZ791" s="488"/>
      <c r="BA791" s="488"/>
      <c r="BB791" s="488"/>
      <c r="BC791" s="488"/>
      <c r="BD791" s="488"/>
    </row>
    <row r="792" spans="3:56">
      <c r="C792" s="488"/>
      <c r="D792" s="488"/>
      <c r="E792" s="488"/>
      <c r="F792" s="488"/>
      <c r="G792" s="488"/>
      <c r="H792" s="488"/>
      <c r="I792" s="488"/>
      <c r="J792" s="488"/>
      <c r="K792" s="488"/>
      <c r="L792" s="488"/>
      <c r="M792" s="488"/>
      <c r="N792" s="488"/>
      <c r="O792" s="488"/>
      <c r="P792" s="488"/>
      <c r="Q792" s="488"/>
      <c r="R792" s="488"/>
      <c r="S792" s="488"/>
      <c r="T792" s="488"/>
      <c r="U792" s="488"/>
      <c r="V792" s="488"/>
      <c r="W792" s="488"/>
      <c r="X792" s="488"/>
      <c r="Y792" s="488"/>
      <c r="Z792" s="488"/>
      <c r="AA792" s="488"/>
      <c r="AB792" s="488"/>
      <c r="AC792" s="488"/>
      <c r="AD792" s="488"/>
      <c r="AE792" s="488"/>
      <c r="AF792" s="488"/>
      <c r="AG792" s="488"/>
      <c r="AH792" s="488"/>
      <c r="AI792" s="488"/>
      <c r="AJ792" s="488"/>
      <c r="AK792" s="488"/>
      <c r="AL792" s="488"/>
      <c r="AM792" s="488"/>
      <c r="AN792" s="488"/>
      <c r="AO792" s="488"/>
      <c r="AP792" s="488"/>
      <c r="AQ792" s="488"/>
      <c r="AR792" s="488"/>
      <c r="AS792" s="488"/>
      <c r="AT792" s="488"/>
      <c r="AU792" s="488"/>
      <c r="AV792" s="488"/>
      <c r="AW792" s="488"/>
      <c r="AX792" s="488"/>
      <c r="AY792" s="488"/>
      <c r="AZ792" s="488"/>
      <c r="BA792" s="488"/>
      <c r="BB792" s="488"/>
      <c r="BC792" s="488"/>
      <c r="BD792" s="488"/>
    </row>
    <row r="793" spans="3:56">
      <c r="C793" s="488"/>
      <c r="D793" s="488"/>
      <c r="E793" s="488"/>
      <c r="F793" s="488"/>
      <c r="G793" s="488"/>
      <c r="H793" s="488"/>
      <c r="I793" s="488"/>
      <c r="J793" s="488"/>
      <c r="K793" s="488"/>
      <c r="L793" s="488"/>
      <c r="M793" s="488"/>
      <c r="N793" s="488"/>
      <c r="O793" s="488"/>
      <c r="P793" s="488"/>
      <c r="Q793" s="488"/>
      <c r="R793" s="488"/>
      <c r="S793" s="488"/>
      <c r="T793" s="488"/>
      <c r="U793" s="488"/>
      <c r="V793" s="488"/>
      <c r="W793" s="488"/>
      <c r="X793" s="488"/>
      <c r="Y793" s="488"/>
      <c r="Z793" s="488"/>
      <c r="AA793" s="488"/>
      <c r="AB793" s="488"/>
      <c r="AC793" s="488"/>
      <c r="AD793" s="488"/>
      <c r="AE793" s="488"/>
      <c r="AF793" s="488"/>
      <c r="AG793" s="488"/>
      <c r="AH793" s="488"/>
      <c r="AI793" s="488"/>
      <c r="AJ793" s="488"/>
      <c r="AK793" s="488"/>
      <c r="AL793" s="488"/>
      <c r="AM793" s="488"/>
      <c r="AN793" s="488"/>
      <c r="AO793" s="488"/>
      <c r="AP793" s="488"/>
      <c r="AQ793" s="488"/>
      <c r="AR793" s="488"/>
      <c r="AS793" s="488"/>
      <c r="AT793" s="488"/>
      <c r="AU793" s="488"/>
      <c r="AV793" s="488"/>
      <c r="AW793" s="488"/>
      <c r="AX793" s="488"/>
      <c r="AY793" s="488"/>
      <c r="AZ793" s="488"/>
      <c r="BA793" s="488"/>
      <c r="BB793" s="488"/>
      <c r="BC793" s="488"/>
      <c r="BD793" s="488"/>
    </row>
    <row r="794" spans="3:56">
      <c r="C794" s="488"/>
      <c r="D794" s="488"/>
      <c r="E794" s="488"/>
      <c r="F794" s="488"/>
      <c r="G794" s="488"/>
      <c r="H794" s="488"/>
      <c r="I794" s="488"/>
      <c r="J794" s="488"/>
      <c r="K794" s="488"/>
      <c r="L794" s="488"/>
      <c r="M794" s="488"/>
      <c r="N794" s="488"/>
      <c r="O794" s="488"/>
      <c r="P794" s="488"/>
      <c r="Q794" s="488"/>
      <c r="R794" s="488"/>
      <c r="S794" s="488"/>
      <c r="T794" s="488"/>
      <c r="U794" s="488"/>
      <c r="V794" s="488"/>
      <c r="W794" s="488"/>
      <c r="X794" s="488"/>
      <c r="Y794" s="488"/>
      <c r="Z794" s="488"/>
      <c r="AA794" s="488"/>
      <c r="AB794" s="488"/>
      <c r="AC794" s="488"/>
      <c r="AD794" s="488"/>
      <c r="AE794" s="488"/>
      <c r="AF794" s="488"/>
      <c r="AG794" s="488"/>
      <c r="AH794" s="488"/>
      <c r="AI794" s="488"/>
      <c r="AJ794" s="488"/>
      <c r="AK794" s="488"/>
      <c r="AL794" s="488"/>
      <c r="AM794" s="488"/>
      <c r="AN794" s="488"/>
      <c r="AO794" s="488"/>
      <c r="AP794" s="488"/>
      <c r="AQ794" s="488"/>
      <c r="AR794" s="488"/>
      <c r="AS794" s="488"/>
      <c r="AT794" s="488"/>
      <c r="AU794" s="488"/>
      <c r="AV794" s="488"/>
      <c r="AW794" s="488"/>
      <c r="AX794" s="488"/>
      <c r="AY794" s="488"/>
      <c r="AZ794" s="488"/>
      <c r="BA794" s="488"/>
      <c r="BB794" s="488"/>
      <c r="BC794" s="488"/>
      <c r="BD794" s="488"/>
    </row>
    <row r="795" spans="3:56">
      <c r="C795" s="488"/>
      <c r="D795" s="488"/>
      <c r="E795" s="488"/>
      <c r="F795" s="488"/>
      <c r="G795" s="488"/>
      <c r="H795" s="488"/>
      <c r="I795" s="488"/>
      <c r="J795" s="488"/>
      <c r="K795" s="488"/>
      <c r="L795" s="488"/>
      <c r="M795" s="488"/>
      <c r="N795" s="488"/>
      <c r="O795" s="488"/>
      <c r="P795" s="488"/>
      <c r="Q795" s="488"/>
      <c r="R795" s="488"/>
      <c r="S795" s="488"/>
      <c r="T795" s="488"/>
      <c r="U795" s="488"/>
      <c r="V795" s="488"/>
      <c r="W795" s="488"/>
      <c r="X795" s="488"/>
      <c r="Y795" s="488"/>
      <c r="Z795" s="488"/>
      <c r="AA795" s="488"/>
      <c r="AB795" s="488"/>
      <c r="AC795" s="488"/>
      <c r="AD795" s="488"/>
      <c r="AE795" s="488"/>
      <c r="AF795" s="488"/>
      <c r="AG795" s="488"/>
      <c r="AH795" s="488"/>
      <c r="AI795" s="488"/>
      <c r="AJ795" s="488"/>
      <c r="AK795" s="488"/>
      <c r="AL795" s="488"/>
      <c r="AM795" s="488"/>
      <c r="AN795" s="488"/>
      <c r="AO795" s="488"/>
      <c r="AP795" s="488"/>
      <c r="AQ795" s="488"/>
      <c r="AR795" s="488"/>
      <c r="AS795" s="488"/>
      <c r="AT795" s="488"/>
      <c r="AU795" s="488"/>
      <c r="AV795" s="488"/>
      <c r="AW795" s="488"/>
      <c r="AX795" s="488"/>
      <c r="AY795" s="488"/>
      <c r="AZ795" s="488"/>
      <c r="BA795" s="488"/>
      <c r="BB795" s="488"/>
      <c r="BC795" s="488"/>
      <c r="BD795" s="488"/>
    </row>
    <row r="796" spans="3:56">
      <c r="C796" s="488"/>
      <c r="D796" s="488"/>
      <c r="E796" s="488"/>
      <c r="F796" s="488"/>
      <c r="G796" s="488"/>
      <c r="H796" s="488"/>
      <c r="I796" s="488"/>
      <c r="J796" s="488"/>
      <c r="K796" s="488"/>
      <c r="L796" s="488"/>
      <c r="M796" s="488"/>
      <c r="N796" s="488"/>
      <c r="O796" s="488"/>
      <c r="P796" s="488"/>
      <c r="Q796" s="488"/>
      <c r="R796" s="488"/>
      <c r="S796" s="488"/>
      <c r="T796" s="488"/>
      <c r="U796" s="488"/>
      <c r="V796" s="488"/>
      <c r="W796" s="488"/>
      <c r="X796" s="488"/>
      <c r="Y796" s="488"/>
      <c r="Z796" s="488"/>
      <c r="AA796" s="488"/>
      <c r="AB796" s="488"/>
      <c r="AC796" s="488"/>
      <c r="AD796" s="488"/>
      <c r="AE796" s="488"/>
      <c r="AF796" s="488"/>
      <c r="AG796" s="488"/>
      <c r="AH796" s="488"/>
      <c r="AI796" s="488"/>
      <c r="AJ796" s="488"/>
      <c r="AK796" s="488"/>
      <c r="AL796" s="488"/>
      <c r="AM796" s="488"/>
      <c r="AN796" s="488"/>
      <c r="AO796" s="488"/>
      <c r="AP796" s="488"/>
      <c r="AQ796" s="488"/>
      <c r="AR796" s="488"/>
      <c r="AS796" s="488"/>
      <c r="AT796" s="488"/>
      <c r="AU796" s="488"/>
      <c r="AV796" s="488"/>
      <c r="AW796" s="488"/>
      <c r="AX796" s="488"/>
      <c r="AY796" s="488"/>
      <c r="AZ796" s="488"/>
      <c r="BA796" s="488"/>
      <c r="BB796" s="488"/>
      <c r="BC796" s="488"/>
      <c r="BD796" s="488"/>
    </row>
    <row r="797" spans="3:56">
      <c r="C797" s="488"/>
      <c r="D797" s="488"/>
      <c r="E797" s="488"/>
      <c r="F797" s="488"/>
      <c r="G797" s="488"/>
      <c r="H797" s="488"/>
      <c r="I797" s="488"/>
      <c r="J797" s="488"/>
      <c r="K797" s="488"/>
      <c r="L797" s="488"/>
      <c r="M797" s="488"/>
      <c r="N797" s="488"/>
      <c r="O797" s="488"/>
      <c r="P797" s="488"/>
      <c r="Q797" s="488"/>
      <c r="R797" s="488"/>
      <c r="S797" s="488"/>
      <c r="T797" s="488"/>
      <c r="U797" s="488"/>
      <c r="V797" s="488"/>
      <c r="W797" s="488"/>
      <c r="X797" s="488"/>
      <c r="Y797" s="488"/>
      <c r="Z797" s="488"/>
      <c r="AA797" s="488"/>
      <c r="AB797" s="488"/>
      <c r="AC797" s="488"/>
      <c r="AD797" s="488"/>
      <c r="AE797" s="488"/>
      <c r="AF797" s="488"/>
      <c r="AG797" s="488"/>
      <c r="AH797" s="488"/>
      <c r="AI797" s="488"/>
      <c r="AJ797" s="488"/>
      <c r="AK797" s="488"/>
      <c r="AL797" s="488"/>
      <c r="AM797" s="488"/>
      <c r="AN797" s="488"/>
      <c r="AO797" s="488"/>
      <c r="AP797" s="488"/>
      <c r="AQ797" s="488"/>
      <c r="AR797" s="488"/>
      <c r="AS797" s="488"/>
      <c r="AT797" s="488"/>
      <c r="AU797" s="488"/>
      <c r="AV797" s="488"/>
      <c r="AW797" s="488"/>
      <c r="AX797" s="488"/>
      <c r="AY797" s="488"/>
      <c r="AZ797" s="488"/>
      <c r="BA797" s="488"/>
      <c r="BB797" s="488"/>
      <c r="BC797" s="488"/>
      <c r="BD797" s="488"/>
    </row>
    <row r="798" spans="3:56">
      <c r="C798" s="488"/>
      <c r="D798" s="488"/>
      <c r="E798" s="488"/>
      <c r="F798" s="488"/>
      <c r="G798" s="488"/>
      <c r="H798" s="488"/>
      <c r="I798" s="488"/>
      <c r="J798" s="488"/>
      <c r="K798" s="488"/>
      <c r="L798" s="488"/>
      <c r="M798" s="488"/>
      <c r="N798" s="488"/>
      <c r="O798" s="488"/>
      <c r="P798" s="488"/>
      <c r="Q798" s="488"/>
      <c r="R798" s="488"/>
      <c r="S798" s="488"/>
      <c r="T798" s="488"/>
      <c r="U798" s="488"/>
      <c r="V798" s="488"/>
      <c r="W798" s="488"/>
      <c r="X798" s="488"/>
      <c r="Y798" s="488"/>
      <c r="Z798" s="488"/>
      <c r="AA798" s="488"/>
      <c r="AB798" s="488"/>
      <c r="AC798" s="488"/>
      <c r="AD798" s="488"/>
      <c r="AE798" s="488"/>
      <c r="AF798" s="488"/>
      <c r="AG798" s="488"/>
      <c r="AH798" s="488"/>
      <c r="AI798" s="488"/>
      <c r="AJ798" s="488"/>
      <c r="AK798" s="488"/>
      <c r="AL798" s="488"/>
      <c r="AM798" s="488"/>
      <c r="AN798" s="488"/>
      <c r="AO798" s="488"/>
      <c r="AP798" s="488"/>
      <c r="AQ798" s="488"/>
      <c r="AR798" s="488"/>
      <c r="AS798" s="488"/>
      <c r="AT798" s="488"/>
      <c r="AU798" s="488"/>
      <c r="AV798" s="488"/>
      <c r="AW798" s="488"/>
      <c r="AX798" s="488"/>
      <c r="AY798" s="488"/>
      <c r="AZ798" s="488"/>
      <c r="BA798" s="488"/>
      <c r="BB798" s="488"/>
      <c r="BC798" s="488"/>
      <c r="BD798" s="488"/>
    </row>
    <row r="799" spans="3:56">
      <c r="C799" s="488"/>
      <c r="D799" s="488"/>
      <c r="E799" s="488"/>
      <c r="F799" s="488"/>
      <c r="G799" s="488"/>
      <c r="H799" s="488"/>
      <c r="I799" s="488"/>
      <c r="J799" s="488"/>
      <c r="K799" s="488"/>
      <c r="L799" s="488"/>
      <c r="M799" s="488"/>
      <c r="N799" s="488"/>
      <c r="O799" s="488"/>
      <c r="P799" s="488"/>
      <c r="Q799" s="488"/>
      <c r="R799" s="488"/>
      <c r="S799" s="488"/>
      <c r="T799" s="488"/>
      <c r="U799" s="488"/>
      <c r="V799" s="488"/>
      <c r="W799" s="488"/>
      <c r="X799" s="488"/>
      <c r="Y799" s="488"/>
      <c r="Z799" s="488"/>
      <c r="AA799" s="488"/>
      <c r="AB799" s="488"/>
      <c r="AC799" s="488"/>
      <c r="AD799" s="488"/>
      <c r="AE799" s="488"/>
      <c r="AF799" s="488"/>
      <c r="AG799" s="488"/>
      <c r="AH799" s="488"/>
      <c r="AI799" s="488"/>
      <c r="AJ799" s="488"/>
      <c r="AK799" s="488"/>
      <c r="AL799" s="488"/>
      <c r="AM799" s="488"/>
      <c r="AN799" s="488"/>
      <c r="AO799" s="488"/>
      <c r="AP799" s="488"/>
      <c r="AQ799" s="488"/>
      <c r="AR799" s="488"/>
      <c r="AS799" s="488"/>
      <c r="AT799" s="488"/>
      <c r="AU799" s="488"/>
      <c r="AV799" s="488"/>
      <c r="AW799" s="488"/>
      <c r="AX799" s="488"/>
      <c r="AY799" s="488"/>
      <c r="AZ799" s="488"/>
      <c r="BA799" s="488"/>
      <c r="BB799" s="488"/>
      <c r="BC799" s="488"/>
      <c r="BD799" s="488"/>
    </row>
    <row r="800" spans="3:56">
      <c r="C800" s="488"/>
      <c r="D800" s="488"/>
      <c r="E800" s="488"/>
      <c r="F800" s="488"/>
      <c r="G800" s="488"/>
      <c r="H800" s="488"/>
      <c r="I800" s="488"/>
      <c r="J800" s="488"/>
      <c r="K800" s="488"/>
      <c r="L800" s="488"/>
      <c r="M800" s="488"/>
      <c r="N800" s="488"/>
      <c r="O800" s="488"/>
      <c r="P800" s="488"/>
      <c r="Q800" s="488"/>
      <c r="R800" s="488"/>
      <c r="S800" s="488"/>
      <c r="T800" s="488"/>
      <c r="U800" s="488"/>
      <c r="V800" s="488"/>
      <c r="W800" s="488"/>
      <c r="X800" s="488"/>
      <c r="Y800" s="488"/>
      <c r="Z800" s="488"/>
      <c r="AA800" s="488"/>
      <c r="AB800" s="488"/>
      <c r="AC800" s="488"/>
      <c r="AD800" s="488"/>
      <c r="AE800" s="488"/>
      <c r="AF800" s="488"/>
      <c r="AG800" s="488"/>
      <c r="AH800" s="488"/>
      <c r="AI800" s="488"/>
      <c r="AJ800" s="488"/>
      <c r="AK800" s="488"/>
      <c r="AL800" s="488"/>
      <c r="AM800" s="488"/>
      <c r="AN800" s="488"/>
      <c r="AO800" s="488"/>
      <c r="AP800" s="488"/>
      <c r="AQ800" s="488"/>
      <c r="AR800" s="488"/>
      <c r="AS800" s="488"/>
      <c r="AT800" s="488"/>
      <c r="AU800" s="488"/>
      <c r="AV800" s="488"/>
      <c r="AW800" s="488"/>
      <c r="AX800" s="488"/>
      <c r="AY800" s="488"/>
      <c r="AZ800" s="488"/>
      <c r="BA800" s="488"/>
      <c r="BB800" s="488"/>
      <c r="BC800" s="488"/>
      <c r="BD800" s="488"/>
    </row>
    <row r="801" spans="3:56">
      <c r="C801" s="488"/>
      <c r="D801" s="488"/>
      <c r="E801" s="488"/>
      <c r="F801" s="488"/>
      <c r="G801" s="488"/>
      <c r="H801" s="488"/>
      <c r="I801" s="488"/>
      <c r="J801" s="488"/>
      <c r="K801" s="488"/>
      <c r="L801" s="488"/>
      <c r="M801" s="488"/>
      <c r="N801" s="488"/>
      <c r="O801" s="488"/>
      <c r="P801" s="488"/>
      <c r="Q801" s="488"/>
      <c r="R801" s="488"/>
      <c r="S801" s="488"/>
      <c r="T801" s="488"/>
      <c r="U801" s="488"/>
      <c r="V801" s="488"/>
      <c r="W801" s="488"/>
      <c r="X801" s="488"/>
      <c r="Y801" s="488"/>
      <c r="Z801" s="488"/>
      <c r="AA801" s="488"/>
      <c r="AB801" s="488"/>
      <c r="AC801" s="488"/>
      <c r="AD801" s="488"/>
      <c r="AE801" s="488"/>
      <c r="AF801" s="488"/>
      <c r="AG801" s="488"/>
      <c r="AH801" s="488"/>
      <c r="AI801" s="488"/>
      <c r="AJ801" s="488"/>
      <c r="AK801" s="488"/>
      <c r="AL801" s="488"/>
      <c r="AM801" s="488"/>
      <c r="AN801" s="488"/>
      <c r="AO801" s="488"/>
      <c r="AP801" s="488"/>
      <c r="AQ801" s="488"/>
      <c r="AR801" s="488"/>
      <c r="AS801" s="488"/>
      <c r="AT801" s="488"/>
      <c r="AU801" s="488"/>
      <c r="AV801" s="488"/>
      <c r="AW801" s="488"/>
      <c r="AX801" s="488"/>
      <c r="AY801" s="488"/>
      <c r="AZ801" s="488"/>
      <c r="BA801" s="488"/>
      <c r="BB801" s="488"/>
      <c r="BC801" s="488"/>
      <c r="BD801" s="488"/>
    </row>
    <row r="802" spans="3:56">
      <c r="C802" s="488"/>
      <c r="D802" s="488"/>
      <c r="E802" s="488"/>
      <c r="F802" s="488"/>
      <c r="G802" s="488"/>
      <c r="H802" s="488"/>
      <c r="I802" s="488"/>
      <c r="J802" s="488"/>
      <c r="K802" s="488"/>
      <c r="L802" s="488"/>
      <c r="M802" s="488"/>
      <c r="N802" s="488"/>
      <c r="O802" s="488"/>
      <c r="P802" s="488"/>
      <c r="Q802" s="488"/>
      <c r="R802" s="488"/>
      <c r="S802" s="488"/>
      <c r="T802" s="488"/>
      <c r="U802" s="488"/>
      <c r="V802" s="488"/>
      <c r="W802" s="488"/>
      <c r="X802" s="488"/>
      <c r="Y802" s="488"/>
      <c r="Z802" s="488"/>
      <c r="AA802" s="488"/>
      <c r="AB802" s="488"/>
      <c r="AC802" s="488"/>
      <c r="AD802" s="488"/>
      <c r="AE802" s="488"/>
      <c r="AF802" s="488"/>
      <c r="AG802" s="488"/>
      <c r="AH802" s="488"/>
      <c r="AI802" s="488"/>
      <c r="AJ802" s="488"/>
      <c r="AK802" s="488"/>
      <c r="AL802" s="488"/>
      <c r="AM802" s="488"/>
      <c r="AN802" s="488"/>
      <c r="AO802" s="488"/>
      <c r="AP802" s="488"/>
      <c r="AQ802" s="488"/>
      <c r="AR802" s="488"/>
      <c r="AS802" s="488"/>
      <c r="AT802" s="488"/>
      <c r="AU802" s="488"/>
      <c r="AV802" s="488"/>
      <c r="AW802" s="488"/>
      <c r="AX802" s="488"/>
      <c r="AY802" s="488"/>
      <c r="AZ802" s="488"/>
      <c r="BA802" s="488"/>
      <c r="BB802" s="488"/>
      <c r="BC802" s="488"/>
      <c r="BD802" s="488"/>
    </row>
    <row r="803" spans="3:56">
      <c r="C803" s="488"/>
      <c r="D803" s="488"/>
      <c r="E803" s="488"/>
      <c r="F803" s="488"/>
      <c r="G803" s="488"/>
      <c r="H803" s="488"/>
      <c r="I803" s="488"/>
      <c r="J803" s="488"/>
      <c r="K803" s="488"/>
      <c r="L803" s="488"/>
      <c r="M803" s="488"/>
      <c r="N803" s="488"/>
      <c r="O803" s="488"/>
      <c r="P803" s="488"/>
      <c r="Q803" s="488"/>
      <c r="R803" s="488"/>
      <c r="S803" s="488"/>
      <c r="T803" s="488"/>
      <c r="U803" s="488"/>
      <c r="V803" s="488"/>
      <c r="W803" s="488"/>
      <c r="X803" s="488"/>
      <c r="Y803" s="488"/>
      <c r="Z803" s="488"/>
      <c r="AA803" s="488"/>
      <c r="AB803" s="488"/>
      <c r="AC803" s="488"/>
      <c r="AD803" s="488"/>
      <c r="AE803" s="488"/>
      <c r="AF803" s="488"/>
      <c r="AG803" s="488"/>
      <c r="AH803" s="488"/>
      <c r="AI803" s="488"/>
      <c r="AJ803" s="488"/>
      <c r="AK803" s="488"/>
      <c r="AL803" s="488"/>
      <c r="AM803" s="488"/>
      <c r="AN803" s="488"/>
      <c r="AO803" s="488"/>
      <c r="AP803" s="488"/>
      <c r="AQ803" s="488"/>
      <c r="AR803" s="488"/>
      <c r="AS803" s="488"/>
      <c r="AT803" s="488"/>
      <c r="AU803" s="488"/>
      <c r="AV803" s="488"/>
      <c r="AW803" s="488"/>
      <c r="AX803" s="488"/>
      <c r="AY803" s="488"/>
      <c r="AZ803" s="488"/>
      <c r="BA803" s="488"/>
      <c r="BB803" s="488"/>
      <c r="BC803" s="488"/>
      <c r="BD803" s="488"/>
    </row>
    <row r="804" spans="3:56">
      <c r="C804" s="488"/>
      <c r="D804" s="488"/>
      <c r="E804" s="488"/>
      <c r="F804" s="488"/>
      <c r="G804" s="488"/>
      <c r="H804" s="488"/>
      <c r="I804" s="488"/>
      <c r="J804" s="488"/>
      <c r="K804" s="488"/>
      <c r="L804" s="488"/>
      <c r="M804" s="488"/>
      <c r="N804" s="488"/>
      <c r="O804" s="488"/>
      <c r="P804" s="488"/>
      <c r="Q804" s="488"/>
      <c r="R804" s="488"/>
      <c r="S804" s="488"/>
      <c r="T804" s="488"/>
      <c r="U804" s="488"/>
      <c r="V804" s="488"/>
      <c r="W804" s="488"/>
      <c r="X804" s="488"/>
      <c r="Y804" s="488"/>
      <c r="Z804" s="488"/>
      <c r="AA804" s="488"/>
      <c r="AB804" s="488"/>
      <c r="AC804" s="488"/>
      <c r="AD804" s="488"/>
      <c r="AE804" s="488"/>
      <c r="AF804" s="488"/>
      <c r="AG804" s="488"/>
      <c r="AH804" s="488"/>
      <c r="AI804" s="488"/>
      <c r="AJ804" s="488"/>
      <c r="AK804" s="488"/>
      <c r="AL804" s="488"/>
      <c r="AM804" s="488"/>
      <c r="AN804" s="488"/>
      <c r="AO804" s="488"/>
      <c r="AP804" s="488"/>
      <c r="AQ804" s="488"/>
      <c r="AR804" s="488"/>
      <c r="AS804" s="488"/>
      <c r="AT804" s="488"/>
      <c r="AU804" s="488"/>
      <c r="AV804" s="488"/>
      <c r="AW804" s="488"/>
      <c r="AX804" s="488"/>
      <c r="AY804" s="488"/>
      <c r="AZ804" s="488"/>
      <c r="BA804" s="488"/>
      <c r="BB804" s="488"/>
      <c r="BC804" s="488"/>
      <c r="BD804" s="488"/>
    </row>
    <row r="805" spans="3:56">
      <c r="C805" s="488"/>
      <c r="D805" s="488"/>
      <c r="E805" s="488"/>
      <c r="F805" s="488"/>
      <c r="G805" s="488"/>
      <c r="H805" s="488"/>
      <c r="I805" s="488"/>
      <c r="J805" s="488"/>
      <c r="K805" s="488"/>
      <c r="L805" s="488"/>
      <c r="M805" s="488"/>
      <c r="N805" s="488"/>
      <c r="O805" s="488"/>
      <c r="P805" s="488"/>
      <c r="Q805" s="488"/>
      <c r="R805" s="488"/>
      <c r="S805" s="488"/>
      <c r="T805" s="488"/>
      <c r="U805" s="488"/>
      <c r="V805" s="488"/>
      <c r="W805" s="488"/>
      <c r="X805" s="488"/>
      <c r="Y805" s="488"/>
      <c r="Z805" s="488"/>
      <c r="AA805" s="488"/>
      <c r="AB805" s="488"/>
      <c r="AC805" s="488"/>
      <c r="AD805" s="488"/>
      <c r="AE805" s="488"/>
      <c r="AF805" s="488"/>
      <c r="AG805" s="488"/>
      <c r="AH805" s="488"/>
      <c r="AI805" s="488"/>
      <c r="AJ805" s="488"/>
      <c r="AK805" s="488"/>
      <c r="AL805" s="488"/>
      <c r="AM805" s="488"/>
      <c r="AN805" s="488"/>
      <c r="AO805" s="488"/>
      <c r="AP805" s="488"/>
      <c r="AQ805" s="488"/>
      <c r="AR805" s="488"/>
      <c r="AS805" s="488"/>
      <c r="AT805" s="488"/>
      <c r="AU805" s="488"/>
      <c r="AV805" s="488"/>
      <c r="AW805" s="488"/>
      <c r="AX805" s="488"/>
      <c r="AY805" s="488"/>
      <c r="AZ805" s="488"/>
      <c r="BA805" s="488"/>
      <c r="BB805" s="488"/>
      <c r="BC805" s="488"/>
      <c r="BD805" s="488"/>
    </row>
    <row r="806" spans="3:56">
      <c r="C806" s="488"/>
      <c r="D806" s="488"/>
      <c r="E806" s="488"/>
      <c r="F806" s="488"/>
      <c r="G806" s="488"/>
      <c r="H806" s="488"/>
      <c r="I806" s="488"/>
      <c r="J806" s="488"/>
      <c r="K806" s="488"/>
      <c r="L806" s="488"/>
      <c r="M806" s="488"/>
      <c r="N806" s="488"/>
      <c r="O806" s="488"/>
      <c r="P806" s="488"/>
      <c r="Q806" s="488"/>
      <c r="R806" s="488"/>
      <c r="S806" s="488"/>
      <c r="T806" s="488"/>
      <c r="U806" s="488"/>
      <c r="V806" s="488"/>
      <c r="W806" s="488"/>
      <c r="X806" s="488"/>
      <c r="Y806" s="488"/>
      <c r="Z806" s="488"/>
      <c r="AA806" s="488"/>
      <c r="AB806" s="488"/>
      <c r="AC806" s="488"/>
      <c r="AD806" s="488"/>
      <c r="AE806" s="488"/>
      <c r="AF806" s="488"/>
      <c r="AG806" s="488"/>
      <c r="AH806" s="488"/>
      <c r="AI806" s="488"/>
      <c r="AJ806" s="488"/>
      <c r="AK806" s="488"/>
      <c r="AL806" s="488"/>
      <c r="AM806" s="488"/>
      <c r="AN806" s="488"/>
      <c r="AO806" s="488"/>
      <c r="AP806" s="488"/>
      <c r="AQ806" s="488"/>
      <c r="AR806" s="488"/>
      <c r="AS806" s="488"/>
      <c r="AT806" s="488"/>
      <c r="AU806" s="488"/>
      <c r="AV806" s="488"/>
      <c r="AW806" s="488"/>
      <c r="AX806" s="488"/>
      <c r="AY806" s="488"/>
      <c r="AZ806" s="488"/>
      <c r="BA806" s="488"/>
      <c r="BB806" s="488"/>
      <c r="BC806" s="488"/>
      <c r="BD806" s="488"/>
    </row>
    <row r="807" spans="3:56">
      <c r="C807" s="488"/>
      <c r="D807" s="488"/>
      <c r="E807" s="488"/>
      <c r="F807" s="488"/>
      <c r="G807" s="488"/>
      <c r="H807" s="488"/>
      <c r="I807" s="488"/>
      <c r="J807" s="488"/>
      <c r="K807" s="488"/>
      <c r="L807" s="488"/>
      <c r="M807" s="488"/>
      <c r="N807" s="488"/>
      <c r="O807" s="488"/>
      <c r="P807" s="488"/>
      <c r="Q807" s="488"/>
      <c r="R807" s="488"/>
      <c r="S807" s="488"/>
      <c r="T807" s="488"/>
      <c r="U807" s="488"/>
      <c r="V807" s="488"/>
      <c r="W807" s="488"/>
      <c r="X807" s="488"/>
      <c r="Y807" s="488"/>
      <c r="Z807" s="488"/>
      <c r="AA807" s="488"/>
      <c r="AB807" s="488"/>
      <c r="AC807" s="488"/>
      <c r="AD807" s="488"/>
      <c r="AE807" s="488"/>
      <c r="AF807" s="488"/>
      <c r="AG807" s="488"/>
      <c r="AH807" s="488"/>
      <c r="AI807" s="488"/>
      <c r="AJ807" s="488"/>
      <c r="AK807" s="488"/>
      <c r="AL807" s="488"/>
      <c r="AM807" s="488"/>
      <c r="AN807" s="488"/>
      <c r="AO807" s="488"/>
      <c r="AP807" s="488"/>
      <c r="AQ807" s="488"/>
      <c r="AR807" s="488"/>
      <c r="AS807" s="488"/>
      <c r="AT807" s="488"/>
      <c r="AU807" s="488"/>
      <c r="AV807" s="488"/>
      <c r="AW807" s="488"/>
      <c r="AX807" s="488"/>
      <c r="AY807" s="488"/>
      <c r="AZ807" s="488"/>
      <c r="BA807" s="488"/>
      <c r="BB807" s="488"/>
      <c r="BC807" s="488"/>
      <c r="BD807" s="488"/>
    </row>
    <row r="808" spans="3:56">
      <c r="C808" s="488"/>
      <c r="D808" s="488"/>
      <c r="E808" s="488"/>
      <c r="F808" s="488"/>
      <c r="G808" s="488"/>
      <c r="H808" s="488"/>
      <c r="I808" s="488"/>
      <c r="J808" s="488"/>
      <c r="K808" s="488"/>
      <c r="L808" s="488"/>
      <c r="M808" s="488"/>
      <c r="N808" s="488"/>
      <c r="O808" s="488"/>
      <c r="P808" s="488"/>
      <c r="Q808" s="488"/>
      <c r="R808" s="488"/>
      <c r="S808" s="488"/>
      <c r="T808" s="488"/>
      <c r="U808" s="488"/>
      <c r="V808" s="488"/>
      <c r="W808" s="488"/>
      <c r="X808" s="488"/>
      <c r="Y808" s="488"/>
      <c r="Z808" s="488"/>
      <c r="AA808" s="488"/>
      <c r="AB808" s="488"/>
      <c r="AC808" s="488"/>
      <c r="AD808" s="488"/>
      <c r="AE808" s="488"/>
      <c r="AF808" s="488"/>
      <c r="AG808" s="488"/>
      <c r="AH808" s="488"/>
      <c r="AI808" s="488"/>
      <c r="AJ808" s="488"/>
      <c r="AK808" s="488"/>
      <c r="AL808" s="488"/>
      <c r="AM808" s="488"/>
      <c r="AN808" s="488"/>
      <c r="AO808" s="488"/>
      <c r="AP808" s="488"/>
      <c r="AQ808" s="488"/>
      <c r="AR808" s="488"/>
      <c r="AS808" s="488"/>
      <c r="AT808" s="488"/>
      <c r="AU808" s="488"/>
      <c r="AV808" s="488"/>
      <c r="AW808" s="488"/>
      <c r="AX808" s="488"/>
      <c r="AY808" s="488"/>
      <c r="AZ808" s="488"/>
      <c r="BA808" s="488"/>
      <c r="BB808" s="488"/>
      <c r="BC808" s="488"/>
      <c r="BD808" s="488"/>
    </row>
    <row r="809" spans="3:56">
      <c r="C809" s="488"/>
      <c r="D809" s="488"/>
      <c r="E809" s="488"/>
      <c r="F809" s="488"/>
      <c r="G809" s="488"/>
      <c r="H809" s="488"/>
      <c r="I809" s="488"/>
      <c r="J809" s="488"/>
      <c r="K809" s="488"/>
      <c r="L809" s="488"/>
      <c r="M809" s="488"/>
      <c r="N809" s="488"/>
      <c r="O809" s="488"/>
      <c r="P809" s="488"/>
      <c r="Q809" s="488"/>
      <c r="R809" s="488"/>
      <c r="S809" s="488"/>
      <c r="T809" s="488"/>
      <c r="U809" s="488"/>
      <c r="V809" s="488"/>
      <c r="W809" s="488"/>
      <c r="X809" s="488"/>
      <c r="Y809" s="488"/>
      <c r="Z809" s="488"/>
      <c r="AA809" s="488"/>
      <c r="AB809" s="488"/>
      <c r="AC809" s="488"/>
      <c r="AD809" s="488"/>
      <c r="AE809" s="488"/>
      <c r="AF809" s="488"/>
      <c r="AG809" s="488"/>
      <c r="AH809" s="488"/>
      <c r="AI809" s="488"/>
      <c r="AJ809" s="488"/>
      <c r="AK809" s="488"/>
      <c r="AL809" s="488"/>
      <c r="AM809" s="488"/>
      <c r="AN809" s="488"/>
      <c r="AO809" s="488"/>
      <c r="AP809" s="488"/>
      <c r="AQ809" s="488"/>
      <c r="AR809" s="488"/>
      <c r="AS809" s="488"/>
      <c r="AT809" s="488"/>
      <c r="AU809" s="488"/>
      <c r="AV809" s="488"/>
      <c r="AW809" s="488"/>
      <c r="AX809" s="488"/>
      <c r="AY809" s="488"/>
      <c r="AZ809" s="488"/>
      <c r="BA809" s="488"/>
      <c r="BB809" s="488"/>
      <c r="BC809" s="488"/>
      <c r="BD809" s="488"/>
    </row>
    <row r="810" spans="3:56">
      <c r="C810" s="488"/>
      <c r="D810" s="488"/>
      <c r="E810" s="488"/>
      <c r="F810" s="488"/>
      <c r="G810" s="488"/>
      <c r="H810" s="488"/>
      <c r="I810" s="488"/>
      <c r="J810" s="488"/>
      <c r="K810" s="488"/>
      <c r="L810" s="488"/>
      <c r="M810" s="488"/>
      <c r="N810" s="488"/>
      <c r="O810" s="488"/>
      <c r="P810" s="488"/>
      <c r="Q810" s="488"/>
      <c r="R810" s="488"/>
      <c r="S810" s="488"/>
      <c r="T810" s="488"/>
      <c r="U810" s="488"/>
      <c r="V810" s="488"/>
      <c r="W810" s="488"/>
      <c r="X810" s="488"/>
      <c r="Y810" s="488"/>
      <c r="Z810" s="488"/>
      <c r="AA810" s="488"/>
      <c r="AB810" s="488"/>
      <c r="AC810" s="488"/>
      <c r="AD810" s="488"/>
      <c r="AE810" s="488"/>
      <c r="AF810" s="488"/>
      <c r="AG810" s="488"/>
      <c r="AH810" s="488"/>
      <c r="AI810" s="488"/>
      <c r="AJ810" s="488"/>
      <c r="AK810" s="488"/>
      <c r="AL810" s="488"/>
      <c r="AM810" s="488"/>
      <c r="AN810" s="488"/>
      <c r="AO810" s="488"/>
      <c r="AP810" s="488"/>
      <c r="AQ810" s="488"/>
      <c r="AR810" s="488"/>
      <c r="AS810" s="488"/>
      <c r="AT810" s="488"/>
      <c r="AU810" s="488"/>
      <c r="AV810" s="488"/>
      <c r="AW810" s="488"/>
      <c r="AX810" s="488"/>
      <c r="AY810" s="488"/>
      <c r="AZ810" s="488"/>
      <c r="BA810" s="488"/>
      <c r="BB810" s="488"/>
      <c r="BC810" s="488"/>
      <c r="BD810" s="488"/>
    </row>
    <row r="811" spans="3:56">
      <c r="C811" s="488"/>
      <c r="D811" s="488"/>
      <c r="E811" s="488"/>
      <c r="F811" s="488"/>
      <c r="G811" s="488"/>
      <c r="H811" s="488"/>
      <c r="I811" s="488"/>
      <c r="J811" s="488"/>
      <c r="K811" s="488"/>
      <c r="L811" s="488"/>
      <c r="M811" s="488"/>
      <c r="N811" s="488"/>
      <c r="O811" s="488"/>
      <c r="P811" s="488"/>
      <c r="Q811" s="488"/>
      <c r="R811" s="488"/>
      <c r="S811" s="488"/>
      <c r="T811" s="488"/>
      <c r="U811" s="488"/>
      <c r="V811" s="488"/>
      <c r="W811" s="488"/>
      <c r="X811" s="488"/>
      <c r="Y811" s="488"/>
      <c r="Z811" s="488"/>
      <c r="AA811" s="488"/>
      <c r="AB811" s="488"/>
      <c r="AC811" s="488"/>
      <c r="AD811" s="488"/>
      <c r="AE811" s="488"/>
      <c r="AF811" s="488"/>
      <c r="AG811" s="488"/>
      <c r="AH811" s="488"/>
      <c r="AI811" s="488"/>
      <c r="AJ811" s="488"/>
      <c r="AK811" s="488"/>
      <c r="AL811" s="488"/>
      <c r="AM811" s="488"/>
      <c r="AN811" s="488"/>
      <c r="AO811" s="488"/>
      <c r="AP811" s="488"/>
      <c r="AQ811" s="488"/>
      <c r="AR811" s="488"/>
      <c r="AS811" s="488"/>
      <c r="AT811" s="488"/>
      <c r="AU811" s="488"/>
      <c r="AV811" s="488"/>
      <c r="AW811" s="488"/>
      <c r="AX811" s="488"/>
      <c r="AY811" s="488"/>
      <c r="AZ811" s="488"/>
      <c r="BA811" s="488"/>
      <c r="BB811" s="488"/>
      <c r="BC811" s="488"/>
      <c r="BD811" s="488"/>
    </row>
    <row r="812" spans="3:56">
      <c r="C812" s="488"/>
      <c r="D812" s="488"/>
      <c r="E812" s="488"/>
      <c r="F812" s="488"/>
      <c r="G812" s="488"/>
      <c r="H812" s="488"/>
      <c r="I812" s="488"/>
      <c r="J812" s="488"/>
      <c r="K812" s="488"/>
      <c r="L812" s="488"/>
      <c r="M812" s="488"/>
      <c r="N812" s="488"/>
      <c r="O812" s="488"/>
      <c r="P812" s="488"/>
      <c r="Q812" s="488"/>
      <c r="R812" s="488"/>
      <c r="S812" s="488"/>
      <c r="T812" s="488"/>
      <c r="U812" s="488"/>
      <c r="V812" s="488"/>
      <c r="W812" s="488"/>
      <c r="X812" s="488"/>
      <c r="Y812" s="488"/>
      <c r="Z812" s="488"/>
      <c r="AA812" s="488"/>
      <c r="AB812" s="488"/>
      <c r="AC812" s="488"/>
      <c r="AD812" s="488"/>
      <c r="AE812" s="488"/>
      <c r="AF812" s="488"/>
      <c r="AG812" s="488"/>
      <c r="AH812" s="488"/>
      <c r="AI812" s="488"/>
      <c r="AJ812" s="488"/>
      <c r="AK812" s="488"/>
      <c r="AL812" s="488"/>
      <c r="AM812" s="488"/>
      <c r="AN812" s="488"/>
      <c r="AO812" s="488"/>
      <c r="AP812" s="488"/>
      <c r="AQ812" s="488"/>
      <c r="AR812" s="488"/>
      <c r="AS812" s="488"/>
      <c r="AT812" s="488"/>
      <c r="AU812" s="488"/>
      <c r="AV812" s="488"/>
      <c r="AW812" s="488"/>
      <c r="AX812" s="488"/>
      <c r="AY812" s="488"/>
      <c r="AZ812" s="488"/>
      <c r="BA812" s="488"/>
      <c r="BB812" s="488"/>
      <c r="BC812" s="488"/>
      <c r="BD812" s="488"/>
    </row>
    <row r="813" spans="3:56">
      <c r="C813" s="488"/>
      <c r="D813" s="488"/>
      <c r="E813" s="488"/>
      <c r="F813" s="488"/>
      <c r="G813" s="488"/>
      <c r="H813" s="488"/>
      <c r="I813" s="488"/>
      <c r="J813" s="488"/>
      <c r="K813" s="488"/>
      <c r="L813" s="488"/>
      <c r="M813" s="488"/>
      <c r="N813" s="488"/>
      <c r="O813" s="488"/>
      <c r="P813" s="488"/>
      <c r="Q813" s="488"/>
      <c r="R813" s="488"/>
      <c r="S813" s="488"/>
      <c r="T813" s="488"/>
      <c r="U813" s="488"/>
      <c r="V813" s="488"/>
      <c r="W813" s="488"/>
      <c r="X813" s="488"/>
      <c r="Y813" s="488"/>
      <c r="Z813" s="488"/>
      <c r="AA813" s="488"/>
      <c r="AB813" s="488"/>
      <c r="AC813" s="488"/>
      <c r="AD813" s="488"/>
      <c r="AE813" s="488"/>
      <c r="AF813" s="488"/>
      <c r="AG813" s="488"/>
      <c r="AH813" s="488"/>
      <c r="AI813" s="488"/>
      <c r="AJ813" s="488"/>
      <c r="AK813" s="488"/>
      <c r="AL813" s="488"/>
      <c r="AM813" s="488"/>
      <c r="AN813" s="488"/>
      <c r="AO813" s="488"/>
      <c r="AP813" s="488"/>
      <c r="AQ813" s="488"/>
      <c r="AR813" s="488"/>
      <c r="AS813" s="488"/>
      <c r="AT813" s="488"/>
      <c r="AU813" s="488"/>
      <c r="AV813" s="488"/>
      <c r="AW813" s="488"/>
      <c r="AX813" s="488"/>
      <c r="AY813" s="488"/>
      <c r="AZ813" s="488"/>
      <c r="BA813" s="488"/>
      <c r="BB813" s="488"/>
      <c r="BC813" s="488"/>
      <c r="BD813" s="488"/>
    </row>
    <row r="814" spans="3:56">
      <c r="C814" s="488"/>
      <c r="D814" s="488"/>
      <c r="E814" s="488"/>
      <c r="F814" s="488"/>
      <c r="G814" s="488"/>
      <c r="H814" s="488"/>
      <c r="I814" s="488"/>
      <c r="J814" s="488"/>
      <c r="K814" s="488"/>
      <c r="L814" s="488"/>
      <c r="M814" s="488"/>
      <c r="N814" s="488"/>
      <c r="O814" s="488"/>
      <c r="P814" s="488"/>
      <c r="Q814" s="488"/>
      <c r="R814" s="488"/>
      <c r="S814" s="488"/>
      <c r="T814" s="488"/>
      <c r="U814" s="488"/>
      <c r="V814" s="488"/>
      <c r="W814" s="488"/>
      <c r="X814" s="488"/>
      <c r="Y814" s="488"/>
      <c r="Z814" s="488"/>
      <c r="AA814" s="488"/>
      <c r="AB814" s="488"/>
      <c r="AC814" s="488"/>
      <c r="AD814" s="488"/>
      <c r="AE814" s="488"/>
      <c r="AF814" s="488"/>
      <c r="AG814" s="488"/>
      <c r="AH814" s="488"/>
      <c r="AI814" s="488"/>
      <c r="AJ814" s="488"/>
      <c r="AK814" s="488"/>
      <c r="AL814" s="488"/>
      <c r="AM814" s="488"/>
      <c r="AN814" s="488"/>
      <c r="AO814" s="488"/>
      <c r="AP814" s="488"/>
      <c r="AQ814" s="488"/>
      <c r="AR814" s="488"/>
      <c r="AS814" s="488"/>
      <c r="AT814" s="488"/>
      <c r="AU814" s="488"/>
      <c r="AV814" s="488"/>
      <c r="AW814" s="488"/>
      <c r="AX814" s="488"/>
      <c r="AY814" s="488"/>
      <c r="AZ814" s="488"/>
      <c r="BA814" s="488"/>
      <c r="BB814" s="488"/>
      <c r="BC814" s="488"/>
      <c r="BD814" s="488"/>
    </row>
    <row r="815" spans="3:56">
      <c r="C815" s="488"/>
      <c r="D815" s="488"/>
      <c r="E815" s="488"/>
      <c r="F815" s="488"/>
      <c r="G815" s="488"/>
      <c r="H815" s="488"/>
      <c r="I815" s="488"/>
      <c r="J815" s="488"/>
      <c r="K815" s="488"/>
      <c r="L815" s="488"/>
      <c r="M815" s="488"/>
      <c r="N815" s="488"/>
      <c r="O815" s="488"/>
      <c r="P815" s="488"/>
      <c r="Q815" s="488"/>
      <c r="R815" s="488"/>
      <c r="S815" s="488"/>
      <c r="T815" s="488"/>
      <c r="U815" s="488"/>
      <c r="V815" s="488"/>
      <c r="W815" s="488"/>
      <c r="X815" s="488"/>
      <c r="Y815" s="488"/>
      <c r="Z815" s="488"/>
      <c r="AA815" s="488"/>
      <c r="AB815" s="488"/>
      <c r="AC815" s="488"/>
      <c r="AD815" s="488"/>
      <c r="AE815" s="488"/>
      <c r="AF815" s="488"/>
      <c r="AG815" s="488"/>
      <c r="AH815" s="488"/>
      <c r="AI815" s="488"/>
      <c r="AJ815" s="488"/>
      <c r="AK815" s="488"/>
      <c r="AL815" s="488"/>
      <c r="AM815" s="488"/>
      <c r="AN815" s="488"/>
      <c r="AO815" s="488"/>
      <c r="AP815" s="488"/>
      <c r="AQ815" s="488"/>
      <c r="AR815" s="488"/>
      <c r="AS815" s="488"/>
      <c r="AT815" s="488"/>
      <c r="AU815" s="488"/>
      <c r="AV815" s="488"/>
      <c r="AW815" s="488"/>
      <c r="AX815" s="488"/>
      <c r="AY815" s="488"/>
      <c r="AZ815" s="488"/>
      <c r="BA815" s="488"/>
      <c r="BB815" s="488"/>
      <c r="BC815" s="488"/>
      <c r="BD815" s="488"/>
    </row>
    <row r="816" spans="3:56">
      <c r="C816" s="488"/>
      <c r="D816" s="488"/>
      <c r="E816" s="488"/>
      <c r="F816" s="488"/>
      <c r="G816" s="488"/>
      <c r="H816" s="488"/>
      <c r="I816" s="488"/>
      <c r="J816" s="488"/>
      <c r="K816" s="488"/>
      <c r="L816" s="488"/>
      <c r="M816" s="488"/>
      <c r="N816" s="488"/>
      <c r="O816" s="488"/>
      <c r="P816" s="488"/>
      <c r="Q816" s="488"/>
      <c r="R816" s="488"/>
      <c r="S816" s="488"/>
      <c r="T816" s="488"/>
      <c r="U816" s="488"/>
      <c r="V816" s="488"/>
      <c r="W816" s="488"/>
      <c r="X816" s="488"/>
      <c r="Y816" s="488"/>
      <c r="Z816" s="488"/>
      <c r="AA816" s="488"/>
      <c r="AB816" s="488"/>
      <c r="AC816" s="488"/>
      <c r="AD816" s="488"/>
      <c r="AE816" s="488"/>
      <c r="AF816" s="488"/>
      <c r="AG816" s="488"/>
      <c r="AH816" s="488"/>
      <c r="AI816" s="488"/>
      <c r="AJ816" s="488"/>
      <c r="AK816" s="488"/>
      <c r="AL816" s="488"/>
      <c r="AM816" s="488"/>
      <c r="AN816" s="488"/>
      <c r="AO816" s="488"/>
      <c r="AP816" s="488"/>
      <c r="AQ816" s="488"/>
      <c r="AR816" s="488"/>
      <c r="AS816" s="488"/>
      <c r="AT816" s="488"/>
      <c r="AU816" s="488"/>
      <c r="AV816" s="488"/>
      <c r="AW816" s="488"/>
      <c r="AX816" s="488"/>
      <c r="AY816" s="488"/>
      <c r="AZ816" s="488"/>
      <c r="BA816" s="488"/>
      <c r="BB816" s="488"/>
      <c r="BC816" s="488"/>
      <c r="BD816" s="488"/>
    </row>
    <row r="817" spans="3:56">
      <c r="C817" s="488"/>
      <c r="D817" s="488"/>
      <c r="E817" s="488"/>
      <c r="F817" s="488"/>
      <c r="G817" s="488"/>
      <c r="H817" s="488"/>
      <c r="I817" s="488"/>
      <c r="J817" s="488"/>
      <c r="K817" s="488"/>
      <c r="L817" s="488"/>
      <c r="M817" s="488"/>
      <c r="N817" s="488"/>
      <c r="O817" s="488"/>
      <c r="P817" s="488"/>
      <c r="Q817" s="488"/>
      <c r="R817" s="488"/>
      <c r="S817" s="488"/>
      <c r="T817" s="488"/>
      <c r="U817" s="488"/>
      <c r="V817" s="488"/>
      <c r="W817" s="488"/>
      <c r="X817" s="488"/>
      <c r="Y817" s="488"/>
      <c r="Z817" s="488"/>
      <c r="AA817" s="488"/>
      <c r="AB817" s="488"/>
      <c r="AC817" s="488"/>
      <c r="AD817" s="488"/>
      <c r="AE817" s="488"/>
      <c r="AF817" s="488"/>
      <c r="AG817" s="488"/>
      <c r="AH817" s="488"/>
      <c r="AI817" s="488"/>
      <c r="AJ817" s="488"/>
      <c r="AK817" s="488"/>
      <c r="AL817" s="488"/>
      <c r="AM817" s="488"/>
      <c r="AN817" s="488"/>
      <c r="AO817" s="488"/>
      <c r="AP817" s="488"/>
      <c r="AQ817" s="488"/>
      <c r="AR817" s="488"/>
      <c r="AS817" s="488"/>
      <c r="AT817" s="488"/>
      <c r="AU817" s="488"/>
      <c r="AV817" s="488"/>
      <c r="AW817" s="488"/>
      <c r="AX817" s="488"/>
      <c r="AY817" s="488"/>
      <c r="AZ817" s="488"/>
      <c r="BA817" s="488"/>
      <c r="BB817" s="488"/>
      <c r="BC817" s="488"/>
      <c r="BD817" s="488"/>
    </row>
    <row r="818" spans="3:56">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c r="AH818" s="488"/>
      <c r="AI818" s="488"/>
      <c r="AJ818" s="488"/>
      <c r="AK818" s="488"/>
      <c r="AL818" s="488"/>
      <c r="AM818" s="488"/>
      <c r="AN818" s="488"/>
      <c r="AO818" s="488"/>
      <c r="AP818" s="488"/>
      <c r="AQ818" s="488"/>
      <c r="AR818" s="488"/>
      <c r="AS818" s="488"/>
      <c r="AT818" s="488"/>
      <c r="AU818" s="488"/>
      <c r="AV818" s="488"/>
      <c r="AW818" s="488"/>
      <c r="AX818" s="488"/>
      <c r="AY818" s="488"/>
      <c r="AZ818" s="488"/>
      <c r="BA818" s="488"/>
      <c r="BB818" s="488"/>
      <c r="BC818" s="488"/>
      <c r="BD818" s="488"/>
    </row>
    <row r="819" spans="3:56">
      <c r="C819" s="488"/>
      <c r="D819" s="488"/>
      <c r="E819" s="488"/>
      <c r="F819" s="488"/>
      <c r="G819" s="488"/>
      <c r="H819" s="488"/>
      <c r="I819" s="488"/>
      <c r="J819" s="488"/>
      <c r="K819" s="488"/>
      <c r="L819" s="488"/>
      <c r="M819" s="488"/>
      <c r="N819" s="488"/>
      <c r="O819" s="488"/>
      <c r="P819" s="488"/>
      <c r="Q819" s="488"/>
      <c r="R819" s="488"/>
      <c r="S819" s="488"/>
      <c r="T819" s="488"/>
      <c r="U819" s="488"/>
      <c r="V819" s="488"/>
      <c r="W819" s="488"/>
      <c r="X819" s="488"/>
      <c r="Y819" s="488"/>
      <c r="Z819" s="488"/>
      <c r="AA819" s="488"/>
      <c r="AB819" s="488"/>
      <c r="AC819" s="488"/>
      <c r="AD819" s="488"/>
      <c r="AE819" s="488"/>
      <c r="AF819" s="488"/>
      <c r="AG819" s="488"/>
      <c r="AH819" s="488"/>
      <c r="AI819" s="488"/>
      <c r="AJ819" s="488"/>
      <c r="AK819" s="488"/>
      <c r="AL819" s="488"/>
      <c r="AM819" s="488"/>
      <c r="AN819" s="488"/>
      <c r="AO819" s="488"/>
      <c r="AP819" s="488"/>
      <c r="AQ819" s="488"/>
      <c r="AR819" s="488"/>
      <c r="AS819" s="488"/>
      <c r="AT819" s="488"/>
      <c r="AU819" s="488"/>
      <c r="AV819" s="488"/>
      <c r="AW819" s="488"/>
      <c r="AX819" s="488"/>
      <c r="AY819" s="488"/>
      <c r="AZ819" s="488"/>
      <c r="BA819" s="488"/>
      <c r="BB819" s="488"/>
      <c r="BC819" s="488"/>
      <c r="BD819" s="488"/>
    </row>
    <row r="820" spans="3:56">
      <c r="C820" s="488"/>
      <c r="D820" s="488"/>
      <c r="E820" s="488"/>
      <c r="F820" s="488"/>
      <c r="G820" s="488"/>
      <c r="H820" s="488"/>
      <c r="I820" s="488"/>
      <c r="J820" s="488"/>
      <c r="K820" s="488"/>
      <c r="L820" s="488"/>
      <c r="M820" s="488"/>
      <c r="N820" s="488"/>
      <c r="O820" s="488"/>
      <c r="P820" s="488"/>
      <c r="Q820" s="488"/>
      <c r="R820" s="488"/>
      <c r="S820" s="488"/>
      <c r="T820" s="488"/>
      <c r="U820" s="488"/>
      <c r="V820" s="488"/>
      <c r="W820" s="488"/>
      <c r="X820" s="488"/>
      <c r="Y820" s="488"/>
      <c r="Z820" s="488"/>
      <c r="AA820" s="488"/>
      <c r="AB820" s="488"/>
      <c r="AC820" s="488"/>
      <c r="AD820" s="488"/>
      <c r="AE820" s="488"/>
      <c r="AF820" s="488"/>
      <c r="AG820" s="488"/>
      <c r="AH820" s="488"/>
      <c r="AI820" s="488"/>
      <c r="AJ820" s="488"/>
      <c r="AK820" s="488"/>
      <c r="AL820" s="488"/>
      <c r="AM820" s="488"/>
      <c r="AN820" s="488"/>
      <c r="AO820" s="488"/>
      <c r="AP820" s="488"/>
      <c r="AQ820" s="488"/>
      <c r="AR820" s="488"/>
      <c r="AS820" s="488"/>
      <c r="AT820" s="488"/>
      <c r="AU820" s="488"/>
      <c r="AV820" s="488"/>
      <c r="AW820" s="488"/>
      <c r="AX820" s="488"/>
      <c r="AY820" s="488"/>
      <c r="AZ820" s="488"/>
      <c r="BA820" s="488"/>
      <c r="BB820" s="488"/>
      <c r="BC820" s="488"/>
      <c r="BD820" s="488"/>
    </row>
    <row r="821" spans="3:56">
      <c r="C821" s="488"/>
      <c r="D821" s="488"/>
      <c r="E821" s="488"/>
      <c r="F821" s="488"/>
      <c r="G821" s="488"/>
      <c r="H821" s="488"/>
      <c r="I821" s="488"/>
      <c r="J821" s="488"/>
      <c r="K821" s="488"/>
      <c r="L821" s="488"/>
      <c r="M821" s="488"/>
      <c r="N821" s="488"/>
      <c r="O821" s="488"/>
      <c r="P821" s="488"/>
      <c r="Q821" s="488"/>
      <c r="R821" s="488"/>
      <c r="S821" s="488"/>
      <c r="T821" s="488"/>
      <c r="U821" s="488"/>
      <c r="V821" s="488"/>
      <c r="W821" s="488"/>
      <c r="X821" s="488"/>
      <c r="Y821" s="488"/>
      <c r="Z821" s="488"/>
      <c r="AA821" s="488"/>
      <c r="AB821" s="488"/>
      <c r="AC821" s="488"/>
      <c r="AD821" s="488"/>
      <c r="AE821" s="488"/>
      <c r="AF821" s="488"/>
      <c r="AG821" s="488"/>
      <c r="AH821" s="488"/>
      <c r="AI821" s="488"/>
      <c r="AJ821" s="488"/>
      <c r="AK821" s="488"/>
      <c r="AL821" s="488"/>
      <c r="AM821" s="488"/>
      <c r="AN821" s="488"/>
      <c r="AO821" s="488"/>
      <c r="AP821" s="488"/>
      <c r="AQ821" s="488"/>
      <c r="AR821" s="488"/>
      <c r="AS821" s="488"/>
      <c r="AT821" s="488"/>
      <c r="AU821" s="488"/>
      <c r="AV821" s="488"/>
      <c r="AW821" s="488"/>
      <c r="AX821" s="488"/>
      <c r="AY821" s="488"/>
      <c r="AZ821" s="488"/>
      <c r="BA821" s="488"/>
      <c r="BB821" s="488"/>
      <c r="BC821" s="488"/>
      <c r="BD821" s="488"/>
    </row>
    <row r="822" spans="3:56">
      <c r="C822" s="488"/>
      <c r="D822" s="488"/>
      <c r="E822" s="488"/>
      <c r="F822" s="488"/>
      <c r="G822" s="488"/>
      <c r="H822" s="488"/>
      <c r="I822" s="488"/>
      <c r="J822" s="488"/>
      <c r="K822" s="488"/>
      <c r="L822" s="488"/>
      <c r="M822" s="488"/>
      <c r="N822" s="488"/>
      <c r="O822" s="488"/>
      <c r="P822" s="488"/>
      <c r="Q822" s="488"/>
      <c r="R822" s="488"/>
      <c r="S822" s="488"/>
      <c r="T822" s="488"/>
      <c r="U822" s="488"/>
      <c r="V822" s="488"/>
      <c r="W822" s="488"/>
      <c r="X822" s="488"/>
      <c r="Y822" s="488"/>
      <c r="Z822" s="488"/>
      <c r="AA822" s="488"/>
      <c r="AB822" s="488"/>
      <c r="AC822" s="488"/>
      <c r="AD822" s="488"/>
      <c r="AE822" s="488"/>
      <c r="AF822" s="488"/>
      <c r="AG822" s="488"/>
      <c r="AH822" s="488"/>
      <c r="AI822" s="488"/>
      <c r="AJ822" s="488"/>
      <c r="AK822" s="488"/>
      <c r="AL822" s="488"/>
      <c r="AM822" s="488"/>
      <c r="AN822" s="488"/>
      <c r="AO822" s="488"/>
      <c r="AP822" s="488"/>
      <c r="AQ822" s="488"/>
      <c r="AR822" s="488"/>
      <c r="AS822" s="488"/>
      <c r="AT822" s="488"/>
      <c r="AU822" s="488"/>
      <c r="AV822" s="488"/>
      <c r="AW822" s="488"/>
      <c r="AX822" s="488"/>
      <c r="AY822" s="488"/>
      <c r="AZ822" s="488"/>
      <c r="BA822" s="488"/>
      <c r="BB822" s="488"/>
      <c r="BC822" s="488"/>
      <c r="BD822" s="488"/>
    </row>
    <row r="823" spans="3:56">
      <c r="C823" s="488"/>
      <c r="D823" s="488"/>
      <c r="E823" s="488"/>
      <c r="F823" s="488"/>
      <c r="G823" s="488"/>
      <c r="H823" s="488"/>
      <c r="I823" s="488"/>
      <c r="J823" s="488"/>
      <c r="K823" s="488"/>
      <c r="L823" s="488"/>
      <c r="M823" s="488"/>
      <c r="N823" s="488"/>
      <c r="O823" s="488"/>
      <c r="P823" s="488"/>
      <c r="Q823" s="488"/>
      <c r="R823" s="488"/>
      <c r="S823" s="488"/>
      <c r="T823" s="488"/>
      <c r="U823" s="488"/>
      <c r="V823" s="488"/>
      <c r="W823" s="488"/>
      <c r="X823" s="488"/>
      <c r="Y823" s="488"/>
      <c r="Z823" s="488"/>
      <c r="AA823" s="488"/>
      <c r="AB823" s="488"/>
      <c r="AC823" s="488"/>
      <c r="AD823" s="488"/>
      <c r="AE823" s="488"/>
      <c r="AF823" s="488"/>
      <c r="AG823" s="488"/>
      <c r="AH823" s="488"/>
      <c r="AI823" s="488"/>
      <c r="AJ823" s="488"/>
      <c r="AK823" s="488"/>
      <c r="AL823" s="488"/>
      <c r="AM823" s="488"/>
      <c r="AN823" s="488"/>
      <c r="AO823" s="488"/>
      <c r="AP823" s="488"/>
      <c r="AQ823" s="488"/>
      <c r="AR823" s="488"/>
      <c r="AS823" s="488"/>
      <c r="AT823" s="488"/>
      <c r="AU823" s="488"/>
      <c r="AV823" s="488"/>
      <c r="AW823" s="488"/>
      <c r="AX823" s="488"/>
      <c r="AY823" s="488"/>
      <c r="AZ823" s="488"/>
      <c r="BA823" s="488"/>
      <c r="BB823" s="488"/>
      <c r="BC823" s="488"/>
      <c r="BD823" s="488"/>
    </row>
    <row r="824" spans="3:56">
      <c r="C824" s="488"/>
      <c r="D824" s="488"/>
      <c r="E824" s="488"/>
      <c r="F824" s="488"/>
      <c r="G824" s="488"/>
      <c r="H824" s="488"/>
      <c r="I824" s="488"/>
      <c r="J824" s="488"/>
      <c r="K824" s="488"/>
      <c r="L824" s="488"/>
      <c r="M824" s="488"/>
      <c r="N824" s="488"/>
      <c r="O824" s="488"/>
      <c r="P824" s="488"/>
      <c r="Q824" s="488"/>
      <c r="R824" s="488"/>
      <c r="S824" s="488"/>
      <c r="T824" s="488"/>
      <c r="U824" s="488"/>
      <c r="V824" s="488"/>
      <c r="W824" s="488"/>
      <c r="X824" s="488"/>
      <c r="Y824" s="488"/>
      <c r="Z824" s="488"/>
      <c r="AA824" s="488"/>
      <c r="AB824" s="488"/>
      <c r="AC824" s="488"/>
      <c r="AD824" s="488"/>
      <c r="AE824" s="488"/>
      <c r="AF824" s="488"/>
      <c r="AG824" s="488"/>
      <c r="AH824" s="488"/>
      <c r="AI824" s="488"/>
      <c r="AJ824" s="488"/>
      <c r="AK824" s="488"/>
      <c r="AL824" s="488"/>
      <c r="AM824" s="488"/>
      <c r="AN824" s="488"/>
      <c r="AO824" s="488"/>
      <c r="AP824" s="488"/>
      <c r="AQ824" s="488"/>
      <c r="AR824" s="488"/>
      <c r="AS824" s="488"/>
      <c r="AT824" s="488"/>
      <c r="AU824" s="488"/>
      <c r="AV824" s="488"/>
      <c r="AW824" s="488"/>
      <c r="AX824" s="488"/>
      <c r="AY824" s="488"/>
      <c r="AZ824" s="488"/>
      <c r="BA824" s="488"/>
      <c r="BB824" s="488"/>
      <c r="BC824" s="488"/>
      <c r="BD824" s="488"/>
    </row>
    <row r="825" spans="3:56">
      <c r="C825" s="488"/>
      <c r="D825" s="488"/>
      <c r="E825" s="488"/>
      <c r="F825" s="488"/>
      <c r="G825" s="488"/>
      <c r="H825" s="488"/>
      <c r="I825" s="488"/>
      <c r="J825" s="488"/>
      <c r="K825" s="488"/>
      <c r="L825" s="488"/>
      <c r="M825" s="488"/>
      <c r="N825" s="488"/>
      <c r="O825" s="488"/>
      <c r="P825" s="488"/>
      <c r="Q825" s="488"/>
      <c r="R825" s="488"/>
      <c r="S825" s="488"/>
      <c r="T825" s="488"/>
      <c r="U825" s="488"/>
      <c r="V825" s="488"/>
      <c r="W825" s="488"/>
      <c r="X825" s="488"/>
      <c r="Y825" s="488"/>
      <c r="Z825" s="488"/>
      <c r="AA825" s="488"/>
      <c r="AB825" s="488"/>
      <c r="AC825" s="488"/>
      <c r="AD825" s="488"/>
      <c r="AE825" s="488"/>
      <c r="AF825" s="488"/>
      <c r="AG825" s="488"/>
      <c r="AH825" s="488"/>
      <c r="AI825" s="488"/>
      <c r="AJ825" s="488"/>
      <c r="AK825" s="488"/>
      <c r="AL825" s="488"/>
      <c r="AM825" s="488"/>
      <c r="AN825" s="488"/>
      <c r="AO825" s="488"/>
      <c r="AP825" s="488"/>
      <c r="AQ825" s="488"/>
      <c r="AR825" s="488"/>
      <c r="AS825" s="488"/>
      <c r="AT825" s="488"/>
      <c r="AU825" s="488"/>
      <c r="AV825" s="488"/>
      <c r="AW825" s="488"/>
      <c r="AX825" s="488"/>
      <c r="AY825" s="488"/>
      <c r="AZ825" s="488"/>
      <c r="BA825" s="488"/>
      <c r="BB825" s="488"/>
      <c r="BC825" s="488"/>
      <c r="BD825" s="488"/>
    </row>
    <row r="826" spans="3:56">
      <c r="C826" s="488"/>
      <c r="D826" s="488"/>
      <c r="E826" s="488"/>
      <c r="F826" s="488"/>
      <c r="G826" s="488"/>
      <c r="H826" s="488"/>
      <c r="I826" s="488"/>
      <c r="J826" s="488"/>
      <c r="K826" s="488"/>
      <c r="L826" s="488"/>
      <c r="M826" s="488"/>
      <c r="N826" s="488"/>
      <c r="O826" s="488"/>
      <c r="P826" s="488"/>
      <c r="Q826" s="488"/>
      <c r="R826" s="488"/>
      <c r="S826" s="488"/>
      <c r="T826" s="488"/>
      <c r="U826" s="488"/>
      <c r="V826" s="488"/>
      <c r="W826" s="488"/>
      <c r="X826" s="488"/>
      <c r="Y826" s="488"/>
      <c r="Z826" s="488"/>
      <c r="AA826" s="488"/>
      <c r="AB826" s="488"/>
      <c r="AC826" s="488"/>
      <c r="AD826" s="488"/>
      <c r="AE826" s="488"/>
      <c r="AF826" s="488"/>
      <c r="AG826" s="488"/>
      <c r="AH826" s="488"/>
      <c r="AI826" s="488"/>
      <c r="AJ826" s="488"/>
      <c r="AK826" s="488"/>
      <c r="AL826" s="488"/>
      <c r="AM826" s="488"/>
      <c r="AN826" s="488"/>
      <c r="AO826" s="488"/>
      <c r="AP826" s="488"/>
      <c r="AQ826" s="488"/>
      <c r="AR826" s="488"/>
      <c r="AS826" s="488"/>
      <c r="AT826" s="488"/>
      <c r="AU826" s="488"/>
      <c r="AV826" s="488"/>
      <c r="AW826" s="488"/>
      <c r="AX826" s="488"/>
      <c r="AY826" s="488"/>
      <c r="AZ826" s="488"/>
      <c r="BA826" s="488"/>
      <c r="BB826" s="488"/>
      <c r="BC826" s="488"/>
      <c r="BD826" s="488"/>
    </row>
    <row r="827" spans="3:56">
      <c r="C827" s="488"/>
      <c r="D827" s="488"/>
      <c r="E827" s="488"/>
      <c r="F827" s="488"/>
      <c r="G827" s="488"/>
      <c r="H827" s="488"/>
      <c r="I827" s="488"/>
      <c r="J827" s="488"/>
      <c r="K827" s="488"/>
      <c r="L827" s="488"/>
      <c r="M827" s="488"/>
      <c r="N827" s="488"/>
      <c r="O827" s="488"/>
      <c r="P827" s="488"/>
      <c r="Q827" s="488"/>
      <c r="R827" s="488"/>
      <c r="S827" s="488"/>
      <c r="T827" s="488"/>
      <c r="U827" s="488"/>
      <c r="V827" s="488"/>
      <c r="W827" s="488"/>
      <c r="X827" s="488"/>
      <c r="Y827" s="488"/>
      <c r="Z827" s="488"/>
      <c r="AA827" s="488"/>
      <c r="AB827" s="488"/>
      <c r="AC827" s="488"/>
      <c r="AD827" s="488"/>
      <c r="AE827" s="488"/>
      <c r="AF827" s="488"/>
      <c r="AG827" s="488"/>
      <c r="AH827" s="488"/>
      <c r="AI827" s="488"/>
      <c r="AJ827" s="488"/>
      <c r="AK827" s="488"/>
      <c r="AL827" s="488"/>
      <c r="AM827" s="488"/>
      <c r="AN827" s="488"/>
      <c r="AO827" s="488"/>
      <c r="AP827" s="488"/>
      <c r="AQ827" s="488"/>
      <c r="AR827" s="488"/>
      <c r="AS827" s="488"/>
      <c r="AT827" s="488"/>
      <c r="AU827" s="488"/>
      <c r="AV827" s="488"/>
      <c r="AW827" s="488"/>
      <c r="AX827" s="488"/>
      <c r="AY827" s="488"/>
      <c r="AZ827" s="488"/>
      <c r="BA827" s="488"/>
      <c r="BB827" s="488"/>
      <c r="BC827" s="488"/>
      <c r="BD827" s="488"/>
    </row>
    <row r="828" spans="3:56">
      <c r="C828" s="488"/>
      <c r="D828" s="488"/>
      <c r="E828" s="488"/>
      <c r="F828" s="488"/>
      <c r="G828" s="488"/>
      <c r="H828" s="488"/>
      <c r="I828" s="488"/>
      <c r="J828" s="488"/>
      <c r="K828" s="488"/>
      <c r="L828" s="488"/>
      <c r="M828" s="488"/>
      <c r="N828" s="488"/>
      <c r="O828" s="488"/>
      <c r="P828" s="488"/>
      <c r="Q828" s="488"/>
      <c r="R828" s="488"/>
      <c r="S828" s="488"/>
      <c r="T828" s="488"/>
      <c r="U828" s="488"/>
      <c r="V828" s="488"/>
      <c r="W828" s="488"/>
      <c r="X828" s="488"/>
      <c r="Y828" s="488"/>
      <c r="Z828" s="488"/>
      <c r="AA828" s="488"/>
      <c r="AB828" s="488"/>
      <c r="AC828" s="488"/>
      <c r="AD828" s="488"/>
      <c r="AE828" s="488"/>
      <c r="AF828" s="488"/>
      <c r="AG828" s="488"/>
      <c r="AH828" s="488"/>
      <c r="AI828" s="488"/>
      <c r="AJ828" s="488"/>
      <c r="AK828" s="488"/>
      <c r="AL828" s="488"/>
      <c r="AM828" s="488"/>
      <c r="AN828" s="488"/>
      <c r="AO828" s="488"/>
      <c r="AP828" s="488"/>
      <c r="AQ828" s="488"/>
      <c r="AR828" s="488"/>
      <c r="AS828" s="488"/>
      <c r="AT828" s="488"/>
      <c r="AU828" s="488"/>
      <c r="AV828" s="488"/>
      <c r="AW828" s="488"/>
      <c r="AX828" s="488"/>
      <c r="AY828" s="488"/>
      <c r="AZ828" s="488"/>
      <c r="BA828" s="488"/>
      <c r="BB828" s="488"/>
      <c r="BC828" s="488"/>
      <c r="BD828" s="488"/>
    </row>
    <row r="829" spans="3:56">
      <c r="C829" s="488"/>
      <c r="D829" s="488"/>
      <c r="E829" s="488"/>
      <c r="F829" s="488"/>
      <c r="G829" s="488"/>
      <c r="H829" s="488"/>
      <c r="I829" s="488"/>
      <c r="J829" s="488"/>
      <c r="K829" s="488"/>
      <c r="L829" s="488"/>
      <c r="M829" s="488"/>
      <c r="N829" s="488"/>
      <c r="O829" s="488"/>
      <c r="P829" s="488"/>
      <c r="Q829" s="488"/>
      <c r="R829" s="488"/>
      <c r="S829" s="488"/>
      <c r="T829" s="488"/>
      <c r="U829" s="488"/>
      <c r="V829" s="488"/>
      <c r="W829" s="488"/>
      <c r="X829" s="488"/>
      <c r="Y829" s="488"/>
      <c r="Z829" s="488"/>
      <c r="AA829" s="488"/>
      <c r="AB829" s="488"/>
      <c r="AC829" s="488"/>
      <c r="AD829" s="488"/>
      <c r="AE829" s="488"/>
      <c r="AF829" s="488"/>
      <c r="AG829" s="488"/>
      <c r="AH829" s="488"/>
      <c r="AI829" s="488"/>
      <c r="AJ829" s="488"/>
      <c r="AK829" s="488"/>
      <c r="AL829" s="488"/>
      <c r="AM829" s="488"/>
      <c r="AN829" s="488"/>
      <c r="AO829" s="488"/>
      <c r="AP829" s="488"/>
      <c r="AQ829" s="488"/>
      <c r="AR829" s="488"/>
      <c r="AS829" s="488"/>
      <c r="AT829" s="488"/>
      <c r="AU829" s="488"/>
      <c r="AV829" s="488"/>
      <c r="AW829" s="488"/>
      <c r="AX829" s="488"/>
      <c r="AY829" s="488"/>
      <c r="AZ829" s="488"/>
      <c r="BA829" s="488"/>
      <c r="BB829" s="488"/>
      <c r="BC829" s="488"/>
      <c r="BD829" s="488"/>
    </row>
    <row r="830" spans="3:56">
      <c r="C830" s="488"/>
      <c r="D830" s="488"/>
      <c r="E830" s="488"/>
      <c r="F830" s="488"/>
      <c r="G830" s="488"/>
      <c r="H830" s="488"/>
      <c r="I830" s="488"/>
      <c r="J830" s="488"/>
      <c r="K830" s="488"/>
      <c r="L830" s="488"/>
      <c r="M830" s="488"/>
      <c r="N830" s="488"/>
      <c r="O830" s="488"/>
      <c r="P830" s="488"/>
      <c r="Q830" s="488"/>
      <c r="R830" s="488"/>
      <c r="S830" s="488"/>
      <c r="T830" s="488"/>
      <c r="U830" s="488"/>
      <c r="V830" s="488"/>
      <c r="W830" s="488"/>
      <c r="X830" s="488"/>
      <c r="Y830" s="488"/>
      <c r="Z830" s="488"/>
      <c r="AA830" s="488"/>
      <c r="AB830" s="488"/>
      <c r="AC830" s="488"/>
      <c r="AD830" s="488"/>
      <c r="AE830" s="488"/>
      <c r="AF830" s="488"/>
      <c r="AG830" s="488"/>
      <c r="AH830" s="488"/>
      <c r="AI830" s="488"/>
      <c r="AJ830" s="488"/>
      <c r="AK830" s="488"/>
      <c r="AL830" s="488"/>
      <c r="AM830" s="488"/>
      <c r="AN830" s="488"/>
      <c r="AO830" s="488"/>
      <c r="AP830" s="488"/>
      <c r="AQ830" s="488"/>
      <c r="AR830" s="488"/>
      <c r="AS830" s="488"/>
      <c r="AT830" s="488"/>
      <c r="AU830" s="488"/>
      <c r="AV830" s="488"/>
      <c r="AW830" s="488"/>
      <c r="AX830" s="488"/>
      <c r="AY830" s="488"/>
      <c r="AZ830" s="488"/>
      <c r="BA830" s="488"/>
      <c r="BB830" s="488"/>
      <c r="BC830" s="488"/>
      <c r="BD830" s="488"/>
    </row>
    <row r="831" spans="3:56">
      <c r="C831" s="488"/>
      <c r="D831" s="488"/>
      <c r="E831" s="488"/>
      <c r="F831" s="488"/>
      <c r="G831" s="488"/>
      <c r="H831" s="488"/>
      <c r="I831" s="488"/>
      <c r="J831" s="488"/>
      <c r="K831" s="488"/>
      <c r="L831" s="488"/>
      <c r="M831" s="488"/>
      <c r="N831" s="488"/>
      <c r="O831" s="488"/>
      <c r="P831" s="488"/>
      <c r="Q831" s="488"/>
      <c r="R831" s="488"/>
      <c r="S831" s="488"/>
      <c r="T831" s="488"/>
      <c r="U831" s="488"/>
      <c r="V831" s="488"/>
      <c r="W831" s="488"/>
      <c r="X831" s="488"/>
      <c r="Y831" s="488"/>
      <c r="Z831" s="488"/>
      <c r="AA831" s="488"/>
      <c r="AB831" s="488"/>
      <c r="AC831" s="488"/>
      <c r="AD831" s="488"/>
      <c r="AE831" s="488"/>
      <c r="AF831" s="488"/>
      <c r="AG831" s="488"/>
      <c r="AH831" s="488"/>
      <c r="AI831" s="488"/>
      <c r="AJ831" s="488"/>
      <c r="AK831" s="488"/>
      <c r="AL831" s="488"/>
      <c r="AM831" s="488"/>
      <c r="AN831" s="488"/>
      <c r="AO831" s="488"/>
      <c r="AP831" s="488"/>
      <c r="AQ831" s="488"/>
      <c r="AR831" s="488"/>
      <c r="AS831" s="488"/>
      <c r="AT831" s="488"/>
      <c r="AU831" s="488"/>
      <c r="AV831" s="488"/>
      <c r="AW831" s="488"/>
      <c r="AX831" s="488"/>
      <c r="AY831" s="488"/>
      <c r="AZ831" s="488"/>
      <c r="BA831" s="488"/>
      <c r="BB831" s="488"/>
      <c r="BC831" s="488"/>
      <c r="BD831" s="488"/>
    </row>
    <row r="832" spans="3:56">
      <c r="C832" s="488"/>
      <c r="D832" s="488"/>
      <c r="E832" s="488"/>
      <c r="F832" s="488"/>
      <c r="G832" s="488"/>
      <c r="H832" s="488"/>
      <c r="I832" s="488"/>
      <c r="J832" s="488"/>
      <c r="K832" s="488"/>
      <c r="L832" s="488"/>
      <c r="M832" s="488"/>
      <c r="N832" s="488"/>
      <c r="O832" s="488"/>
      <c r="P832" s="488"/>
      <c r="Q832" s="488"/>
      <c r="R832" s="488"/>
      <c r="S832" s="488"/>
      <c r="T832" s="488"/>
      <c r="U832" s="488"/>
      <c r="V832" s="488"/>
      <c r="W832" s="488"/>
      <c r="X832" s="488"/>
      <c r="Y832" s="488"/>
      <c r="Z832" s="488"/>
      <c r="AA832" s="488"/>
      <c r="AB832" s="488"/>
      <c r="AC832" s="488"/>
      <c r="AD832" s="488"/>
      <c r="AE832" s="488"/>
      <c r="AF832" s="488"/>
      <c r="AG832" s="488"/>
      <c r="AH832" s="488"/>
      <c r="AI832" s="488"/>
      <c r="AJ832" s="488"/>
      <c r="AK832" s="488"/>
      <c r="AL832" s="488"/>
      <c r="AM832" s="488"/>
      <c r="AN832" s="488"/>
      <c r="AO832" s="488"/>
      <c r="AP832" s="488"/>
      <c r="AQ832" s="488"/>
      <c r="AR832" s="488"/>
      <c r="AS832" s="488"/>
      <c r="AT832" s="488"/>
      <c r="AU832" s="488"/>
      <c r="AV832" s="488"/>
      <c r="AW832" s="488"/>
      <c r="AX832" s="488"/>
      <c r="AY832" s="488"/>
      <c r="AZ832" s="488"/>
      <c r="BA832" s="488"/>
      <c r="BB832" s="488"/>
      <c r="BC832" s="488"/>
      <c r="BD832" s="488"/>
    </row>
    <row r="833" spans="3:56">
      <c r="C833" s="488"/>
      <c r="D833" s="488"/>
      <c r="E833" s="488"/>
      <c r="F833" s="488"/>
      <c r="G833" s="488"/>
      <c r="H833" s="488"/>
      <c r="I833" s="488"/>
      <c r="J833" s="488"/>
      <c r="K833" s="488"/>
      <c r="L833" s="488"/>
      <c r="M833" s="488"/>
      <c r="N833" s="488"/>
      <c r="O833" s="488"/>
      <c r="P833" s="488"/>
      <c r="Q833" s="488"/>
      <c r="R833" s="488"/>
      <c r="S833" s="488"/>
      <c r="T833" s="488"/>
      <c r="U833" s="488"/>
      <c r="V833" s="488"/>
      <c r="W833" s="488"/>
      <c r="X833" s="488"/>
      <c r="Y833" s="488"/>
      <c r="Z833" s="488"/>
      <c r="AA833" s="488"/>
      <c r="AB833" s="488"/>
      <c r="AC833" s="488"/>
      <c r="AD833" s="488"/>
      <c r="AE833" s="488"/>
      <c r="AF833" s="488"/>
      <c r="AG833" s="488"/>
      <c r="AH833" s="488"/>
      <c r="AI833" s="488"/>
      <c r="AJ833" s="488"/>
      <c r="AK833" s="488"/>
      <c r="AL833" s="488"/>
      <c r="AM833" s="488"/>
      <c r="AN833" s="488"/>
      <c r="AO833" s="488"/>
      <c r="AP833" s="488"/>
      <c r="AQ833" s="488"/>
      <c r="AR833" s="488"/>
      <c r="AS833" s="488"/>
      <c r="AT833" s="488"/>
      <c r="AU833" s="488"/>
      <c r="AV833" s="488"/>
      <c r="AW833" s="488"/>
      <c r="AX833" s="488"/>
      <c r="AY833" s="488"/>
      <c r="AZ833" s="488"/>
      <c r="BA833" s="488"/>
      <c r="BB833" s="488"/>
      <c r="BC833" s="488"/>
      <c r="BD833" s="488"/>
    </row>
    <row r="834" spans="3:56">
      <c r="C834" s="488"/>
      <c r="D834" s="488"/>
      <c r="E834" s="488"/>
      <c r="F834" s="488"/>
      <c r="G834" s="488"/>
      <c r="H834" s="488"/>
      <c r="I834" s="488"/>
      <c r="J834" s="488"/>
      <c r="K834" s="488"/>
      <c r="L834" s="488"/>
      <c r="M834" s="488"/>
      <c r="N834" s="488"/>
      <c r="O834" s="488"/>
      <c r="P834" s="488"/>
      <c r="Q834" s="488"/>
      <c r="R834" s="488"/>
      <c r="S834" s="488"/>
      <c r="T834" s="488"/>
      <c r="U834" s="488"/>
      <c r="V834" s="488"/>
      <c r="W834" s="488"/>
      <c r="X834" s="488"/>
      <c r="Y834" s="488"/>
      <c r="Z834" s="488"/>
      <c r="AA834" s="488"/>
      <c r="AB834" s="488"/>
      <c r="AC834" s="488"/>
      <c r="AD834" s="488"/>
      <c r="AE834" s="488"/>
      <c r="AF834" s="488"/>
      <c r="AG834" s="488"/>
      <c r="AH834" s="488"/>
      <c r="AI834" s="488"/>
      <c r="AJ834" s="488"/>
      <c r="AK834" s="488"/>
      <c r="AL834" s="488"/>
      <c r="AM834" s="488"/>
      <c r="AN834" s="488"/>
      <c r="AO834" s="488"/>
      <c r="AP834" s="488"/>
      <c r="AQ834" s="488"/>
      <c r="AR834" s="488"/>
      <c r="AS834" s="488"/>
      <c r="AT834" s="488"/>
      <c r="AU834" s="488"/>
      <c r="AV834" s="488"/>
      <c r="AW834" s="488"/>
      <c r="AX834" s="488"/>
      <c r="AY834" s="488"/>
      <c r="AZ834" s="488"/>
      <c r="BA834" s="488"/>
      <c r="BB834" s="488"/>
      <c r="BC834" s="488"/>
      <c r="BD834" s="488"/>
    </row>
    <row r="835" spans="3:56">
      <c r="C835" s="488"/>
      <c r="D835" s="488"/>
      <c r="E835" s="488"/>
      <c r="F835" s="488"/>
      <c r="G835" s="488"/>
      <c r="H835" s="488"/>
      <c r="I835" s="488"/>
      <c r="J835" s="488"/>
      <c r="K835" s="488"/>
      <c r="L835" s="488"/>
      <c r="M835" s="488"/>
      <c r="N835" s="488"/>
      <c r="O835" s="488"/>
      <c r="P835" s="488"/>
      <c r="Q835" s="488"/>
      <c r="R835" s="488"/>
      <c r="S835" s="488"/>
      <c r="T835" s="488"/>
      <c r="U835" s="488"/>
      <c r="V835" s="488"/>
      <c r="W835" s="488"/>
      <c r="X835" s="488"/>
      <c r="Y835" s="488"/>
      <c r="Z835" s="488"/>
      <c r="AA835" s="488"/>
      <c r="AB835" s="488"/>
      <c r="AC835" s="488"/>
      <c r="AD835" s="488"/>
      <c r="AE835" s="488"/>
      <c r="AF835" s="488"/>
      <c r="AG835" s="488"/>
      <c r="AH835" s="488"/>
      <c r="AI835" s="488"/>
      <c r="AJ835" s="488"/>
      <c r="AK835" s="488"/>
      <c r="AL835" s="488"/>
      <c r="AM835" s="488"/>
      <c r="AN835" s="488"/>
      <c r="AO835" s="488"/>
      <c r="AP835" s="488"/>
      <c r="AQ835" s="488"/>
      <c r="AR835" s="488"/>
      <c r="AS835" s="488"/>
      <c r="AT835" s="488"/>
      <c r="AU835" s="488"/>
      <c r="AV835" s="488"/>
      <c r="AW835" s="488"/>
      <c r="AX835" s="488"/>
      <c r="AY835" s="488"/>
      <c r="AZ835" s="488"/>
      <c r="BA835" s="488"/>
      <c r="BB835" s="488"/>
      <c r="BC835" s="488"/>
      <c r="BD835" s="488"/>
    </row>
    <row r="836" spans="3:56">
      <c r="C836" s="488"/>
      <c r="D836" s="488"/>
      <c r="E836" s="488"/>
      <c r="F836" s="488"/>
      <c r="G836" s="488"/>
      <c r="H836" s="488"/>
      <c r="I836" s="488"/>
      <c r="J836" s="488"/>
      <c r="K836" s="488"/>
      <c r="L836" s="488"/>
      <c r="M836" s="488"/>
      <c r="N836" s="488"/>
      <c r="O836" s="488"/>
      <c r="P836" s="488"/>
      <c r="Q836" s="488"/>
      <c r="R836" s="488"/>
      <c r="S836" s="488"/>
      <c r="T836" s="488"/>
      <c r="U836" s="488"/>
      <c r="V836" s="488"/>
      <c r="W836" s="488"/>
      <c r="X836" s="488"/>
      <c r="Y836" s="488"/>
      <c r="Z836" s="488"/>
      <c r="AA836" s="488"/>
      <c r="AB836" s="488"/>
      <c r="AC836" s="488"/>
      <c r="AD836" s="488"/>
      <c r="AE836" s="488"/>
      <c r="AF836" s="488"/>
      <c r="AG836" s="488"/>
      <c r="AH836" s="488"/>
      <c r="AI836" s="488"/>
      <c r="AJ836" s="488"/>
      <c r="AK836" s="488"/>
      <c r="AL836" s="488"/>
      <c r="AM836" s="488"/>
      <c r="AN836" s="488"/>
      <c r="AO836" s="488"/>
      <c r="AP836" s="488"/>
      <c r="AQ836" s="488"/>
      <c r="AR836" s="488"/>
      <c r="AS836" s="488"/>
      <c r="AT836" s="488"/>
      <c r="AU836" s="488"/>
      <c r="AV836" s="488"/>
      <c r="AW836" s="488"/>
      <c r="AX836" s="488"/>
      <c r="AY836" s="488"/>
      <c r="AZ836" s="488"/>
      <c r="BA836" s="488"/>
      <c r="BB836" s="488"/>
      <c r="BC836" s="488"/>
      <c r="BD836" s="488"/>
    </row>
    <row r="837" spans="3:56">
      <c r="C837" s="488"/>
      <c r="D837" s="488"/>
      <c r="E837" s="488"/>
      <c r="F837" s="488"/>
      <c r="G837" s="488"/>
      <c r="H837" s="488"/>
      <c r="I837" s="488"/>
      <c r="J837" s="488"/>
      <c r="K837" s="488"/>
      <c r="L837" s="488"/>
      <c r="M837" s="488"/>
      <c r="N837" s="488"/>
      <c r="O837" s="488"/>
      <c r="P837" s="488"/>
      <c r="Q837" s="488"/>
      <c r="R837" s="488"/>
      <c r="S837" s="488"/>
      <c r="T837" s="488"/>
      <c r="U837" s="488"/>
      <c r="V837" s="488"/>
      <c r="W837" s="488"/>
      <c r="X837" s="488"/>
      <c r="Y837" s="488"/>
      <c r="Z837" s="488"/>
      <c r="AA837" s="488"/>
      <c r="AB837" s="488"/>
      <c r="AC837" s="488"/>
      <c r="AD837" s="488"/>
      <c r="AE837" s="488"/>
      <c r="AF837" s="488"/>
      <c r="AG837" s="488"/>
      <c r="AH837" s="488"/>
      <c r="AI837" s="488"/>
      <c r="AJ837" s="488"/>
      <c r="AK837" s="488"/>
      <c r="AL837" s="488"/>
      <c r="AM837" s="488"/>
      <c r="AN837" s="488"/>
      <c r="AO837" s="488"/>
      <c r="AP837" s="488"/>
      <c r="AQ837" s="488"/>
      <c r="AR837" s="488"/>
      <c r="AS837" s="488"/>
      <c r="AT837" s="488"/>
      <c r="AU837" s="488"/>
      <c r="AV837" s="488"/>
      <c r="AW837" s="488"/>
      <c r="AX837" s="488"/>
      <c r="AY837" s="488"/>
      <c r="AZ837" s="488"/>
      <c r="BA837" s="488"/>
      <c r="BB837" s="488"/>
      <c r="BC837" s="488"/>
      <c r="BD837" s="488"/>
    </row>
    <row r="838" spans="3:56">
      <c r="C838" s="488"/>
      <c r="D838" s="488"/>
      <c r="E838" s="488"/>
      <c r="F838" s="488"/>
      <c r="G838" s="488"/>
      <c r="H838" s="488"/>
      <c r="I838" s="488"/>
      <c r="J838" s="488"/>
      <c r="K838" s="488"/>
      <c r="L838" s="488"/>
      <c r="M838" s="488"/>
      <c r="N838" s="488"/>
      <c r="O838" s="488"/>
      <c r="P838" s="488"/>
      <c r="Q838" s="488"/>
      <c r="R838" s="488"/>
      <c r="S838" s="488"/>
      <c r="T838" s="488"/>
      <c r="U838" s="488"/>
      <c r="V838" s="488"/>
      <c r="W838" s="488"/>
      <c r="X838" s="488"/>
      <c r="Y838" s="488"/>
      <c r="Z838" s="488"/>
      <c r="AA838" s="488"/>
      <c r="AB838" s="488"/>
      <c r="AC838" s="488"/>
      <c r="AD838" s="488"/>
      <c r="AE838" s="488"/>
      <c r="AF838" s="488"/>
      <c r="AG838" s="488"/>
      <c r="AH838" s="488"/>
      <c r="AI838" s="488"/>
      <c r="AJ838" s="488"/>
      <c r="AK838" s="488"/>
      <c r="AL838" s="488"/>
      <c r="AM838" s="488"/>
      <c r="AN838" s="488"/>
      <c r="AO838" s="488"/>
      <c r="AP838" s="488"/>
      <c r="AQ838" s="488"/>
      <c r="AR838" s="488"/>
      <c r="AS838" s="488"/>
      <c r="AT838" s="488"/>
      <c r="AU838" s="488"/>
      <c r="AV838" s="488"/>
      <c r="AW838" s="488"/>
      <c r="AX838" s="488"/>
      <c r="AY838" s="488"/>
      <c r="AZ838" s="488"/>
      <c r="BA838" s="488"/>
      <c r="BB838" s="488"/>
      <c r="BC838" s="488"/>
      <c r="BD838" s="488"/>
    </row>
    <row r="839" spans="3:56">
      <c r="C839" s="488"/>
      <c r="D839" s="488"/>
      <c r="E839" s="488"/>
      <c r="F839" s="488"/>
      <c r="G839" s="488"/>
      <c r="H839" s="488"/>
      <c r="I839" s="488"/>
      <c r="J839" s="488"/>
      <c r="K839" s="488"/>
      <c r="L839" s="488"/>
      <c r="M839" s="488"/>
      <c r="N839" s="488"/>
      <c r="O839" s="488"/>
      <c r="P839" s="488"/>
      <c r="Q839" s="488"/>
      <c r="R839" s="488"/>
      <c r="S839" s="488"/>
      <c r="T839" s="488"/>
      <c r="U839" s="488"/>
      <c r="V839" s="488"/>
      <c r="W839" s="488"/>
      <c r="X839" s="488"/>
      <c r="Y839" s="488"/>
      <c r="Z839" s="488"/>
      <c r="AA839" s="488"/>
      <c r="AB839" s="488"/>
      <c r="AC839" s="488"/>
      <c r="AD839" s="488"/>
      <c r="AE839" s="488"/>
      <c r="AF839" s="488"/>
      <c r="AG839" s="488"/>
      <c r="AH839" s="488"/>
      <c r="AI839" s="488"/>
      <c r="AJ839" s="488"/>
      <c r="AK839" s="488"/>
      <c r="AL839" s="488"/>
      <c r="AM839" s="488"/>
      <c r="AN839" s="488"/>
      <c r="AO839" s="488"/>
      <c r="AP839" s="488"/>
      <c r="AQ839" s="488"/>
      <c r="AR839" s="488"/>
      <c r="AS839" s="488"/>
      <c r="AT839" s="488"/>
      <c r="AU839" s="488"/>
      <c r="AV839" s="488"/>
      <c r="AW839" s="488"/>
      <c r="AX839" s="488"/>
      <c r="AY839" s="488"/>
      <c r="AZ839" s="488"/>
      <c r="BA839" s="488"/>
      <c r="BB839" s="488"/>
      <c r="BC839" s="488"/>
      <c r="BD839" s="488"/>
    </row>
    <row r="840" spans="3:56">
      <c r="C840" s="488"/>
      <c r="D840" s="488"/>
      <c r="E840" s="488"/>
      <c r="F840" s="488"/>
      <c r="G840" s="488"/>
      <c r="H840" s="488"/>
      <c r="I840" s="488"/>
      <c r="J840" s="488"/>
      <c r="K840" s="488"/>
      <c r="L840" s="488"/>
      <c r="M840" s="488"/>
      <c r="N840" s="488"/>
      <c r="O840" s="488"/>
      <c r="P840" s="488"/>
      <c r="Q840" s="488"/>
      <c r="R840" s="488"/>
      <c r="S840" s="488"/>
      <c r="T840" s="488"/>
      <c r="U840" s="488"/>
      <c r="V840" s="488"/>
      <c r="W840" s="488"/>
      <c r="X840" s="488"/>
      <c r="Y840" s="488"/>
      <c r="Z840" s="488"/>
      <c r="AA840" s="488"/>
      <c r="AB840" s="488"/>
      <c r="AC840" s="488"/>
      <c r="AD840" s="488"/>
      <c r="AE840" s="488"/>
      <c r="AF840" s="488"/>
      <c r="AG840" s="488"/>
      <c r="AH840" s="488"/>
      <c r="AI840" s="488"/>
      <c r="AJ840" s="488"/>
      <c r="AK840" s="488"/>
      <c r="AL840" s="488"/>
      <c r="AM840" s="488"/>
      <c r="AN840" s="488"/>
      <c r="AO840" s="488"/>
      <c r="AP840" s="488"/>
      <c r="AQ840" s="488"/>
      <c r="AR840" s="488"/>
      <c r="AS840" s="488"/>
      <c r="AT840" s="488"/>
      <c r="AU840" s="488"/>
      <c r="AV840" s="488"/>
      <c r="AW840" s="488"/>
      <c r="AX840" s="488"/>
      <c r="AY840" s="488"/>
      <c r="AZ840" s="488"/>
      <c r="BA840" s="488"/>
      <c r="BB840" s="488"/>
      <c r="BC840" s="488"/>
      <c r="BD840" s="488"/>
    </row>
    <row r="841" spans="3:56">
      <c r="C841" s="488"/>
      <c r="D841" s="488"/>
      <c r="E841" s="488"/>
      <c r="F841" s="488"/>
      <c r="G841" s="488"/>
      <c r="H841" s="488"/>
      <c r="I841" s="488"/>
      <c r="J841" s="488"/>
      <c r="K841" s="488"/>
      <c r="L841" s="488"/>
      <c r="M841" s="488"/>
      <c r="N841" s="488"/>
      <c r="O841" s="488"/>
      <c r="P841" s="488"/>
      <c r="Q841" s="488"/>
      <c r="R841" s="488"/>
      <c r="S841" s="488"/>
      <c r="T841" s="488"/>
      <c r="U841" s="488"/>
      <c r="V841" s="488"/>
      <c r="W841" s="488"/>
      <c r="X841" s="488"/>
      <c r="Y841" s="488"/>
      <c r="Z841" s="488"/>
      <c r="AA841" s="488"/>
      <c r="AB841" s="488"/>
      <c r="AC841" s="488"/>
      <c r="AD841" s="488"/>
      <c r="AE841" s="488"/>
      <c r="AF841" s="488"/>
      <c r="AG841" s="488"/>
      <c r="AH841" s="488"/>
      <c r="AI841" s="488"/>
      <c r="AJ841" s="488"/>
      <c r="AK841" s="488"/>
      <c r="AL841" s="488"/>
      <c r="AM841" s="488"/>
      <c r="AN841" s="488"/>
      <c r="AO841" s="488"/>
      <c r="AP841" s="488"/>
      <c r="AQ841" s="488"/>
      <c r="AR841" s="488"/>
      <c r="AS841" s="488"/>
      <c r="AT841" s="488"/>
      <c r="AU841" s="488"/>
      <c r="AV841" s="488"/>
      <c r="AW841" s="488"/>
      <c r="AX841" s="488"/>
      <c r="AY841" s="488"/>
      <c r="AZ841" s="488"/>
      <c r="BA841" s="488"/>
      <c r="BB841" s="488"/>
      <c r="BC841" s="488"/>
      <c r="BD841" s="488"/>
    </row>
    <row r="842" spans="3:56">
      <c r="C842" s="488"/>
      <c r="D842" s="488"/>
      <c r="E842" s="488"/>
      <c r="F842" s="488"/>
      <c r="G842" s="488"/>
      <c r="H842" s="488"/>
      <c r="I842" s="488"/>
      <c r="J842" s="488"/>
      <c r="K842" s="488"/>
      <c r="L842" s="488"/>
      <c r="M842" s="488"/>
      <c r="N842" s="488"/>
      <c r="O842" s="488"/>
      <c r="P842" s="488"/>
      <c r="Q842" s="488"/>
      <c r="R842" s="488"/>
      <c r="S842" s="488"/>
      <c r="T842" s="488"/>
      <c r="U842" s="488"/>
      <c r="V842" s="488"/>
      <c r="W842" s="488"/>
      <c r="X842" s="488"/>
      <c r="Y842" s="488"/>
      <c r="Z842" s="488"/>
      <c r="AA842" s="488"/>
      <c r="AB842" s="488"/>
      <c r="AC842" s="488"/>
      <c r="AD842" s="488"/>
      <c r="AE842" s="488"/>
      <c r="AF842" s="488"/>
      <c r="AG842" s="488"/>
      <c r="AH842" s="488"/>
      <c r="AI842" s="488"/>
      <c r="AJ842" s="488"/>
      <c r="AK842" s="488"/>
      <c r="AL842" s="488"/>
      <c r="AM842" s="488"/>
      <c r="AN842" s="488"/>
      <c r="AO842" s="488"/>
      <c r="AP842" s="488"/>
      <c r="AQ842" s="488"/>
      <c r="AR842" s="488"/>
      <c r="AS842" s="488"/>
      <c r="AT842" s="488"/>
      <c r="AU842" s="488"/>
      <c r="AV842" s="488"/>
      <c r="AW842" s="488"/>
      <c r="AX842" s="488"/>
      <c r="AY842" s="488"/>
      <c r="AZ842" s="488"/>
      <c r="BA842" s="488"/>
      <c r="BB842" s="488"/>
      <c r="BC842" s="488"/>
      <c r="BD842" s="488"/>
    </row>
    <row r="843" spans="3:56">
      <c r="C843" s="488"/>
      <c r="D843" s="488"/>
      <c r="E843" s="488"/>
      <c r="F843" s="488"/>
      <c r="G843" s="488"/>
      <c r="H843" s="488"/>
      <c r="I843" s="488"/>
      <c r="J843" s="488"/>
      <c r="K843" s="488"/>
      <c r="L843" s="488"/>
      <c r="M843" s="488"/>
      <c r="N843" s="488"/>
      <c r="O843" s="488"/>
      <c r="P843" s="488"/>
      <c r="Q843" s="488"/>
      <c r="R843" s="488"/>
      <c r="S843" s="488"/>
      <c r="T843" s="488"/>
      <c r="U843" s="488"/>
      <c r="V843" s="488"/>
      <c r="W843" s="488"/>
      <c r="X843" s="488"/>
      <c r="Y843" s="488"/>
      <c r="Z843" s="488"/>
      <c r="AA843" s="488"/>
      <c r="AB843" s="488"/>
      <c r="AC843" s="488"/>
      <c r="AD843" s="488"/>
      <c r="AE843" s="488"/>
      <c r="AF843" s="488"/>
      <c r="AG843" s="488"/>
      <c r="AH843" s="488"/>
      <c r="AI843" s="488"/>
      <c r="AJ843" s="488"/>
      <c r="AK843" s="488"/>
      <c r="AL843" s="488"/>
      <c r="AM843" s="488"/>
      <c r="AN843" s="488"/>
      <c r="AO843" s="488"/>
      <c r="AP843" s="488"/>
      <c r="AQ843" s="488"/>
      <c r="AR843" s="488"/>
      <c r="AS843" s="488"/>
      <c r="AT843" s="488"/>
      <c r="AU843" s="488"/>
      <c r="AV843" s="488"/>
      <c r="AW843" s="488"/>
      <c r="AX843" s="488"/>
      <c r="AY843" s="488"/>
      <c r="AZ843" s="488"/>
      <c r="BA843" s="488"/>
      <c r="BB843" s="488"/>
      <c r="BC843" s="488"/>
      <c r="BD843" s="488"/>
    </row>
    <row r="844" spans="3:56">
      <c r="C844" s="488"/>
      <c r="D844" s="488"/>
      <c r="E844" s="488"/>
      <c r="F844" s="488"/>
      <c r="G844" s="488"/>
      <c r="H844" s="488"/>
      <c r="I844" s="488"/>
      <c r="J844" s="488"/>
      <c r="K844" s="488"/>
      <c r="L844" s="488"/>
      <c r="M844" s="488"/>
      <c r="N844" s="488"/>
      <c r="O844" s="488"/>
      <c r="P844" s="488"/>
      <c r="Q844" s="488"/>
      <c r="R844" s="488"/>
      <c r="S844" s="488"/>
      <c r="T844" s="488"/>
      <c r="U844" s="488"/>
      <c r="V844" s="488"/>
      <c r="W844" s="488"/>
      <c r="X844" s="488"/>
      <c r="Y844" s="488"/>
      <c r="Z844" s="488"/>
      <c r="AA844" s="488"/>
      <c r="AB844" s="488"/>
      <c r="AC844" s="488"/>
      <c r="AD844" s="488"/>
      <c r="AE844" s="488"/>
      <c r="AF844" s="488"/>
      <c r="AG844" s="488"/>
      <c r="AH844" s="488"/>
      <c r="AI844" s="488"/>
      <c r="AJ844" s="488"/>
      <c r="AK844" s="488"/>
      <c r="AL844" s="488"/>
      <c r="AM844" s="488"/>
      <c r="AN844" s="488"/>
      <c r="AO844" s="488"/>
      <c r="AP844" s="488"/>
      <c r="AQ844" s="488"/>
      <c r="AR844" s="488"/>
      <c r="AS844" s="488"/>
      <c r="AT844" s="488"/>
      <c r="AU844" s="488"/>
      <c r="AV844" s="488"/>
      <c r="AW844" s="488"/>
      <c r="AX844" s="488"/>
      <c r="AY844" s="488"/>
      <c r="AZ844" s="488"/>
      <c r="BA844" s="488"/>
      <c r="BB844" s="488"/>
      <c r="BC844" s="488"/>
      <c r="BD844" s="488"/>
    </row>
    <row r="845" spans="3:56">
      <c r="C845" s="488"/>
      <c r="D845" s="488"/>
      <c r="E845" s="488"/>
      <c r="F845" s="488"/>
      <c r="G845" s="488"/>
      <c r="H845" s="488"/>
      <c r="I845" s="488"/>
      <c r="J845" s="488"/>
      <c r="K845" s="488"/>
      <c r="L845" s="488"/>
      <c r="M845" s="488"/>
      <c r="N845" s="488"/>
      <c r="O845" s="488"/>
      <c r="P845" s="488"/>
      <c r="Q845" s="488"/>
      <c r="R845" s="488"/>
      <c r="S845" s="488"/>
      <c r="T845" s="488"/>
      <c r="U845" s="488"/>
      <c r="V845" s="488"/>
      <c r="W845" s="488"/>
      <c r="X845" s="488"/>
      <c r="Y845" s="488"/>
      <c r="Z845" s="488"/>
      <c r="AA845" s="488"/>
      <c r="AB845" s="488"/>
      <c r="AC845" s="488"/>
      <c r="AD845" s="488"/>
      <c r="AE845" s="488"/>
      <c r="AF845" s="488"/>
      <c r="AG845" s="488"/>
      <c r="AH845" s="488"/>
      <c r="AI845" s="488"/>
      <c r="AJ845" s="488"/>
      <c r="AK845" s="488"/>
      <c r="AL845" s="488"/>
      <c r="AM845" s="488"/>
      <c r="AN845" s="488"/>
      <c r="AO845" s="488"/>
      <c r="AP845" s="488"/>
      <c r="AQ845" s="488"/>
      <c r="AR845" s="488"/>
      <c r="AS845" s="488"/>
      <c r="AT845" s="488"/>
      <c r="AU845" s="488"/>
      <c r="AV845" s="488"/>
      <c r="AW845" s="488"/>
      <c r="AX845" s="488"/>
      <c r="AY845" s="488"/>
      <c r="AZ845" s="488"/>
      <c r="BA845" s="488"/>
      <c r="BB845" s="488"/>
      <c r="BC845" s="488"/>
      <c r="BD845" s="488"/>
    </row>
    <row r="846" spans="3:56">
      <c r="C846" s="488"/>
      <c r="D846" s="488"/>
      <c r="E846" s="488"/>
      <c r="F846" s="488"/>
      <c r="G846" s="488"/>
      <c r="H846" s="488"/>
      <c r="I846" s="488"/>
      <c r="J846" s="488"/>
      <c r="K846" s="488"/>
      <c r="L846" s="488"/>
      <c r="M846" s="488"/>
      <c r="N846" s="488"/>
      <c r="O846" s="488"/>
      <c r="P846" s="488"/>
      <c r="Q846" s="488"/>
      <c r="R846" s="488"/>
      <c r="S846" s="488"/>
      <c r="T846" s="488"/>
      <c r="U846" s="488"/>
      <c r="V846" s="488"/>
      <c r="W846" s="488"/>
      <c r="X846" s="488"/>
      <c r="Y846" s="488"/>
      <c r="Z846" s="488"/>
      <c r="AA846" s="488"/>
      <c r="AB846" s="488"/>
      <c r="AC846" s="488"/>
      <c r="AD846" s="488"/>
      <c r="AE846" s="488"/>
      <c r="AF846" s="488"/>
      <c r="AG846" s="488"/>
      <c r="AH846" s="488"/>
      <c r="AI846" s="488"/>
      <c r="AJ846" s="488"/>
      <c r="AK846" s="488"/>
      <c r="AL846" s="488"/>
      <c r="AM846" s="488"/>
      <c r="AN846" s="488"/>
      <c r="AO846" s="488"/>
      <c r="AP846" s="488"/>
      <c r="AQ846" s="488"/>
      <c r="AR846" s="488"/>
      <c r="AS846" s="488"/>
      <c r="AT846" s="488"/>
      <c r="AU846" s="488"/>
      <c r="AV846" s="488"/>
      <c r="AW846" s="488"/>
      <c r="AX846" s="488"/>
      <c r="AY846" s="488"/>
      <c r="AZ846" s="488"/>
      <c r="BA846" s="488"/>
      <c r="BB846" s="488"/>
      <c r="BC846" s="488"/>
      <c r="BD846" s="488"/>
    </row>
    <row r="847" spans="3:56">
      <c r="C847" s="488"/>
      <c r="D847" s="488"/>
      <c r="E847" s="488"/>
      <c r="F847" s="488"/>
      <c r="G847" s="488"/>
      <c r="H847" s="488"/>
      <c r="I847" s="488"/>
      <c r="J847" s="488"/>
      <c r="K847" s="488"/>
      <c r="L847" s="488"/>
      <c r="M847" s="488"/>
      <c r="N847" s="488"/>
      <c r="O847" s="488"/>
      <c r="P847" s="488"/>
      <c r="Q847" s="488"/>
      <c r="R847" s="488"/>
      <c r="S847" s="488"/>
      <c r="T847" s="488"/>
      <c r="U847" s="488"/>
      <c r="V847" s="488"/>
      <c r="W847" s="488"/>
      <c r="X847" s="488"/>
      <c r="Y847" s="488"/>
      <c r="Z847" s="488"/>
      <c r="AA847" s="488"/>
      <c r="AB847" s="488"/>
      <c r="AC847" s="488"/>
      <c r="AD847" s="488"/>
      <c r="AE847" s="488"/>
      <c r="AF847" s="488"/>
      <c r="AG847" s="488"/>
      <c r="AH847" s="488"/>
      <c r="AI847" s="488"/>
      <c r="AJ847" s="488"/>
      <c r="AK847" s="488"/>
      <c r="AL847" s="488"/>
      <c r="AM847" s="488"/>
      <c r="AN847" s="488"/>
      <c r="AO847" s="488"/>
      <c r="AP847" s="488"/>
      <c r="AQ847" s="488"/>
      <c r="AR847" s="488"/>
      <c r="AS847" s="488"/>
      <c r="AT847" s="488"/>
      <c r="AU847" s="488"/>
      <c r="AV847" s="488"/>
      <c r="AW847" s="488"/>
      <c r="AX847" s="488"/>
      <c r="AY847" s="488"/>
      <c r="AZ847" s="488"/>
      <c r="BA847" s="488"/>
      <c r="BB847" s="488"/>
      <c r="BC847" s="488"/>
      <c r="BD847" s="488"/>
    </row>
    <row r="848" spans="3:56">
      <c r="C848" s="488"/>
      <c r="D848" s="488"/>
      <c r="E848" s="488"/>
      <c r="F848" s="488"/>
      <c r="G848" s="488"/>
      <c r="H848" s="488"/>
      <c r="I848" s="488"/>
      <c r="J848" s="488"/>
      <c r="K848" s="488"/>
      <c r="L848" s="488"/>
      <c r="M848" s="488"/>
      <c r="N848" s="488"/>
      <c r="O848" s="488"/>
      <c r="P848" s="488"/>
      <c r="Q848" s="488"/>
      <c r="R848" s="488"/>
      <c r="S848" s="488"/>
      <c r="T848" s="488"/>
      <c r="U848" s="488"/>
      <c r="V848" s="488"/>
      <c r="W848" s="488"/>
      <c r="X848" s="488"/>
      <c r="Y848" s="488"/>
      <c r="Z848" s="488"/>
      <c r="AA848" s="488"/>
      <c r="AB848" s="488"/>
      <c r="AC848" s="488"/>
      <c r="AD848" s="488"/>
      <c r="AE848" s="488"/>
      <c r="AF848" s="488"/>
      <c r="AG848" s="488"/>
      <c r="AH848" s="488"/>
      <c r="AI848" s="488"/>
      <c r="AJ848" s="488"/>
      <c r="AK848" s="488"/>
      <c r="AL848" s="488"/>
      <c r="AM848" s="488"/>
      <c r="AN848" s="488"/>
      <c r="AO848" s="488"/>
      <c r="AP848" s="488"/>
      <c r="AQ848" s="488"/>
      <c r="AR848" s="488"/>
      <c r="AS848" s="488"/>
      <c r="AT848" s="488"/>
      <c r="AU848" s="488"/>
      <c r="AV848" s="488"/>
      <c r="AW848" s="488"/>
      <c r="AX848" s="488"/>
      <c r="AY848" s="488"/>
      <c r="AZ848" s="488"/>
      <c r="BA848" s="488"/>
      <c r="BB848" s="488"/>
      <c r="BC848" s="488"/>
      <c r="BD848" s="488"/>
    </row>
    <row r="849" spans="3:56">
      <c r="C849" s="488"/>
      <c r="D849" s="488"/>
      <c r="E849" s="488"/>
      <c r="F849" s="488"/>
      <c r="G849" s="488"/>
      <c r="H849" s="488"/>
      <c r="I849" s="488"/>
      <c r="J849" s="488"/>
      <c r="K849" s="488"/>
      <c r="L849" s="488"/>
      <c r="M849" s="488"/>
      <c r="N849" s="488"/>
      <c r="O849" s="488"/>
      <c r="P849" s="488"/>
      <c r="Q849" s="488"/>
      <c r="R849" s="488"/>
      <c r="S849" s="488"/>
      <c r="T849" s="488"/>
      <c r="U849" s="488"/>
      <c r="V849" s="488"/>
      <c r="W849" s="488"/>
      <c r="X849" s="488"/>
      <c r="Y849" s="488"/>
      <c r="Z849" s="488"/>
      <c r="AA849" s="488"/>
      <c r="AB849" s="488"/>
      <c r="AC849" s="488"/>
      <c r="AD849" s="488"/>
      <c r="AE849" s="488"/>
      <c r="AF849" s="488"/>
      <c r="AG849" s="488"/>
      <c r="AH849" s="488"/>
      <c r="AI849" s="488"/>
      <c r="AJ849" s="488"/>
      <c r="AK849" s="488"/>
      <c r="AL849" s="488"/>
      <c r="AM849" s="488"/>
      <c r="AN849" s="488"/>
      <c r="AO849" s="488"/>
      <c r="AP849" s="488"/>
      <c r="AQ849" s="488"/>
      <c r="AR849" s="488"/>
      <c r="AS849" s="488"/>
      <c r="AT849" s="488"/>
      <c r="AU849" s="488"/>
      <c r="AV849" s="488"/>
      <c r="AW849" s="488"/>
      <c r="AX849" s="488"/>
      <c r="AY849" s="488"/>
      <c r="AZ849" s="488"/>
      <c r="BA849" s="488"/>
      <c r="BB849" s="488"/>
      <c r="BC849" s="488"/>
      <c r="BD849" s="488"/>
    </row>
    <row r="850" spans="3:56">
      <c r="C850" s="488"/>
      <c r="D850" s="488"/>
      <c r="E850" s="488"/>
      <c r="F850" s="488"/>
      <c r="G850" s="488"/>
      <c r="H850" s="488"/>
      <c r="I850" s="488"/>
      <c r="J850" s="488"/>
      <c r="K850" s="488"/>
      <c r="L850" s="488"/>
      <c r="M850" s="488"/>
      <c r="N850" s="488"/>
      <c r="O850" s="488"/>
      <c r="P850" s="488"/>
      <c r="Q850" s="488"/>
      <c r="R850" s="488"/>
      <c r="S850" s="488"/>
      <c r="T850" s="488"/>
      <c r="U850" s="488"/>
      <c r="V850" s="488"/>
      <c r="W850" s="488"/>
      <c r="X850" s="488"/>
      <c r="Y850" s="488"/>
      <c r="Z850" s="488"/>
      <c r="AA850" s="488"/>
      <c r="AB850" s="488"/>
      <c r="AC850" s="488"/>
      <c r="AD850" s="488"/>
      <c r="AE850" s="488"/>
      <c r="AF850" s="488"/>
      <c r="AG850" s="488"/>
      <c r="AH850" s="488"/>
      <c r="AI850" s="488"/>
      <c r="AJ850" s="488"/>
      <c r="AK850" s="488"/>
      <c r="AL850" s="488"/>
      <c r="AM850" s="488"/>
      <c r="AN850" s="488"/>
      <c r="AO850" s="488"/>
      <c r="AP850" s="488"/>
      <c r="AQ850" s="488"/>
      <c r="AR850" s="488"/>
      <c r="AS850" s="488"/>
      <c r="AT850" s="488"/>
      <c r="AU850" s="488"/>
      <c r="AV850" s="488"/>
      <c r="AW850" s="488"/>
      <c r="AX850" s="488"/>
      <c r="AY850" s="488"/>
      <c r="AZ850" s="488"/>
      <c r="BA850" s="488"/>
      <c r="BB850" s="488"/>
      <c r="BC850" s="488"/>
      <c r="BD850" s="488"/>
    </row>
    <row r="851" spans="3:56">
      <c r="C851" s="488"/>
      <c r="D851" s="488"/>
      <c r="E851" s="488"/>
      <c r="F851" s="488"/>
      <c r="G851" s="488"/>
      <c r="H851" s="488"/>
      <c r="I851" s="488"/>
      <c r="J851" s="488"/>
      <c r="K851" s="488"/>
      <c r="L851" s="488"/>
      <c r="M851" s="488"/>
      <c r="N851" s="488"/>
      <c r="O851" s="488"/>
      <c r="P851" s="488"/>
      <c r="Q851" s="488"/>
      <c r="R851" s="488"/>
      <c r="S851" s="488"/>
      <c r="T851" s="488"/>
      <c r="U851" s="488"/>
      <c r="V851" s="488"/>
      <c r="W851" s="488"/>
      <c r="X851" s="488"/>
      <c r="Y851" s="488"/>
      <c r="Z851" s="488"/>
      <c r="AA851" s="488"/>
      <c r="AB851" s="488"/>
      <c r="AC851" s="488"/>
      <c r="AD851" s="488"/>
      <c r="AE851" s="488"/>
      <c r="AF851" s="488"/>
      <c r="AG851" s="488"/>
      <c r="AH851" s="488"/>
      <c r="AI851" s="488"/>
      <c r="AJ851" s="488"/>
      <c r="AK851" s="488"/>
      <c r="AL851" s="488"/>
      <c r="AM851" s="488"/>
      <c r="AN851" s="488"/>
      <c r="AO851" s="488"/>
      <c r="AP851" s="488"/>
      <c r="AQ851" s="488"/>
      <c r="AR851" s="488"/>
      <c r="AS851" s="488"/>
      <c r="AT851" s="488"/>
      <c r="AU851" s="488"/>
      <c r="AV851" s="488"/>
      <c r="AW851" s="488"/>
      <c r="AX851" s="488"/>
      <c r="AY851" s="488"/>
      <c r="AZ851" s="488"/>
      <c r="BA851" s="488"/>
      <c r="BB851" s="488"/>
      <c r="BC851" s="488"/>
      <c r="BD851" s="488"/>
    </row>
    <row r="852" spans="3:56">
      <c r="C852" s="488"/>
      <c r="D852" s="488"/>
      <c r="E852" s="488"/>
      <c r="F852" s="488"/>
      <c r="G852" s="488"/>
      <c r="H852" s="488"/>
      <c r="I852" s="488"/>
      <c r="J852" s="488"/>
      <c r="K852" s="488"/>
      <c r="L852" s="488"/>
      <c r="M852" s="488"/>
      <c r="N852" s="488"/>
      <c r="O852" s="488"/>
      <c r="P852" s="488"/>
      <c r="Q852" s="488"/>
      <c r="R852" s="488"/>
      <c r="S852" s="488"/>
      <c r="T852" s="488"/>
      <c r="U852" s="488"/>
      <c r="V852" s="488"/>
      <c r="W852" s="488"/>
      <c r="X852" s="488"/>
      <c r="Y852" s="488"/>
      <c r="Z852" s="488"/>
      <c r="AA852" s="488"/>
      <c r="AB852" s="488"/>
      <c r="AC852" s="488"/>
      <c r="AD852" s="488"/>
      <c r="AE852" s="488"/>
      <c r="AF852" s="488"/>
      <c r="AG852" s="488"/>
      <c r="AH852" s="488"/>
      <c r="AI852" s="488"/>
      <c r="AJ852" s="488"/>
      <c r="AK852" s="488"/>
      <c r="AL852" s="488"/>
      <c r="AM852" s="488"/>
      <c r="AN852" s="488"/>
      <c r="AO852" s="488"/>
      <c r="AP852" s="488"/>
      <c r="AQ852" s="488"/>
      <c r="AR852" s="488"/>
      <c r="AS852" s="488"/>
      <c r="AT852" s="488"/>
      <c r="AU852" s="488"/>
      <c r="AV852" s="488"/>
      <c r="AW852" s="488"/>
      <c r="AX852" s="488"/>
      <c r="AY852" s="488"/>
      <c r="AZ852" s="488"/>
      <c r="BA852" s="488"/>
      <c r="BB852" s="488"/>
      <c r="BC852" s="488"/>
      <c r="BD852" s="488"/>
    </row>
    <row r="853" spans="3:56">
      <c r="C853" s="488"/>
      <c r="D853" s="488"/>
      <c r="E853" s="488"/>
      <c r="F853" s="488"/>
      <c r="G853" s="488"/>
      <c r="H853" s="488"/>
      <c r="I853" s="488"/>
      <c r="J853" s="488"/>
      <c r="K853" s="488"/>
      <c r="L853" s="488"/>
      <c r="M853" s="488"/>
      <c r="N853" s="488"/>
      <c r="O853" s="488"/>
      <c r="P853" s="488"/>
      <c r="Q853" s="488"/>
      <c r="R853" s="488"/>
      <c r="S853" s="488"/>
      <c r="T853" s="488"/>
      <c r="U853" s="488"/>
      <c r="V853" s="488"/>
      <c r="W853" s="488"/>
      <c r="X853" s="488"/>
      <c r="Y853" s="488"/>
      <c r="Z853" s="488"/>
      <c r="AA853" s="488"/>
      <c r="AB853" s="488"/>
      <c r="AC853" s="488"/>
      <c r="AD853" s="488"/>
      <c r="AE853" s="488"/>
      <c r="AF853" s="488"/>
      <c r="AG853" s="488"/>
      <c r="AH853" s="488"/>
      <c r="AI853" s="488"/>
      <c r="AJ853" s="488"/>
      <c r="AK853" s="488"/>
      <c r="AL853" s="488"/>
      <c r="AM853" s="488"/>
      <c r="AN853" s="488"/>
      <c r="AO853" s="488"/>
      <c r="AP853" s="488"/>
      <c r="AQ853" s="488"/>
      <c r="AR853" s="488"/>
      <c r="AS853" s="488"/>
      <c r="AT853" s="488"/>
      <c r="AU853" s="488"/>
      <c r="AV853" s="488"/>
      <c r="AW853" s="488"/>
      <c r="AX853" s="488"/>
      <c r="AY853" s="488"/>
      <c r="AZ853" s="488"/>
      <c r="BA853" s="488"/>
      <c r="BB853" s="488"/>
      <c r="BC853" s="488"/>
      <c r="BD853" s="488"/>
    </row>
    <row r="854" spans="3:56">
      <c r="C854" s="488"/>
      <c r="D854" s="488"/>
      <c r="E854" s="488"/>
      <c r="F854" s="488"/>
      <c r="G854" s="488"/>
      <c r="H854" s="488"/>
      <c r="I854" s="488"/>
      <c r="J854" s="488"/>
      <c r="K854" s="488"/>
      <c r="L854" s="488"/>
      <c r="M854" s="488"/>
      <c r="N854" s="488"/>
      <c r="O854" s="488"/>
      <c r="P854" s="488"/>
      <c r="Q854" s="488"/>
      <c r="R854" s="488"/>
      <c r="S854" s="488"/>
      <c r="T854" s="488"/>
      <c r="U854" s="488"/>
      <c r="V854" s="488"/>
      <c r="W854" s="488"/>
      <c r="X854" s="488"/>
      <c r="Y854" s="488"/>
      <c r="Z854" s="488"/>
      <c r="AA854" s="488"/>
      <c r="AB854" s="488"/>
      <c r="AC854" s="488"/>
      <c r="AD854" s="488"/>
      <c r="AE854" s="488"/>
      <c r="AF854" s="488"/>
      <c r="AG854" s="488"/>
      <c r="AH854" s="488"/>
      <c r="AI854" s="488"/>
      <c r="AJ854" s="488"/>
      <c r="AK854" s="488"/>
      <c r="AL854" s="488"/>
      <c r="AM854" s="488"/>
      <c r="AN854" s="488"/>
      <c r="AO854" s="488"/>
      <c r="AP854" s="488"/>
      <c r="AQ854" s="488"/>
      <c r="AR854" s="488"/>
      <c r="AS854" s="488"/>
      <c r="AT854" s="488"/>
      <c r="AU854" s="488"/>
      <c r="AV854" s="488"/>
      <c r="AW854" s="488"/>
      <c r="AX854" s="488"/>
      <c r="AY854" s="488"/>
      <c r="AZ854" s="488"/>
      <c r="BA854" s="488"/>
      <c r="BB854" s="488"/>
      <c r="BC854" s="488"/>
      <c r="BD854" s="488"/>
    </row>
    <row r="855" spans="3:56">
      <c r="C855" s="488"/>
      <c r="D855" s="488"/>
      <c r="E855" s="488"/>
      <c r="F855" s="488"/>
      <c r="G855" s="488"/>
      <c r="H855" s="488"/>
      <c r="I855" s="488"/>
      <c r="J855" s="488"/>
      <c r="K855" s="488"/>
      <c r="L855" s="488"/>
      <c r="M855" s="488"/>
      <c r="N855" s="488"/>
      <c r="O855" s="488"/>
      <c r="P855" s="488"/>
      <c r="Q855" s="488"/>
      <c r="R855" s="488"/>
      <c r="S855" s="488"/>
      <c r="T855" s="488"/>
      <c r="U855" s="488"/>
      <c r="V855" s="488"/>
      <c r="W855" s="488"/>
      <c r="X855" s="488"/>
      <c r="Y855" s="488"/>
      <c r="Z855" s="488"/>
      <c r="AA855" s="488"/>
      <c r="AB855" s="488"/>
      <c r="AC855" s="488"/>
      <c r="AD855" s="488"/>
      <c r="AE855" s="488"/>
      <c r="AF855" s="488"/>
      <c r="AG855" s="488"/>
      <c r="AH855" s="488"/>
      <c r="AI855" s="488"/>
      <c r="AJ855" s="488"/>
      <c r="AK855" s="488"/>
      <c r="AL855" s="488"/>
      <c r="AM855" s="488"/>
      <c r="AN855" s="488"/>
      <c r="AO855" s="488"/>
      <c r="AP855" s="488"/>
      <c r="AQ855" s="488"/>
      <c r="AR855" s="488"/>
      <c r="AS855" s="488"/>
      <c r="AT855" s="488"/>
      <c r="AU855" s="488"/>
      <c r="AV855" s="488"/>
      <c r="AW855" s="488"/>
      <c r="AX855" s="488"/>
      <c r="AY855" s="488"/>
      <c r="AZ855" s="488"/>
      <c r="BA855" s="488"/>
      <c r="BB855" s="488"/>
      <c r="BC855" s="488"/>
      <c r="BD855" s="488"/>
    </row>
    <row r="856" spans="3:56">
      <c r="C856" s="488"/>
      <c r="D856" s="488"/>
      <c r="E856" s="488"/>
      <c r="F856" s="488"/>
      <c r="G856" s="488"/>
      <c r="H856" s="488"/>
      <c r="I856" s="488"/>
      <c r="J856" s="488"/>
      <c r="K856" s="488"/>
      <c r="L856" s="488"/>
      <c r="M856" s="488"/>
      <c r="N856" s="488"/>
      <c r="O856" s="488"/>
      <c r="P856" s="488"/>
      <c r="Q856" s="488"/>
      <c r="R856" s="488"/>
      <c r="S856" s="488"/>
      <c r="T856" s="488"/>
      <c r="U856" s="488"/>
      <c r="V856" s="488"/>
      <c r="W856" s="488"/>
      <c r="X856" s="488"/>
      <c r="Y856" s="488"/>
      <c r="Z856" s="488"/>
      <c r="AA856" s="488"/>
      <c r="AB856" s="488"/>
      <c r="AC856" s="488"/>
      <c r="AD856" s="488"/>
      <c r="AE856" s="488"/>
      <c r="AF856" s="488"/>
      <c r="AG856" s="488"/>
      <c r="AH856" s="488"/>
      <c r="AI856" s="488"/>
      <c r="AJ856" s="488"/>
      <c r="AK856" s="488"/>
      <c r="AL856" s="488"/>
      <c r="AM856" s="488"/>
      <c r="AN856" s="488"/>
      <c r="AO856" s="488"/>
      <c r="AP856" s="488"/>
      <c r="AQ856" s="488"/>
      <c r="AR856" s="488"/>
      <c r="AS856" s="488"/>
      <c r="AT856" s="488"/>
      <c r="AU856" s="488"/>
      <c r="AV856" s="488"/>
      <c r="AW856" s="488"/>
      <c r="AX856" s="488"/>
      <c r="AY856" s="488"/>
      <c r="AZ856" s="488"/>
      <c r="BA856" s="488"/>
      <c r="BB856" s="488"/>
      <c r="BC856" s="488"/>
      <c r="BD856" s="488"/>
    </row>
    <row r="857" spans="3:56">
      <c r="C857" s="488"/>
      <c r="D857" s="488"/>
      <c r="E857" s="488"/>
      <c r="F857" s="488"/>
      <c r="G857" s="488"/>
      <c r="H857" s="488"/>
      <c r="I857" s="488"/>
      <c r="J857" s="488"/>
      <c r="K857" s="488"/>
      <c r="L857" s="488"/>
      <c r="M857" s="488"/>
      <c r="N857" s="488"/>
      <c r="O857" s="488"/>
      <c r="P857" s="488"/>
      <c r="Q857" s="488"/>
      <c r="R857" s="488"/>
      <c r="S857" s="488"/>
      <c r="T857" s="488"/>
      <c r="U857" s="488"/>
      <c r="V857" s="488"/>
      <c r="W857" s="488"/>
      <c r="X857" s="488"/>
      <c r="Y857" s="488"/>
      <c r="Z857" s="488"/>
      <c r="AA857" s="488"/>
      <c r="AB857" s="488"/>
      <c r="AC857" s="488"/>
      <c r="AD857" s="488"/>
      <c r="AE857" s="488"/>
      <c r="AF857" s="488"/>
      <c r="AG857" s="488"/>
      <c r="AH857" s="488"/>
      <c r="AI857" s="488"/>
      <c r="AJ857" s="488"/>
      <c r="AK857" s="488"/>
      <c r="AL857" s="488"/>
      <c r="AM857" s="488"/>
      <c r="AN857" s="488"/>
      <c r="AO857" s="488"/>
      <c r="AP857" s="488"/>
      <c r="AQ857" s="488"/>
      <c r="AR857" s="488"/>
      <c r="AS857" s="488"/>
      <c r="AT857" s="488"/>
      <c r="AU857" s="488"/>
      <c r="AV857" s="488"/>
      <c r="AW857" s="488"/>
      <c r="AX857" s="488"/>
      <c r="AY857" s="488"/>
      <c r="AZ857" s="488"/>
      <c r="BA857" s="488"/>
      <c r="BB857" s="488"/>
      <c r="BC857" s="488"/>
      <c r="BD857" s="488"/>
    </row>
    <row r="858" spans="3:56">
      <c r="C858" s="488"/>
      <c r="D858" s="488"/>
      <c r="E858" s="488"/>
      <c r="F858" s="488"/>
      <c r="G858" s="488"/>
      <c r="H858" s="488"/>
      <c r="I858" s="488"/>
      <c r="J858" s="488"/>
      <c r="K858" s="488"/>
      <c r="L858" s="488"/>
      <c r="M858" s="488"/>
      <c r="N858" s="488"/>
      <c r="O858" s="488"/>
      <c r="P858" s="488"/>
      <c r="Q858" s="488"/>
      <c r="R858" s="488"/>
      <c r="S858" s="488"/>
      <c r="T858" s="488"/>
      <c r="U858" s="488"/>
      <c r="V858" s="488"/>
      <c r="W858" s="488"/>
      <c r="X858" s="488"/>
      <c r="Y858" s="488"/>
      <c r="Z858" s="488"/>
      <c r="AA858" s="488"/>
      <c r="AB858" s="488"/>
      <c r="AC858" s="488"/>
      <c r="AD858" s="488"/>
      <c r="AE858" s="488"/>
      <c r="AF858" s="488"/>
      <c r="AG858" s="488"/>
      <c r="AH858" s="488"/>
      <c r="AI858" s="488"/>
      <c r="AJ858" s="488"/>
      <c r="AK858" s="488"/>
      <c r="AL858" s="488"/>
      <c r="AM858" s="488"/>
      <c r="AN858" s="488"/>
      <c r="AO858" s="488"/>
      <c r="AP858" s="488"/>
      <c r="AQ858" s="488"/>
      <c r="AR858" s="488"/>
      <c r="AS858" s="488"/>
      <c r="AT858" s="488"/>
      <c r="AU858" s="488"/>
      <c r="AV858" s="488"/>
      <c r="AW858" s="488"/>
      <c r="AX858" s="488"/>
      <c r="AY858" s="488"/>
      <c r="AZ858" s="488"/>
      <c r="BA858" s="488"/>
      <c r="BB858" s="488"/>
      <c r="BC858" s="488"/>
      <c r="BD858" s="488"/>
    </row>
    <row r="859" spans="3:56">
      <c r="C859" s="488"/>
      <c r="D859" s="488"/>
      <c r="E859" s="488"/>
      <c r="F859" s="488"/>
      <c r="G859" s="488"/>
      <c r="H859" s="488"/>
      <c r="I859" s="488"/>
      <c r="J859" s="488"/>
      <c r="K859" s="488"/>
      <c r="L859" s="488"/>
      <c r="M859" s="488"/>
      <c r="N859" s="488"/>
      <c r="O859" s="488"/>
      <c r="P859" s="488"/>
      <c r="Q859" s="488"/>
      <c r="R859" s="488"/>
      <c r="S859" s="488"/>
      <c r="T859" s="488"/>
      <c r="U859" s="488"/>
      <c r="V859" s="488"/>
      <c r="W859" s="488"/>
      <c r="X859" s="488"/>
      <c r="Y859" s="488"/>
      <c r="Z859" s="488"/>
      <c r="AA859" s="488"/>
      <c r="AB859" s="488"/>
      <c r="AC859" s="488"/>
      <c r="AD859" s="488"/>
      <c r="AE859" s="488"/>
      <c r="AF859" s="488"/>
      <c r="AG859" s="488"/>
      <c r="AH859" s="488"/>
      <c r="AI859" s="488"/>
      <c r="AJ859" s="488"/>
      <c r="AK859" s="488"/>
      <c r="AL859" s="488"/>
      <c r="AM859" s="488"/>
      <c r="AN859" s="488"/>
      <c r="AO859" s="488"/>
      <c r="AP859" s="488"/>
      <c r="AQ859" s="488"/>
      <c r="AR859" s="488"/>
      <c r="AS859" s="488"/>
      <c r="AT859" s="488"/>
      <c r="AU859" s="488"/>
      <c r="AV859" s="488"/>
      <c r="AW859" s="488"/>
      <c r="AX859" s="488"/>
      <c r="AY859" s="488"/>
      <c r="AZ859" s="488"/>
      <c r="BA859" s="488"/>
      <c r="BB859" s="488"/>
      <c r="BC859" s="488"/>
      <c r="BD859" s="488"/>
    </row>
    <row r="860" spans="3:56">
      <c r="C860" s="488"/>
      <c r="D860" s="488"/>
      <c r="E860" s="488"/>
      <c r="F860" s="488"/>
      <c r="G860" s="488"/>
      <c r="H860" s="488"/>
      <c r="I860" s="488"/>
      <c r="J860" s="488"/>
      <c r="K860" s="488"/>
      <c r="L860" s="488"/>
      <c r="M860" s="488"/>
      <c r="N860" s="488"/>
      <c r="O860" s="488"/>
      <c r="P860" s="488"/>
      <c r="Q860" s="488"/>
      <c r="R860" s="488"/>
      <c r="S860" s="488"/>
      <c r="T860" s="488"/>
      <c r="U860" s="488"/>
      <c r="V860" s="488"/>
      <c r="W860" s="488"/>
      <c r="X860" s="488"/>
      <c r="Y860" s="488"/>
      <c r="Z860" s="488"/>
      <c r="AA860" s="488"/>
      <c r="AB860" s="488"/>
      <c r="AC860" s="488"/>
      <c r="AD860" s="488"/>
      <c r="AE860" s="488"/>
      <c r="AF860" s="488"/>
      <c r="AG860" s="488"/>
      <c r="AH860" s="488"/>
      <c r="AI860" s="488"/>
      <c r="AJ860" s="488"/>
      <c r="AK860" s="488"/>
      <c r="AL860" s="488"/>
      <c r="AM860" s="488"/>
      <c r="AN860" s="488"/>
      <c r="AO860" s="488"/>
      <c r="AP860" s="488"/>
      <c r="AQ860" s="488"/>
      <c r="AR860" s="488"/>
      <c r="AS860" s="488"/>
      <c r="AT860" s="488"/>
      <c r="AU860" s="488"/>
      <c r="AV860" s="488"/>
      <c r="AW860" s="488"/>
      <c r="AX860" s="488"/>
      <c r="AY860" s="488"/>
      <c r="AZ860" s="488"/>
      <c r="BA860" s="488"/>
      <c r="BB860" s="488"/>
      <c r="BC860" s="488"/>
      <c r="BD860" s="488"/>
    </row>
    <row r="861" spans="3:56">
      <c r="C861" s="488"/>
      <c r="D861" s="488"/>
      <c r="E861" s="488"/>
      <c r="F861" s="488"/>
      <c r="G861" s="488"/>
      <c r="H861" s="488"/>
      <c r="I861" s="488"/>
      <c r="J861" s="488"/>
      <c r="K861" s="488"/>
      <c r="L861" s="488"/>
      <c r="M861" s="488"/>
      <c r="N861" s="488"/>
      <c r="O861" s="488"/>
      <c r="P861" s="488"/>
      <c r="Q861" s="488"/>
      <c r="R861" s="488"/>
      <c r="S861" s="488"/>
      <c r="T861" s="488"/>
      <c r="U861" s="488"/>
      <c r="V861" s="488"/>
      <c r="W861" s="488"/>
      <c r="X861" s="488"/>
      <c r="Y861" s="488"/>
      <c r="Z861" s="488"/>
      <c r="AA861" s="488"/>
      <c r="AB861" s="488"/>
      <c r="AC861" s="488"/>
      <c r="AD861" s="488"/>
      <c r="AE861" s="488"/>
      <c r="AF861" s="488"/>
      <c r="AG861" s="488"/>
      <c r="AH861" s="488"/>
      <c r="AI861" s="488"/>
      <c r="AJ861" s="488"/>
      <c r="AK861" s="488"/>
      <c r="AL861" s="488"/>
      <c r="AM861" s="488"/>
      <c r="AN861" s="488"/>
      <c r="AO861" s="488"/>
      <c r="AP861" s="488"/>
      <c r="AQ861" s="488"/>
      <c r="AR861" s="488"/>
      <c r="AS861" s="488"/>
      <c r="AT861" s="488"/>
      <c r="AU861" s="488"/>
      <c r="AV861" s="488"/>
      <c r="AW861" s="488"/>
      <c r="AX861" s="488"/>
      <c r="AY861" s="488"/>
      <c r="AZ861" s="488"/>
      <c r="BA861" s="488"/>
      <c r="BB861" s="488"/>
      <c r="BC861" s="488"/>
      <c r="BD861" s="488"/>
    </row>
    <row r="862" spans="3:56">
      <c r="C862" s="488"/>
      <c r="D862" s="488"/>
      <c r="E862" s="488"/>
      <c r="F862" s="488"/>
      <c r="G862" s="488"/>
      <c r="H862" s="488"/>
      <c r="I862" s="488"/>
      <c r="J862" s="488"/>
      <c r="K862" s="488"/>
      <c r="L862" s="488"/>
      <c r="M862" s="488"/>
      <c r="N862" s="488"/>
      <c r="O862" s="488"/>
      <c r="P862" s="488"/>
      <c r="Q862" s="488"/>
      <c r="R862" s="488"/>
      <c r="S862" s="488"/>
      <c r="T862" s="488"/>
      <c r="U862" s="488"/>
      <c r="V862" s="488"/>
      <c r="W862" s="488"/>
      <c r="X862" s="488"/>
      <c r="Y862" s="488"/>
      <c r="Z862" s="488"/>
      <c r="AA862" s="488"/>
      <c r="AB862" s="488"/>
      <c r="AC862" s="488"/>
      <c r="AD862" s="488"/>
      <c r="AE862" s="488"/>
      <c r="AF862" s="488"/>
      <c r="AG862" s="488"/>
      <c r="AH862" s="488"/>
      <c r="AI862" s="488"/>
      <c r="AJ862" s="488"/>
      <c r="AK862" s="488"/>
      <c r="AL862" s="488"/>
      <c r="AM862" s="488"/>
      <c r="AN862" s="488"/>
      <c r="AO862" s="488"/>
      <c r="AP862" s="488"/>
      <c r="AQ862" s="488"/>
      <c r="AR862" s="488"/>
      <c r="AS862" s="488"/>
      <c r="AT862" s="488"/>
      <c r="AU862" s="488"/>
      <c r="AV862" s="488"/>
      <c r="AW862" s="488"/>
      <c r="AX862" s="488"/>
      <c r="AY862" s="488"/>
      <c r="AZ862" s="488"/>
      <c r="BA862" s="488"/>
      <c r="BB862" s="488"/>
      <c r="BC862" s="488"/>
      <c r="BD862" s="488"/>
    </row>
    <row r="863" spans="3:56">
      <c r="C863" s="488"/>
      <c r="D863" s="488"/>
      <c r="E863" s="488"/>
      <c r="F863" s="488"/>
      <c r="G863" s="488"/>
      <c r="H863" s="488"/>
      <c r="I863" s="488"/>
      <c r="J863" s="488"/>
      <c r="K863" s="488"/>
      <c r="L863" s="488"/>
      <c r="M863" s="488"/>
      <c r="N863" s="488"/>
      <c r="O863" s="488"/>
      <c r="P863" s="488"/>
      <c r="Q863" s="488"/>
      <c r="R863" s="488"/>
      <c r="S863" s="488"/>
      <c r="T863" s="488"/>
      <c r="U863" s="488"/>
      <c r="V863" s="488"/>
      <c r="W863" s="488"/>
      <c r="X863" s="488"/>
      <c r="Y863" s="488"/>
      <c r="Z863" s="488"/>
      <c r="AA863" s="488"/>
      <c r="AB863" s="488"/>
      <c r="AC863" s="488"/>
      <c r="AD863" s="488"/>
      <c r="AE863" s="488"/>
      <c r="AF863" s="488"/>
      <c r="AG863" s="488"/>
      <c r="AH863" s="488"/>
      <c r="AI863" s="488"/>
      <c r="AJ863" s="488"/>
      <c r="AK863" s="488"/>
      <c r="AL863" s="488"/>
      <c r="AM863" s="488"/>
      <c r="AN863" s="488"/>
      <c r="AO863" s="488"/>
      <c r="AP863" s="488"/>
      <c r="AQ863" s="488"/>
      <c r="AR863" s="488"/>
      <c r="AS863" s="488"/>
      <c r="AT863" s="488"/>
      <c r="AU863" s="488"/>
      <c r="AV863" s="488"/>
      <c r="AW863" s="488"/>
      <c r="AX863" s="488"/>
      <c r="AY863" s="488"/>
      <c r="AZ863" s="488"/>
      <c r="BA863" s="488"/>
      <c r="BB863" s="488"/>
      <c r="BC863" s="488"/>
      <c r="BD863" s="488"/>
    </row>
    <row r="864" spans="3:56">
      <c r="C864" s="488"/>
      <c r="D864" s="488"/>
      <c r="E864" s="488"/>
      <c r="F864" s="488"/>
      <c r="G864" s="488"/>
      <c r="H864" s="488"/>
      <c r="I864" s="488"/>
      <c r="J864" s="488"/>
      <c r="K864" s="488"/>
      <c r="L864" s="488"/>
      <c r="M864" s="488"/>
      <c r="N864" s="488"/>
      <c r="O864" s="488"/>
      <c r="P864" s="488"/>
      <c r="Q864" s="488"/>
      <c r="R864" s="488"/>
      <c r="S864" s="488"/>
      <c r="T864" s="488"/>
      <c r="U864" s="488"/>
      <c r="V864" s="488"/>
      <c r="W864" s="488"/>
      <c r="X864" s="488"/>
      <c r="Y864" s="488"/>
      <c r="Z864" s="488"/>
      <c r="AA864" s="488"/>
      <c r="AB864" s="488"/>
      <c r="AC864" s="488"/>
      <c r="AD864" s="488"/>
      <c r="AE864" s="488"/>
      <c r="AF864" s="488"/>
      <c r="AG864" s="488"/>
      <c r="AH864" s="488"/>
      <c r="AI864" s="488"/>
      <c r="AJ864" s="488"/>
      <c r="AK864" s="488"/>
      <c r="AL864" s="488"/>
      <c r="AM864" s="488"/>
      <c r="AN864" s="488"/>
      <c r="AO864" s="488"/>
      <c r="AP864" s="488"/>
      <c r="AQ864" s="488"/>
      <c r="AR864" s="488"/>
      <c r="AS864" s="488"/>
      <c r="AT864" s="488"/>
      <c r="AU864" s="488"/>
      <c r="AV864" s="488"/>
      <c r="AW864" s="488"/>
      <c r="AX864" s="488"/>
      <c r="AY864" s="488"/>
      <c r="AZ864" s="488"/>
      <c r="BA864" s="488"/>
      <c r="BB864" s="488"/>
      <c r="BC864" s="488"/>
      <c r="BD864" s="488"/>
    </row>
    <row r="865" spans="3:56">
      <c r="C865" s="488"/>
      <c r="D865" s="488"/>
      <c r="E865" s="488"/>
      <c r="F865" s="488"/>
      <c r="G865" s="488"/>
      <c r="H865" s="488"/>
      <c r="I865" s="488"/>
      <c r="J865" s="488"/>
      <c r="K865" s="488"/>
      <c r="L865" s="488"/>
      <c r="M865" s="488"/>
      <c r="N865" s="488"/>
      <c r="O865" s="488"/>
      <c r="P865" s="488"/>
      <c r="Q865" s="488"/>
      <c r="R865" s="488"/>
      <c r="S865" s="488"/>
      <c r="T865" s="488"/>
      <c r="U865" s="488"/>
      <c r="V865" s="488"/>
      <c r="W865" s="488"/>
      <c r="X865" s="488"/>
      <c r="Y865" s="488"/>
      <c r="Z865" s="488"/>
      <c r="AA865" s="488"/>
      <c r="AB865" s="488"/>
      <c r="AC865" s="488"/>
      <c r="AD865" s="488"/>
      <c r="AE865" s="488"/>
      <c r="AF865" s="488"/>
      <c r="AG865" s="488"/>
      <c r="AH865" s="488"/>
      <c r="AI865" s="488"/>
      <c r="AJ865" s="488"/>
      <c r="AK865" s="488"/>
      <c r="AL865" s="488"/>
      <c r="AM865" s="488"/>
      <c r="AN865" s="488"/>
      <c r="AO865" s="488"/>
      <c r="AP865" s="488"/>
      <c r="AQ865" s="488"/>
      <c r="AR865" s="488"/>
      <c r="AS865" s="488"/>
      <c r="AT865" s="488"/>
      <c r="AU865" s="488"/>
      <c r="AV865" s="488"/>
      <c r="AW865" s="488"/>
      <c r="AX865" s="488"/>
      <c r="AY865" s="488"/>
      <c r="AZ865" s="488"/>
      <c r="BA865" s="488"/>
      <c r="BB865" s="488"/>
      <c r="BC865" s="488"/>
      <c r="BD865" s="488"/>
    </row>
    <row r="866" spans="3:56">
      <c r="C866" s="488"/>
      <c r="D866" s="488"/>
      <c r="E866" s="488"/>
      <c r="F866" s="488"/>
      <c r="G866" s="488"/>
      <c r="H866" s="488"/>
      <c r="I866" s="488"/>
      <c r="J866" s="488"/>
      <c r="K866" s="488"/>
      <c r="L866" s="488"/>
      <c r="M866" s="488"/>
      <c r="N866" s="488"/>
      <c r="O866" s="488"/>
      <c r="P866" s="488"/>
      <c r="Q866" s="488"/>
      <c r="R866" s="488"/>
      <c r="S866" s="488"/>
      <c r="T866" s="488"/>
      <c r="U866" s="488"/>
      <c r="V866" s="488"/>
      <c r="W866" s="488"/>
      <c r="X866" s="488"/>
      <c r="Y866" s="488"/>
      <c r="Z866" s="488"/>
      <c r="AA866" s="488"/>
      <c r="AB866" s="488"/>
      <c r="AC866" s="488"/>
      <c r="AD866" s="488"/>
      <c r="AE866" s="488"/>
      <c r="AF866" s="488"/>
      <c r="AG866" s="488"/>
      <c r="AH866" s="488"/>
      <c r="AI866" s="488"/>
      <c r="AJ866" s="488"/>
      <c r="AK866" s="488"/>
      <c r="AL866" s="488"/>
      <c r="AM866" s="488"/>
      <c r="AN866" s="488"/>
      <c r="AO866" s="488"/>
      <c r="AP866" s="488"/>
      <c r="AQ866" s="488"/>
      <c r="AR866" s="488"/>
      <c r="AS866" s="488"/>
      <c r="AT866" s="488"/>
      <c r="AU866" s="488"/>
      <c r="AV866" s="488"/>
      <c r="AW866" s="488"/>
      <c r="AX866" s="488"/>
      <c r="AY866" s="488"/>
      <c r="AZ866" s="488"/>
      <c r="BA866" s="488"/>
      <c r="BB866" s="488"/>
      <c r="BC866" s="488"/>
      <c r="BD866" s="488"/>
    </row>
    <row r="867" spans="3:56">
      <c r="C867" s="488"/>
      <c r="D867" s="488"/>
      <c r="E867" s="488"/>
      <c r="F867" s="488"/>
      <c r="G867" s="488"/>
      <c r="H867" s="488"/>
      <c r="I867" s="488"/>
      <c r="J867" s="488"/>
      <c r="K867" s="488"/>
      <c r="L867" s="488"/>
      <c r="M867" s="488"/>
      <c r="N867" s="488"/>
      <c r="O867" s="488"/>
      <c r="P867" s="488"/>
      <c r="Q867" s="488"/>
      <c r="R867" s="488"/>
      <c r="S867" s="488"/>
      <c r="T867" s="488"/>
      <c r="U867" s="488"/>
      <c r="V867" s="488"/>
      <c r="W867" s="488"/>
      <c r="X867" s="488"/>
      <c r="Y867" s="488"/>
      <c r="Z867" s="488"/>
      <c r="AA867" s="488"/>
      <c r="AB867" s="488"/>
      <c r="AC867" s="488"/>
      <c r="AD867" s="488"/>
      <c r="AE867" s="488"/>
      <c r="AF867" s="488"/>
      <c r="AG867" s="488"/>
      <c r="AH867" s="488"/>
      <c r="AI867" s="488"/>
      <c r="AJ867" s="488"/>
      <c r="AK867" s="488"/>
      <c r="AL867" s="488"/>
      <c r="AM867" s="488"/>
      <c r="AN867" s="488"/>
      <c r="AO867" s="488"/>
      <c r="AP867" s="488"/>
      <c r="AQ867" s="488"/>
      <c r="AR867" s="488"/>
      <c r="AS867" s="488"/>
      <c r="AT867" s="488"/>
      <c r="AU867" s="488"/>
      <c r="AV867" s="488"/>
      <c r="AW867" s="488"/>
      <c r="AX867" s="488"/>
      <c r="AY867" s="488"/>
      <c r="AZ867" s="488"/>
      <c r="BA867" s="488"/>
      <c r="BB867" s="488"/>
      <c r="BC867" s="488"/>
      <c r="BD867" s="488"/>
    </row>
    <row r="868" spans="3:56">
      <c r="C868" s="488"/>
      <c r="D868" s="488"/>
      <c r="E868" s="488"/>
      <c r="F868" s="488"/>
      <c r="G868" s="488"/>
      <c r="H868" s="488"/>
      <c r="I868" s="488"/>
      <c r="J868" s="488"/>
      <c r="K868" s="488"/>
      <c r="L868" s="488"/>
      <c r="M868" s="488"/>
      <c r="N868" s="488"/>
      <c r="O868" s="488"/>
      <c r="P868" s="488"/>
      <c r="Q868" s="488"/>
      <c r="R868" s="488"/>
      <c r="S868" s="488"/>
      <c r="T868" s="488"/>
      <c r="U868" s="488"/>
      <c r="V868" s="488"/>
      <c r="W868" s="488"/>
      <c r="X868" s="488"/>
      <c r="Y868" s="488"/>
      <c r="Z868" s="488"/>
      <c r="AA868" s="488"/>
      <c r="AB868" s="488"/>
      <c r="AC868" s="488"/>
      <c r="AD868" s="488"/>
      <c r="AE868" s="488"/>
      <c r="AF868" s="488"/>
      <c r="AG868" s="488"/>
      <c r="AH868" s="488"/>
      <c r="AI868" s="488"/>
      <c r="AJ868" s="488"/>
      <c r="AK868" s="488"/>
      <c r="AL868" s="488"/>
      <c r="AM868" s="488"/>
      <c r="AN868" s="488"/>
      <c r="AO868" s="488"/>
      <c r="AP868" s="488"/>
      <c r="AQ868" s="488"/>
      <c r="AR868" s="488"/>
      <c r="AS868" s="488"/>
      <c r="AT868" s="488"/>
      <c r="AU868" s="488"/>
      <c r="AV868" s="488"/>
      <c r="AW868" s="488"/>
      <c r="AX868" s="488"/>
      <c r="AY868" s="488"/>
      <c r="AZ868" s="488"/>
      <c r="BA868" s="488"/>
      <c r="BB868" s="488"/>
      <c r="BC868" s="488"/>
      <c r="BD868" s="488"/>
    </row>
    <row r="869" spans="3:56">
      <c r="C869" s="488"/>
      <c r="D869" s="488"/>
      <c r="E869" s="488"/>
      <c r="F869" s="488"/>
      <c r="G869" s="488"/>
      <c r="H869" s="488"/>
      <c r="I869" s="488"/>
      <c r="J869" s="488"/>
      <c r="K869" s="488"/>
      <c r="L869" s="488"/>
      <c r="M869" s="488"/>
      <c r="N869" s="488"/>
      <c r="O869" s="488"/>
      <c r="P869" s="488"/>
      <c r="Q869" s="488"/>
      <c r="R869" s="488"/>
      <c r="S869" s="488"/>
      <c r="T869" s="488"/>
      <c r="U869" s="488"/>
      <c r="V869" s="488"/>
      <c r="W869" s="488"/>
      <c r="X869" s="488"/>
      <c r="Y869" s="488"/>
      <c r="Z869" s="488"/>
      <c r="AA869" s="488"/>
      <c r="AB869" s="488"/>
      <c r="AC869" s="488"/>
      <c r="AD869" s="488"/>
      <c r="AE869" s="488"/>
      <c r="AF869" s="488"/>
      <c r="AG869" s="488"/>
      <c r="AH869" s="488"/>
      <c r="AI869" s="488"/>
      <c r="AJ869" s="488"/>
      <c r="AK869" s="488"/>
      <c r="AL869" s="488"/>
      <c r="AM869" s="488"/>
      <c r="AN869" s="488"/>
      <c r="AO869" s="488"/>
      <c r="AP869" s="488"/>
      <c r="AQ869" s="488"/>
      <c r="AR869" s="488"/>
      <c r="AS869" s="488"/>
      <c r="AT869" s="488"/>
      <c r="AU869" s="488"/>
      <c r="AV869" s="488"/>
      <c r="AW869" s="488"/>
      <c r="AX869" s="488"/>
      <c r="AY869" s="488"/>
      <c r="AZ869" s="488"/>
      <c r="BA869" s="488"/>
      <c r="BB869" s="488"/>
      <c r="BC869" s="488"/>
      <c r="BD869" s="488"/>
    </row>
    <row r="870" spans="3:56">
      <c r="C870" s="488"/>
      <c r="D870" s="488"/>
      <c r="E870" s="488"/>
      <c r="F870" s="488"/>
      <c r="G870" s="488"/>
      <c r="H870" s="488"/>
      <c r="I870" s="488"/>
      <c r="J870" s="488"/>
      <c r="K870" s="488"/>
      <c r="L870" s="488"/>
      <c r="M870" s="488"/>
      <c r="N870" s="488"/>
      <c r="O870" s="488"/>
      <c r="P870" s="488"/>
      <c r="Q870" s="488"/>
      <c r="R870" s="488"/>
      <c r="S870" s="488"/>
      <c r="T870" s="488"/>
      <c r="U870" s="488"/>
      <c r="V870" s="488"/>
      <c r="W870" s="488"/>
      <c r="X870" s="488"/>
      <c r="Y870" s="488"/>
      <c r="Z870" s="488"/>
      <c r="AA870" s="488"/>
      <c r="AB870" s="488"/>
      <c r="AC870" s="488"/>
      <c r="AD870" s="488"/>
      <c r="AE870" s="488"/>
      <c r="AF870" s="488"/>
      <c r="AG870" s="488"/>
      <c r="AH870" s="488"/>
      <c r="AI870" s="488"/>
      <c r="AJ870" s="488"/>
      <c r="AK870" s="488"/>
      <c r="AL870" s="488"/>
      <c r="AM870" s="488"/>
      <c r="AN870" s="488"/>
      <c r="AO870" s="488"/>
      <c r="AP870" s="488"/>
      <c r="AQ870" s="488"/>
      <c r="AR870" s="488"/>
      <c r="AS870" s="488"/>
      <c r="AT870" s="488"/>
      <c r="AU870" s="488"/>
      <c r="AV870" s="488"/>
      <c r="AW870" s="488"/>
      <c r="AX870" s="488"/>
      <c r="AY870" s="488"/>
      <c r="AZ870" s="488"/>
      <c r="BA870" s="488"/>
      <c r="BB870" s="488"/>
      <c r="BC870" s="488"/>
      <c r="BD870" s="488"/>
    </row>
    <row r="871" spans="3:56">
      <c r="C871" s="488"/>
      <c r="D871" s="488"/>
      <c r="E871" s="488"/>
      <c r="F871" s="488"/>
      <c r="G871" s="488"/>
      <c r="H871" s="488"/>
      <c r="I871" s="488"/>
      <c r="J871" s="488"/>
      <c r="K871" s="488"/>
      <c r="L871" s="488"/>
      <c r="M871" s="488"/>
      <c r="N871" s="488"/>
      <c r="O871" s="488"/>
      <c r="P871" s="488"/>
      <c r="Q871" s="488"/>
      <c r="R871" s="488"/>
      <c r="S871" s="488"/>
      <c r="T871" s="488"/>
      <c r="U871" s="488"/>
      <c r="V871" s="488"/>
      <c r="W871" s="488"/>
      <c r="X871" s="488"/>
      <c r="Y871" s="488"/>
      <c r="Z871" s="488"/>
      <c r="AA871" s="488"/>
      <c r="AB871" s="488"/>
      <c r="AC871" s="488"/>
      <c r="AD871" s="488"/>
      <c r="AE871" s="488"/>
      <c r="AF871" s="488"/>
      <c r="AG871" s="488"/>
      <c r="AH871" s="488"/>
      <c r="AI871" s="488"/>
      <c r="AJ871" s="488"/>
      <c r="AK871" s="488"/>
      <c r="AL871" s="488"/>
      <c r="AM871" s="488"/>
      <c r="AN871" s="488"/>
      <c r="AO871" s="488"/>
      <c r="AP871" s="488"/>
      <c r="AQ871" s="488"/>
      <c r="AR871" s="488"/>
      <c r="AS871" s="488"/>
      <c r="AT871" s="488"/>
      <c r="AU871" s="488"/>
      <c r="AV871" s="488"/>
      <c r="AW871" s="488"/>
      <c r="AX871" s="488"/>
      <c r="AY871" s="488"/>
      <c r="AZ871" s="488"/>
      <c r="BA871" s="488"/>
      <c r="BB871" s="488"/>
      <c r="BC871" s="488"/>
      <c r="BD871" s="488"/>
    </row>
    <row r="872" spans="3:56">
      <c r="C872" s="488"/>
      <c r="D872" s="488"/>
      <c r="E872" s="488"/>
      <c r="F872" s="488"/>
      <c r="G872" s="488"/>
      <c r="H872" s="488"/>
      <c r="I872" s="488"/>
      <c r="J872" s="488"/>
      <c r="K872" s="488"/>
      <c r="L872" s="488"/>
      <c r="M872" s="488"/>
      <c r="N872" s="488"/>
      <c r="O872" s="488"/>
      <c r="P872" s="488"/>
      <c r="Q872" s="488"/>
      <c r="R872" s="488"/>
      <c r="S872" s="488"/>
      <c r="T872" s="488"/>
      <c r="U872" s="488"/>
      <c r="V872" s="488"/>
      <c r="W872" s="488"/>
      <c r="X872" s="488"/>
      <c r="Y872" s="488"/>
      <c r="Z872" s="488"/>
      <c r="AA872" s="488"/>
      <c r="AB872" s="488"/>
      <c r="AC872" s="488"/>
      <c r="AD872" s="488"/>
      <c r="AE872" s="488"/>
      <c r="AF872" s="488"/>
      <c r="AG872" s="488"/>
      <c r="AH872" s="488"/>
      <c r="AI872" s="488"/>
      <c r="AJ872" s="488"/>
      <c r="AK872" s="488"/>
      <c r="AL872" s="488"/>
      <c r="AM872" s="488"/>
      <c r="AN872" s="488"/>
      <c r="AO872" s="488"/>
      <c r="AP872" s="488"/>
      <c r="AQ872" s="488"/>
      <c r="AR872" s="488"/>
      <c r="AS872" s="488"/>
      <c r="AT872" s="488"/>
      <c r="AU872" s="488"/>
      <c r="AV872" s="488"/>
      <c r="AW872" s="488"/>
      <c r="AX872" s="488"/>
      <c r="AY872" s="488"/>
      <c r="AZ872" s="488"/>
      <c r="BA872" s="488"/>
      <c r="BB872" s="488"/>
      <c r="BC872" s="488"/>
      <c r="BD872" s="488"/>
    </row>
    <row r="873" spans="3:56">
      <c r="C873" s="488"/>
      <c r="D873" s="488"/>
      <c r="E873" s="488"/>
      <c r="F873" s="488"/>
      <c r="G873" s="488"/>
      <c r="H873" s="488"/>
      <c r="I873" s="488"/>
      <c r="J873" s="488"/>
      <c r="K873" s="488"/>
      <c r="L873" s="488"/>
      <c r="M873" s="488"/>
      <c r="N873" s="488"/>
      <c r="O873" s="488"/>
      <c r="P873" s="488"/>
      <c r="Q873" s="488"/>
      <c r="R873" s="488"/>
      <c r="S873" s="488"/>
      <c r="T873" s="488"/>
      <c r="U873" s="488"/>
      <c r="V873" s="488"/>
      <c r="W873" s="488"/>
      <c r="X873" s="488"/>
      <c r="Y873" s="488"/>
      <c r="Z873" s="488"/>
      <c r="AA873" s="488"/>
      <c r="AB873" s="488"/>
      <c r="AC873" s="488"/>
      <c r="AD873" s="488"/>
      <c r="AE873" s="488"/>
      <c r="AF873" s="488"/>
      <c r="AG873" s="488"/>
      <c r="AH873" s="488"/>
      <c r="AI873" s="488"/>
      <c r="AJ873" s="488"/>
      <c r="AK873" s="488"/>
      <c r="AL873" s="488"/>
      <c r="AM873" s="488"/>
      <c r="AN873" s="488"/>
      <c r="AO873" s="488"/>
      <c r="AP873" s="488"/>
      <c r="AQ873" s="488"/>
      <c r="AR873" s="488"/>
      <c r="AS873" s="488"/>
      <c r="AT873" s="488"/>
      <c r="AU873" s="488"/>
      <c r="AV873" s="488"/>
      <c r="AW873" s="488"/>
      <c r="AX873" s="488"/>
      <c r="AY873" s="488"/>
      <c r="AZ873" s="488"/>
      <c r="BA873" s="488"/>
      <c r="BB873" s="488"/>
      <c r="BC873" s="488"/>
      <c r="BD873" s="488"/>
    </row>
    <row r="874" spans="3:56">
      <c r="C874" s="488"/>
      <c r="D874" s="488"/>
      <c r="E874" s="488"/>
      <c r="F874" s="488"/>
      <c r="G874" s="488"/>
      <c r="H874" s="488"/>
      <c r="I874" s="488"/>
      <c r="J874" s="488"/>
      <c r="K874" s="488"/>
      <c r="L874" s="488"/>
      <c r="M874" s="488"/>
      <c r="N874" s="488"/>
      <c r="O874" s="488"/>
      <c r="P874" s="488"/>
      <c r="Q874" s="488"/>
      <c r="R874" s="488"/>
      <c r="S874" s="488"/>
      <c r="T874" s="488"/>
      <c r="U874" s="488"/>
      <c r="V874" s="488"/>
      <c r="W874" s="488"/>
      <c r="X874" s="488"/>
      <c r="Y874" s="488"/>
      <c r="Z874" s="488"/>
      <c r="AA874" s="488"/>
      <c r="AB874" s="488"/>
      <c r="AC874" s="488"/>
      <c r="AD874" s="488"/>
      <c r="AE874" s="488"/>
      <c r="AF874" s="488"/>
      <c r="AG874" s="488"/>
      <c r="AH874" s="488"/>
      <c r="AI874" s="488"/>
      <c r="AJ874" s="488"/>
      <c r="AK874" s="488"/>
      <c r="AL874" s="488"/>
      <c r="AM874" s="488"/>
      <c r="AN874" s="488"/>
      <c r="AO874" s="488"/>
      <c r="AP874" s="488"/>
      <c r="AQ874" s="488"/>
      <c r="AR874" s="488"/>
      <c r="AS874" s="488"/>
      <c r="AT874" s="488"/>
      <c r="AU874" s="488"/>
      <c r="AV874" s="488"/>
      <c r="AW874" s="488"/>
      <c r="AX874" s="488"/>
      <c r="AY874" s="488"/>
      <c r="AZ874" s="488"/>
      <c r="BA874" s="488"/>
      <c r="BB874" s="488"/>
      <c r="BC874" s="488"/>
      <c r="BD874" s="488"/>
    </row>
    <row r="875" spans="3:56">
      <c r="C875" s="488"/>
      <c r="D875" s="488"/>
      <c r="E875" s="488"/>
      <c r="F875" s="488"/>
      <c r="G875" s="488"/>
      <c r="H875" s="488"/>
      <c r="I875" s="488"/>
      <c r="J875" s="488"/>
      <c r="K875" s="488"/>
      <c r="L875" s="488"/>
      <c r="M875" s="488"/>
      <c r="N875" s="488"/>
      <c r="O875" s="488"/>
      <c r="P875" s="488"/>
      <c r="Q875" s="488"/>
      <c r="R875" s="488"/>
      <c r="S875" s="488"/>
      <c r="T875" s="488"/>
      <c r="U875" s="488"/>
      <c r="V875" s="488"/>
      <c r="W875" s="488"/>
      <c r="X875" s="488"/>
      <c r="Y875" s="488"/>
      <c r="Z875" s="488"/>
      <c r="AA875" s="488"/>
      <c r="AB875" s="488"/>
      <c r="AC875" s="488"/>
      <c r="AD875" s="488"/>
      <c r="AE875" s="488"/>
      <c r="AF875" s="488"/>
      <c r="AG875" s="488"/>
      <c r="AH875" s="488"/>
      <c r="AI875" s="488"/>
      <c r="AJ875" s="488"/>
      <c r="AK875" s="488"/>
      <c r="AL875" s="488"/>
      <c r="AM875" s="488"/>
      <c r="AN875" s="488"/>
      <c r="AO875" s="488"/>
      <c r="AP875" s="488"/>
      <c r="AQ875" s="488"/>
      <c r="AR875" s="488"/>
      <c r="AS875" s="488"/>
      <c r="AT875" s="488"/>
      <c r="AU875" s="488"/>
      <c r="AV875" s="488"/>
      <c r="AW875" s="488"/>
      <c r="AX875" s="488"/>
      <c r="AY875" s="488"/>
      <c r="AZ875" s="488"/>
      <c r="BA875" s="488"/>
      <c r="BB875" s="488"/>
      <c r="BC875" s="488"/>
      <c r="BD875" s="488"/>
    </row>
    <row r="876" spans="3:56">
      <c r="C876" s="488"/>
      <c r="D876" s="488"/>
      <c r="E876" s="488"/>
      <c r="F876" s="488"/>
      <c r="G876" s="488"/>
      <c r="H876" s="488"/>
      <c r="I876" s="488"/>
      <c r="J876" s="488"/>
      <c r="K876" s="488"/>
      <c r="L876" s="488"/>
      <c r="M876" s="488"/>
      <c r="N876" s="488"/>
      <c r="O876" s="488"/>
      <c r="P876" s="488"/>
      <c r="Q876" s="488"/>
      <c r="R876" s="488"/>
      <c r="S876" s="488"/>
      <c r="T876" s="488"/>
      <c r="U876" s="488"/>
      <c r="V876" s="488"/>
      <c r="W876" s="488"/>
      <c r="X876" s="488"/>
      <c r="Y876" s="488"/>
      <c r="Z876" s="488"/>
      <c r="AA876" s="488"/>
      <c r="AB876" s="488"/>
      <c r="AC876" s="488"/>
      <c r="AD876" s="488"/>
      <c r="AE876" s="488"/>
      <c r="AF876" s="488"/>
      <c r="AG876" s="488"/>
      <c r="AH876" s="488"/>
      <c r="AI876" s="488"/>
      <c r="AJ876" s="488"/>
      <c r="AK876" s="488"/>
      <c r="AL876" s="488"/>
      <c r="AM876" s="488"/>
      <c r="AN876" s="488"/>
      <c r="AO876" s="488"/>
      <c r="AP876" s="488"/>
      <c r="AQ876" s="488"/>
      <c r="AR876" s="488"/>
      <c r="AS876" s="488"/>
      <c r="AT876" s="488"/>
      <c r="AU876" s="488"/>
      <c r="AV876" s="488"/>
      <c r="AW876" s="488"/>
      <c r="AX876" s="488"/>
      <c r="AY876" s="488"/>
      <c r="AZ876" s="488"/>
      <c r="BA876" s="488"/>
      <c r="BB876" s="488"/>
      <c r="BC876" s="488"/>
      <c r="BD876" s="488"/>
    </row>
    <row r="877" spans="3:56">
      <c r="C877" s="488"/>
      <c r="D877" s="488"/>
      <c r="E877" s="488"/>
      <c r="F877" s="488"/>
      <c r="G877" s="488"/>
      <c r="H877" s="488"/>
      <c r="I877" s="488"/>
      <c r="J877" s="488"/>
      <c r="K877" s="488"/>
      <c r="L877" s="488"/>
      <c r="M877" s="488"/>
      <c r="N877" s="488"/>
      <c r="O877" s="488"/>
      <c r="P877" s="488"/>
      <c r="Q877" s="488"/>
      <c r="R877" s="488"/>
      <c r="S877" s="488"/>
      <c r="T877" s="488"/>
      <c r="U877" s="488"/>
      <c r="V877" s="488"/>
      <c r="W877" s="488"/>
      <c r="X877" s="488"/>
      <c r="Y877" s="488"/>
      <c r="Z877" s="488"/>
      <c r="AA877" s="488"/>
      <c r="AB877" s="488"/>
      <c r="AC877" s="488"/>
      <c r="AD877" s="488"/>
      <c r="AE877" s="488"/>
      <c r="AF877" s="488"/>
      <c r="AG877" s="488"/>
      <c r="AH877" s="488"/>
      <c r="AI877" s="488"/>
      <c r="AJ877" s="488"/>
      <c r="AK877" s="488"/>
      <c r="AL877" s="488"/>
      <c r="AM877" s="488"/>
      <c r="AN877" s="488"/>
      <c r="AO877" s="488"/>
      <c r="AP877" s="488"/>
      <c r="AQ877" s="488"/>
      <c r="AR877" s="488"/>
      <c r="AS877" s="488"/>
      <c r="AT877" s="488"/>
      <c r="AU877" s="488"/>
      <c r="AV877" s="488"/>
      <c r="AW877" s="488"/>
      <c r="AX877" s="488"/>
      <c r="AY877" s="488"/>
      <c r="AZ877" s="488"/>
      <c r="BA877" s="488"/>
      <c r="BB877" s="488"/>
      <c r="BC877" s="488"/>
      <c r="BD877" s="488"/>
    </row>
    <row r="878" spans="3:56">
      <c r="C878" s="488"/>
      <c r="D878" s="488"/>
      <c r="E878" s="488"/>
      <c r="F878" s="488"/>
      <c r="G878" s="488"/>
      <c r="H878" s="488"/>
      <c r="I878" s="488"/>
      <c r="J878" s="488"/>
      <c r="K878" s="488"/>
      <c r="L878" s="488"/>
      <c r="M878" s="488"/>
      <c r="N878" s="488"/>
      <c r="O878" s="488"/>
      <c r="P878" s="488"/>
      <c r="Q878" s="488"/>
      <c r="R878" s="488"/>
      <c r="S878" s="488"/>
      <c r="T878" s="488"/>
      <c r="U878" s="488"/>
      <c r="V878" s="488"/>
      <c r="W878" s="488"/>
      <c r="X878" s="488"/>
      <c r="Y878" s="488"/>
      <c r="Z878" s="488"/>
      <c r="AA878" s="488"/>
      <c r="AB878" s="488"/>
      <c r="AC878" s="488"/>
      <c r="AD878" s="488"/>
      <c r="AE878" s="488"/>
      <c r="AF878" s="488"/>
      <c r="AG878" s="488"/>
      <c r="AH878" s="488"/>
      <c r="AI878" s="488"/>
      <c r="AJ878" s="488"/>
      <c r="AK878" s="488"/>
      <c r="AL878" s="488"/>
      <c r="AM878" s="488"/>
      <c r="AN878" s="488"/>
      <c r="AO878" s="488"/>
      <c r="AP878" s="488"/>
      <c r="AQ878" s="488"/>
      <c r="AR878" s="488"/>
      <c r="AS878" s="488"/>
      <c r="AT878" s="488"/>
      <c r="AU878" s="488"/>
      <c r="AV878" s="488"/>
      <c r="AW878" s="488"/>
      <c r="AX878" s="488"/>
      <c r="AY878" s="488"/>
      <c r="AZ878" s="488"/>
      <c r="BA878" s="488"/>
      <c r="BB878" s="488"/>
      <c r="BC878" s="488"/>
      <c r="BD878" s="488"/>
    </row>
    <row r="879" spans="3:56">
      <c r="C879" s="488"/>
      <c r="D879" s="488"/>
      <c r="E879" s="488"/>
      <c r="F879" s="488"/>
      <c r="G879" s="488"/>
      <c r="H879" s="488"/>
      <c r="I879" s="488"/>
      <c r="J879" s="488"/>
      <c r="K879" s="488"/>
      <c r="L879" s="488"/>
      <c r="M879" s="488"/>
      <c r="N879" s="488"/>
      <c r="O879" s="488"/>
      <c r="P879" s="488"/>
      <c r="Q879" s="488"/>
      <c r="R879" s="488"/>
      <c r="S879" s="488"/>
      <c r="T879" s="488"/>
      <c r="U879" s="488"/>
      <c r="V879" s="488"/>
      <c r="W879" s="488"/>
      <c r="X879" s="488"/>
      <c r="Y879" s="488"/>
      <c r="Z879" s="488"/>
      <c r="AA879" s="488"/>
      <c r="AB879" s="488"/>
      <c r="AC879" s="488"/>
      <c r="AD879" s="488"/>
      <c r="AE879" s="488"/>
      <c r="AF879" s="488"/>
      <c r="AG879" s="488"/>
      <c r="AH879" s="488"/>
      <c r="AI879" s="488"/>
      <c r="AJ879" s="488"/>
      <c r="AK879" s="488"/>
      <c r="AL879" s="488"/>
      <c r="AM879" s="488"/>
      <c r="AN879" s="488"/>
      <c r="AO879" s="488"/>
      <c r="AP879" s="488"/>
      <c r="AQ879" s="488"/>
      <c r="AR879" s="488"/>
      <c r="AS879" s="488"/>
      <c r="AT879" s="488"/>
      <c r="AU879" s="488"/>
      <c r="AV879" s="488"/>
      <c r="AW879" s="488"/>
      <c r="AX879" s="488"/>
      <c r="AY879" s="488"/>
      <c r="AZ879" s="488"/>
      <c r="BA879" s="488"/>
      <c r="BB879" s="488"/>
      <c r="BC879" s="488"/>
      <c r="BD879" s="488"/>
    </row>
    <row r="880" spans="3:56">
      <c r="C880" s="488"/>
      <c r="D880" s="488"/>
      <c r="E880" s="488"/>
      <c r="F880" s="488"/>
      <c r="G880" s="488"/>
      <c r="H880" s="488"/>
      <c r="I880" s="488"/>
      <c r="J880" s="488"/>
      <c r="K880" s="488"/>
      <c r="L880" s="488"/>
      <c r="M880" s="488"/>
      <c r="N880" s="488"/>
      <c r="O880" s="488"/>
      <c r="P880" s="488"/>
      <c r="Q880" s="488"/>
      <c r="R880" s="488"/>
      <c r="S880" s="488"/>
      <c r="T880" s="488"/>
      <c r="U880" s="488"/>
      <c r="V880" s="488"/>
      <c r="W880" s="488"/>
      <c r="X880" s="488"/>
      <c r="Y880" s="488"/>
      <c r="Z880" s="488"/>
      <c r="AA880" s="488"/>
      <c r="AB880" s="488"/>
      <c r="AC880" s="488"/>
      <c r="AD880" s="488"/>
      <c r="AE880" s="488"/>
      <c r="AF880" s="488"/>
      <c r="AG880" s="488"/>
      <c r="AH880" s="488"/>
      <c r="AI880" s="488"/>
      <c r="AJ880" s="488"/>
      <c r="AK880" s="488"/>
      <c r="AL880" s="488"/>
      <c r="AM880" s="488"/>
      <c r="AN880" s="488"/>
      <c r="AO880" s="488"/>
      <c r="AP880" s="488"/>
      <c r="AQ880" s="488"/>
      <c r="AR880" s="488"/>
      <c r="AS880" s="488"/>
      <c r="AT880" s="488"/>
      <c r="AU880" s="488"/>
      <c r="AV880" s="488"/>
      <c r="AW880" s="488"/>
      <c r="AX880" s="488"/>
      <c r="AY880" s="488"/>
      <c r="AZ880" s="488"/>
      <c r="BA880" s="488"/>
      <c r="BB880" s="488"/>
      <c r="BC880" s="488"/>
      <c r="BD880" s="488"/>
    </row>
    <row r="881" spans="3:56">
      <c r="C881" s="488"/>
      <c r="D881" s="488"/>
      <c r="E881" s="488"/>
      <c r="F881" s="488"/>
      <c r="G881" s="488"/>
      <c r="H881" s="488"/>
      <c r="I881" s="488"/>
      <c r="J881" s="488"/>
      <c r="K881" s="488"/>
      <c r="L881" s="488"/>
      <c r="M881" s="488"/>
      <c r="N881" s="488"/>
      <c r="O881" s="488"/>
      <c r="P881" s="488"/>
      <c r="Q881" s="488"/>
      <c r="R881" s="488"/>
      <c r="S881" s="488"/>
      <c r="T881" s="488"/>
      <c r="U881" s="488"/>
      <c r="V881" s="488"/>
      <c r="W881" s="488"/>
      <c r="X881" s="488"/>
      <c r="Y881" s="488"/>
      <c r="Z881" s="488"/>
      <c r="AA881" s="488"/>
      <c r="AB881" s="488"/>
      <c r="AC881" s="488"/>
      <c r="AD881" s="488"/>
      <c r="AE881" s="488"/>
      <c r="AF881" s="488"/>
      <c r="AG881" s="488"/>
      <c r="AH881" s="488"/>
      <c r="AI881" s="488"/>
      <c r="AJ881" s="488"/>
      <c r="AK881" s="488"/>
      <c r="AL881" s="488"/>
      <c r="AM881" s="488"/>
      <c r="AN881" s="488"/>
      <c r="AO881" s="488"/>
      <c r="AP881" s="488"/>
      <c r="AQ881" s="488"/>
      <c r="AR881" s="488"/>
      <c r="AS881" s="488"/>
      <c r="AT881" s="488"/>
      <c r="AU881" s="488"/>
      <c r="AV881" s="488"/>
      <c r="AW881" s="488"/>
      <c r="AX881" s="488"/>
      <c r="AY881" s="488"/>
      <c r="AZ881" s="488"/>
      <c r="BA881" s="488"/>
      <c r="BB881" s="488"/>
      <c r="BC881" s="488"/>
      <c r="BD881" s="488"/>
    </row>
    <row r="882" spans="3:56">
      <c r="C882" s="488"/>
      <c r="D882" s="488"/>
      <c r="E882" s="488"/>
      <c r="F882" s="488"/>
      <c r="G882" s="488"/>
      <c r="H882" s="488"/>
      <c r="I882" s="488"/>
      <c r="J882" s="488"/>
      <c r="K882" s="488"/>
      <c r="L882" s="488"/>
      <c r="M882" s="488"/>
      <c r="N882" s="488"/>
      <c r="O882" s="488"/>
      <c r="P882" s="488"/>
      <c r="Q882" s="488"/>
      <c r="R882" s="488"/>
      <c r="S882" s="488"/>
      <c r="T882" s="488"/>
      <c r="U882" s="488"/>
      <c r="V882" s="488"/>
      <c r="W882" s="488"/>
      <c r="X882" s="488"/>
      <c r="Y882" s="488"/>
      <c r="Z882" s="488"/>
      <c r="AA882" s="488"/>
      <c r="AB882" s="488"/>
      <c r="AC882" s="488"/>
      <c r="AD882" s="488"/>
      <c r="AE882" s="488"/>
      <c r="AF882" s="488"/>
      <c r="AG882" s="488"/>
      <c r="AH882" s="488"/>
      <c r="AI882" s="488"/>
      <c r="AJ882" s="488"/>
      <c r="AK882" s="488"/>
      <c r="AL882" s="488"/>
      <c r="AM882" s="488"/>
      <c r="AN882" s="488"/>
      <c r="AO882" s="488"/>
      <c r="AP882" s="488"/>
      <c r="AQ882" s="488"/>
      <c r="AR882" s="488"/>
      <c r="AS882" s="488"/>
      <c r="AT882" s="488"/>
      <c r="AU882" s="488"/>
      <c r="AV882" s="488"/>
      <c r="AW882" s="488"/>
      <c r="AX882" s="488"/>
      <c r="AY882" s="488"/>
      <c r="AZ882" s="488"/>
      <c r="BA882" s="488"/>
      <c r="BB882" s="488"/>
      <c r="BC882" s="488"/>
      <c r="BD882" s="488"/>
    </row>
    <row r="883" spans="3:56">
      <c r="C883" s="488"/>
      <c r="D883" s="488"/>
      <c r="E883" s="488"/>
      <c r="F883" s="488"/>
      <c r="G883" s="488"/>
      <c r="H883" s="488"/>
      <c r="I883" s="488"/>
      <c r="J883" s="488"/>
      <c r="K883" s="488"/>
      <c r="L883" s="488"/>
      <c r="M883" s="488"/>
      <c r="N883" s="488"/>
      <c r="O883" s="488"/>
      <c r="P883" s="488"/>
      <c r="Q883" s="488"/>
      <c r="R883" s="488"/>
      <c r="S883" s="488"/>
      <c r="T883" s="488"/>
      <c r="U883" s="488"/>
      <c r="V883" s="488"/>
      <c r="W883" s="488"/>
      <c r="X883" s="488"/>
      <c r="Y883" s="488"/>
      <c r="Z883" s="488"/>
      <c r="AA883" s="488"/>
      <c r="AB883" s="488"/>
      <c r="AC883" s="488"/>
      <c r="AD883" s="488"/>
      <c r="AE883" s="488"/>
      <c r="AF883" s="488"/>
      <c r="AG883" s="488"/>
      <c r="AH883" s="488"/>
      <c r="AI883" s="488"/>
      <c r="AJ883" s="488"/>
      <c r="AK883" s="488"/>
      <c r="AL883" s="488"/>
      <c r="AM883" s="488"/>
      <c r="AN883" s="488"/>
      <c r="AO883" s="488"/>
      <c r="AP883" s="488"/>
      <c r="AQ883" s="488"/>
      <c r="AR883" s="488"/>
      <c r="AS883" s="488"/>
      <c r="AT883" s="488"/>
      <c r="AU883" s="488"/>
      <c r="AV883" s="488"/>
      <c r="AW883" s="488"/>
      <c r="AX883" s="488"/>
      <c r="AY883" s="488"/>
      <c r="AZ883" s="488"/>
      <c r="BA883" s="488"/>
      <c r="BB883" s="488"/>
      <c r="BC883" s="488"/>
      <c r="BD883" s="488"/>
    </row>
    <row r="884" spans="3:56">
      <c r="C884" s="488"/>
      <c r="D884" s="488"/>
      <c r="E884" s="488"/>
      <c r="F884" s="488"/>
      <c r="G884" s="488"/>
      <c r="H884" s="488"/>
      <c r="I884" s="488"/>
      <c r="J884" s="488"/>
      <c r="K884" s="488"/>
      <c r="L884" s="488"/>
      <c r="M884" s="488"/>
      <c r="N884" s="488"/>
      <c r="O884" s="488"/>
      <c r="P884" s="488"/>
      <c r="Q884" s="488"/>
      <c r="R884" s="488"/>
      <c r="S884" s="488"/>
      <c r="T884" s="488"/>
      <c r="U884" s="488"/>
      <c r="V884" s="488"/>
      <c r="W884" s="488"/>
      <c r="X884" s="488"/>
      <c r="Y884" s="488"/>
      <c r="Z884" s="488"/>
      <c r="AA884" s="488"/>
      <c r="AB884" s="488"/>
      <c r="AC884" s="488"/>
      <c r="AD884" s="488"/>
      <c r="AE884" s="488"/>
      <c r="AF884" s="488"/>
      <c r="AG884" s="488"/>
      <c r="AH884" s="488"/>
      <c r="AI884" s="488"/>
      <c r="AJ884" s="488"/>
      <c r="AK884" s="488"/>
      <c r="AL884" s="488"/>
      <c r="AM884" s="488"/>
      <c r="AN884" s="488"/>
      <c r="AO884" s="488"/>
      <c r="AP884" s="488"/>
      <c r="AQ884" s="488"/>
      <c r="AR884" s="488"/>
      <c r="AS884" s="488"/>
      <c r="AT884" s="488"/>
      <c r="AU884" s="488"/>
      <c r="AV884" s="488"/>
      <c r="AW884" s="488"/>
      <c r="AX884" s="488"/>
      <c r="AY884" s="488"/>
      <c r="AZ884" s="488"/>
      <c r="BA884" s="488"/>
      <c r="BB884" s="488"/>
      <c r="BC884" s="488"/>
      <c r="BD884" s="488"/>
    </row>
    <row r="885" spans="3:56">
      <c r="C885" s="488"/>
      <c r="D885" s="488"/>
      <c r="E885" s="488"/>
      <c r="F885" s="488"/>
      <c r="G885" s="488"/>
      <c r="H885" s="488"/>
      <c r="I885" s="488"/>
      <c r="J885" s="488"/>
      <c r="K885" s="488"/>
      <c r="L885" s="488"/>
      <c r="M885" s="488"/>
      <c r="N885" s="488"/>
      <c r="O885" s="488"/>
      <c r="P885" s="488"/>
      <c r="Q885" s="488"/>
      <c r="R885" s="488"/>
      <c r="S885" s="488"/>
      <c r="T885" s="488"/>
      <c r="U885" s="488"/>
      <c r="V885" s="488"/>
      <c r="W885" s="488"/>
      <c r="X885" s="488"/>
      <c r="Y885" s="488"/>
      <c r="Z885" s="488"/>
      <c r="AA885" s="488"/>
      <c r="AB885" s="488"/>
      <c r="AC885" s="488"/>
      <c r="AD885" s="488"/>
      <c r="AE885" s="488"/>
      <c r="AF885" s="488"/>
      <c r="AG885" s="488"/>
      <c r="AH885" s="488"/>
      <c r="AI885" s="488"/>
      <c r="AJ885" s="488"/>
      <c r="AK885" s="488"/>
      <c r="AL885" s="488"/>
      <c r="AM885" s="488"/>
      <c r="AN885" s="488"/>
      <c r="AO885" s="488"/>
      <c r="AP885" s="488"/>
      <c r="AQ885" s="488"/>
      <c r="AR885" s="488"/>
      <c r="AS885" s="488"/>
      <c r="AT885" s="488"/>
      <c r="AU885" s="488"/>
      <c r="AV885" s="488"/>
      <c r="AW885" s="488"/>
      <c r="AX885" s="488"/>
      <c r="AY885" s="488"/>
      <c r="AZ885" s="488"/>
      <c r="BA885" s="488"/>
      <c r="BB885" s="488"/>
      <c r="BC885" s="488"/>
      <c r="BD885" s="488"/>
    </row>
    <row r="886" spans="3:56">
      <c r="C886" s="488"/>
      <c r="D886" s="488"/>
      <c r="E886" s="488"/>
      <c r="F886" s="488"/>
      <c r="G886" s="488"/>
      <c r="H886" s="488"/>
      <c r="I886" s="488"/>
      <c r="J886" s="488"/>
      <c r="K886" s="488"/>
      <c r="L886" s="488"/>
      <c r="M886" s="488"/>
      <c r="N886" s="488"/>
      <c r="O886" s="488"/>
      <c r="P886" s="488"/>
      <c r="Q886" s="488"/>
      <c r="R886" s="488"/>
      <c r="S886" s="488"/>
      <c r="T886" s="488"/>
      <c r="U886" s="488"/>
      <c r="V886" s="488"/>
      <c r="W886" s="488"/>
      <c r="X886" s="488"/>
      <c r="Y886" s="488"/>
      <c r="Z886" s="488"/>
      <c r="AA886" s="488"/>
      <c r="AB886" s="488"/>
      <c r="AC886" s="488"/>
      <c r="AD886" s="488"/>
      <c r="AE886" s="488"/>
      <c r="AF886" s="488"/>
      <c r="AG886" s="488"/>
      <c r="AH886" s="488"/>
      <c r="AI886" s="488"/>
      <c r="AJ886" s="488"/>
      <c r="AK886" s="488"/>
      <c r="AL886" s="488"/>
      <c r="AM886" s="488"/>
      <c r="AN886" s="488"/>
      <c r="AO886" s="488"/>
      <c r="AP886" s="488"/>
      <c r="AQ886" s="488"/>
      <c r="AR886" s="488"/>
      <c r="AS886" s="488"/>
      <c r="AT886" s="488"/>
      <c r="AU886" s="488"/>
      <c r="AV886" s="488"/>
      <c r="AW886" s="488"/>
      <c r="AX886" s="488"/>
      <c r="AY886" s="488"/>
      <c r="AZ886" s="488"/>
      <c r="BA886" s="488"/>
      <c r="BB886" s="488"/>
      <c r="BC886" s="488"/>
      <c r="BD886" s="488"/>
    </row>
    <row r="887" spans="3:56">
      <c r="C887" s="488"/>
      <c r="D887" s="488"/>
      <c r="E887" s="488"/>
      <c r="F887" s="488"/>
      <c r="G887" s="488"/>
      <c r="H887" s="488"/>
      <c r="I887" s="488"/>
      <c r="J887" s="488"/>
      <c r="K887" s="488"/>
      <c r="L887" s="488"/>
      <c r="M887" s="488"/>
      <c r="N887" s="488"/>
      <c r="O887" s="488"/>
      <c r="P887" s="488"/>
      <c r="Q887" s="488"/>
      <c r="R887" s="488"/>
      <c r="S887" s="488"/>
      <c r="T887" s="488"/>
      <c r="U887" s="488"/>
      <c r="V887" s="488"/>
      <c r="W887" s="488"/>
      <c r="X887" s="488"/>
      <c r="Y887" s="488"/>
      <c r="Z887" s="488"/>
      <c r="AA887" s="488"/>
      <c r="AB887" s="488"/>
      <c r="AC887" s="488"/>
      <c r="AD887" s="488"/>
      <c r="AE887" s="488"/>
      <c r="AF887" s="488"/>
      <c r="AG887" s="488"/>
      <c r="AH887" s="488"/>
      <c r="AI887" s="488"/>
      <c r="AJ887" s="488"/>
      <c r="AK887" s="488"/>
      <c r="AL887" s="488"/>
      <c r="AM887" s="488"/>
      <c r="AN887" s="488"/>
      <c r="AO887" s="488"/>
      <c r="AP887" s="488"/>
      <c r="AQ887" s="488"/>
      <c r="AR887" s="488"/>
      <c r="AS887" s="488"/>
      <c r="AT887" s="488"/>
      <c r="AU887" s="488"/>
      <c r="AV887" s="488"/>
      <c r="AW887" s="488"/>
      <c r="AX887" s="488"/>
      <c r="AY887" s="488"/>
      <c r="AZ887" s="488"/>
      <c r="BA887" s="488"/>
      <c r="BB887" s="488"/>
      <c r="BC887" s="488"/>
      <c r="BD887" s="488"/>
    </row>
    <row r="888" spans="3:56">
      <c r="C888" s="488"/>
      <c r="D888" s="488"/>
      <c r="E888" s="488"/>
      <c r="F888" s="488"/>
      <c r="G888" s="488"/>
      <c r="H888" s="488"/>
      <c r="I888" s="488"/>
      <c r="J888" s="488"/>
      <c r="K888" s="488"/>
      <c r="L888" s="488"/>
      <c r="M888" s="488"/>
      <c r="N888" s="488"/>
      <c r="O888" s="488"/>
      <c r="P888" s="488"/>
      <c r="Q888" s="488"/>
      <c r="R888" s="488"/>
      <c r="S888" s="488"/>
      <c r="T888" s="488"/>
      <c r="U888" s="488"/>
      <c r="V888" s="488"/>
      <c r="W888" s="488"/>
      <c r="X888" s="488"/>
      <c r="Y888" s="488"/>
      <c r="Z888" s="488"/>
      <c r="AA888" s="488"/>
      <c r="AB888" s="488"/>
      <c r="AC888" s="488"/>
      <c r="AD888" s="488"/>
      <c r="AE888" s="488"/>
      <c r="AF888" s="488"/>
      <c r="AG888" s="488"/>
      <c r="AH888" s="488"/>
      <c r="AI888" s="488"/>
      <c r="AJ888" s="488"/>
      <c r="AK888" s="488"/>
      <c r="AL888" s="488"/>
      <c r="AM888" s="488"/>
      <c r="AN888" s="488"/>
      <c r="AO888" s="488"/>
      <c r="AP888" s="488"/>
      <c r="AQ888" s="488"/>
      <c r="AR888" s="488"/>
      <c r="AS888" s="488"/>
      <c r="AT888" s="488"/>
      <c r="AU888" s="488"/>
      <c r="AV888" s="488"/>
      <c r="AW888" s="488"/>
      <c r="AX888" s="488"/>
      <c r="AY888" s="488"/>
      <c r="AZ888" s="488"/>
      <c r="BA888" s="488"/>
      <c r="BB888" s="488"/>
      <c r="BC888" s="488"/>
      <c r="BD888" s="488"/>
    </row>
    <row r="889" spans="3:56">
      <c r="C889" s="488"/>
      <c r="D889" s="488"/>
      <c r="E889" s="488"/>
      <c r="F889" s="488"/>
      <c r="G889" s="488"/>
      <c r="H889" s="488"/>
      <c r="I889" s="488"/>
      <c r="J889" s="488"/>
      <c r="K889" s="488"/>
      <c r="L889" s="488"/>
      <c r="M889" s="488"/>
      <c r="N889" s="488"/>
      <c r="O889" s="488"/>
      <c r="P889" s="488"/>
      <c r="Q889" s="488"/>
      <c r="R889" s="488"/>
      <c r="S889" s="488"/>
      <c r="T889" s="488"/>
      <c r="U889" s="488"/>
      <c r="V889" s="488"/>
      <c r="W889" s="488"/>
      <c r="X889" s="488"/>
      <c r="Y889" s="488"/>
      <c r="Z889" s="488"/>
      <c r="AA889" s="488"/>
      <c r="AB889" s="488"/>
      <c r="AC889" s="488"/>
      <c r="AD889" s="488"/>
      <c r="AE889" s="488"/>
      <c r="AF889" s="488"/>
      <c r="AG889" s="488"/>
      <c r="AH889" s="488"/>
      <c r="AI889" s="488"/>
      <c r="AJ889" s="488"/>
      <c r="AK889" s="488"/>
      <c r="AL889" s="488"/>
      <c r="AM889" s="488"/>
      <c r="AN889" s="488"/>
      <c r="AO889" s="488"/>
      <c r="AP889" s="488"/>
      <c r="AQ889" s="488"/>
      <c r="AR889" s="488"/>
      <c r="AS889" s="488"/>
      <c r="AT889" s="488"/>
      <c r="AU889" s="488"/>
      <c r="AV889" s="488"/>
      <c r="AW889" s="488"/>
      <c r="AX889" s="488"/>
      <c r="AY889" s="488"/>
      <c r="AZ889" s="488"/>
      <c r="BA889" s="488"/>
      <c r="BB889" s="488"/>
      <c r="BC889" s="488"/>
      <c r="BD889" s="488"/>
    </row>
    <row r="890" spans="3:56">
      <c r="C890" s="488"/>
      <c r="D890" s="488"/>
      <c r="E890" s="488"/>
      <c r="F890" s="488"/>
      <c r="G890" s="488"/>
      <c r="H890" s="488"/>
      <c r="I890" s="488"/>
      <c r="J890" s="488"/>
      <c r="K890" s="488"/>
      <c r="L890" s="488"/>
      <c r="M890" s="488"/>
      <c r="N890" s="488"/>
      <c r="O890" s="488"/>
      <c r="P890" s="488"/>
      <c r="Q890" s="488"/>
      <c r="R890" s="488"/>
      <c r="S890" s="488"/>
      <c r="T890" s="488"/>
      <c r="U890" s="488"/>
      <c r="V890" s="488"/>
      <c r="W890" s="488"/>
      <c r="X890" s="488"/>
      <c r="Y890" s="488"/>
      <c r="Z890" s="488"/>
      <c r="AA890" s="488"/>
      <c r="AB890" s="488"/>
      <c r="AC890" s="488"/>
      <c r="AD890" s="488"/>
      <c r="AE890" s="488"/>
      <c r="AF890" s="488"/>
      <c r="AG890" s="488"/>
      <c r="AH890" s="488"/>
      <c r="AI890" s="488"/>
      <c r="AJ890" s="488"/>
      <c r="AK890" s="488"/>
      <c r="AL890" s="488"/>
      <c r="AM890" s="488"/>
      <c r="AN890" s="488"/>
      <c r="AO890" s="488"/>
      <c r="AP890" s="488"/>
      <c r="AQ890" s="488"/>
      <c r="AR890" s="488"/>
      <c r="AS890" s="488"/>
      <c r="AT890" s="488"/>
      <c r="AU890" s="488"/>
      <c r="AV890" s="488"/>
      <c r="AW890" s="488"/>
      <c r="AX890" s="488"/>
      <c r="AY890" s="488"/>
      <c r="AZ890" s="488"/>
      <c r="BA890" s="488"/>
      <c r="BB890" s="488"/>
      <c r="BC890" s="488"/>
      <c r="BD890" s="488"/>
    </row>
    <row r="891" spans="3:56">
      <c r="C891" s="488"/>
      <c r="D891" s="488"/>
      <c r="E891" s="488"/>
      <c r="F891" s="488"/>
      <c r="G891" s="488"/>
      <c r="H891" s="488"/>
      <c r="I891" s="488"/>
      <c r="J891" s="488"/>
      <c r="K891" s="488"/>
      <c r="L891" s="488"/>
      <c r="M891" s="488"/>
      <c r="N891" s="488"/>
      <c r="O891" s="488"/>
      <c r="P891" s="488"/>
      <c r="Q891" s="488"/>
      <c r="R891" s="488"/>
      <c r="S891" s="488"/>
      <c r="T891" s="488"/>
      <c r="U891" s="488"/>
      <c r="V891" s="488"/>
      <c r="W891" s="488"/>
      <c r="X891" s="488"/>
      <c r="Y891" s="488"/>
      <c r="Z891" s="488"/>
      <c r="AA891" s="488"/>
      <c r="AB891" s="488"/>
      <c r="AC891" s="488"/>
      <c r="AD891" s="488"/>
      <c r="AE891" s="488"/>
      <c r="AF891" s="488"/>
      <c r="AG891" s="488"/>
      <c r="AH891" s="488"/>
      <c r="AI891" s="488"/>
      <c r="AJ891" s="488"/>
      <c r="AK891" s="488"/>
      <c r="AL891" s="488"/>
      <c r="AM891" s="488"/>
      <c r="AN891" s="488"/>
      <c r="AO891" s="488"/>
      <c r="AP891" s="488"/>
      <c r="AQ891" s="488"/>
      <c r="AR891" s="488"/>
      <c r="AS891" s="488"/>
      <c r="AT891" s="488"/>
      <c r="AU891" s="488"/>
      <c r="AV891" s="488"/>
      <c r="AW891" s="488"/>
      <c r="AX891" s="488"/>
      <c r="AY891" s="488"/>
      <c r="AZ891" s="488"/>
      <c r="BA891" s="488"/>
      <c r="BB891" s="488"/>
      <c r="BC891" s="488"/>
      <c r="BD891" s="488"/>
    </row>
    <row r="892" spans="3:56">
      <c r="C892" s="488"/>
      <c r="D892" s="488"/>
      <c r="E892" s="488"/>
      <c r="F892" s="488"/>
      <c r="G892" s="488"/>
      <c r="H892" s="488"/>
      <c r="I892" s="488"/>
      <c r="J892" s="488"/>
      <c r="K892" s="488"/>
      <c r="L892" s="488"/>
      <c r="M892" s="488"/>
      <c r="N892" s="488"/>
      <c r="O892" s="488"/>
      <c r="P892" s="488"/>
      <c r="Q892" s="488"/>
      <c r="R892" s="488"/>
      <c r="S892" s="488"/>
      <c r="T892" s="488"/>
      <c r="U892" s="488"/>
      <c r="V892" s="488"/>
      <c r="W892" s="488"/>
      <c r="X892" s="488"/>
      <c r="Y892" s="488"/>
      <c r="Z892" s="488"/>
      <c r="AA892" s="488"/>
      <c r="AB892" s="488"/>
      <c r="AC892" s="488"/>
      <c r="AD892" s="488"/>
      <c r="AE892" s="488"/>
      <c r="AF892" s="488"/>
      <c r="AG892" s="488"/>
      <c r="AH892" s="488"/>
      <c r="AI892" s="488"/>
      <c r="AJ892" s="488"/>
      <c r="AK892" s="488"/>
      <c r="AL892" s="488"/>
      <c r="AM892" s="488"/>
      <c r="AN892" s="488"/>
      <c r="AO892" s="488"/>
      <c r="AP892" s="488"/>
      <c r="AQ892" s="488"/>
      <c r="AR892" s="488"/>
      <c r="AS892" s="488"/>
      <c r="AT892" s="488"/>
      <c r="AU892" s="488"/>
      <c r="AV892" s="488"/>
      <c r="AW892" s="488"/>
      <c r="AX892" s="488"/>
      <c r="AY892" s="488"/>
      <c r="AZ892" s="488"/>
      <c r="BA892" s="488"/>
      <c r="BB892" s="488"/>
      <c r="BC892" s="488"/>
      <c r="BD892" s="488"/>
    </row>
    <row r="893" spans="3:56">
      <c r="C893" s="488"/>
      <c r="D893" s="488"/>
      <c r="E893" s="488"/>
      <c r="F893" s="488"/>
      <c r="G893" s="488"/>
      <c r="H893" s="488"/>
      <c r="I893" s="488"/>
      <c r="J893" s="488"/>
      <c r="K893" s="488"/>
      <c r="L893" s="488"/>
      <c r="M893" s="488"/>
      <c r="N893" s="488"/>
      <c r="O893" s="488"/>
      <c r="P893" s="488"/>
      <c r="Q893" s="488"/>
      <c r="R893" s="488"/>
      <c r="S893" s="488"/>
      <c r="T893" s="488"/>
      <c r="U893" s="488"/>
      <c r="V893" s="488"/>
      <c r="W893" s="488"/>
      <c r="X893" s="488"/>
      <c r="Y893" s="488"/>
      <c r="Z893" s="488"/>
      <c r="AA893" s="488"/>
      <c r="AB893" s="488"/>
      <c r="AC893" s="488"/>
      <c r="AD893" s="488"/>
      <c r="AE893" s="488"/>
      <c r="AF893" s="488"/>
      <c r="AG893" s="488"/>
      <c r="AH893" s="488"/>
      <c r="AI893" s="488"/>
      <c r="AJ893" s="488"/>
      <c r="AK893" s="488"/>
      <c r="AL893" s="488"/>
      <c r="AM893" s="488"/>
      <c r="AN893" s="488"/>
      <c r="AO893" s="488"/>
      <c r="AP893" s="488"/>
      <c r="AQ893" s="488"/>
      <c r="AR893" s="488"/>
      <c r="AS893" s="488"/>
      <c r="AT893" s="488"/>
      <c r="AU893" s="488"/>
      <c r="AV893" s="488"/>
      <c r="AW893" s="488"/>
      <c r="AX893" s="488"/>
      <c r="AY893" s="488"/>
      <c r="AZ893" s="488"/>
      <c r="BA893" s="488"/>
      <c r="BB893" s="488"/>
      <c r="BC893" s="488"/>
      <c r="BD893" s="488"/>
    </row>
    <row r="894" spans="3:56">
      <c r="C894" s="488"/>
      <c r="D894" s="488"/>
      <c r="E894" s="488"/>
      <c r="F894" s="488"/>
      <c r="G894" s="488"/>
      <c r="H894" s="488"/>
      <c r="I894" s="488"/>
      <c r="J894" s="488"/>
      <c r="K894" s="488"/>
      <c r="L894" s="488"/>
      <c r="M894" s="488"/>
      <c r="N894" s="488"/>
      <c r="O894" s="488"/>
      <c r="P894" s="488"/>
      <c r="Q894" s="488"/>
      <c r="R894" s="488"/>
      <c r="S894" s="488"/>
      <c r="T894" s="488"/>
      <c r="U894" s="488"/>
      <c r="V894" s="488"/>
      <c r="W894" s="488"/>
      <c r="X894" s="488"/>
      <c r="Y894" s="488"/>
      <c r="Z894" s="488"/>
      <c r="AA894" s="488"/>
      <c r="AB894" s="488"/>
      <c r="AC894" s="488"/>
      <c r="AD894" s="488"/>
      <c r="AE894" s="488"/>
      <c r="AF894" s="488"/>
      <c r="AG894" s="488"/>
      <c r="AH894" s="488"/>
      <c r="AI894" s="488"/>
      <c r="AJ894" s="488"/>
      <c r="AK894" s="488"/>
      <c r="AL894" s="488"/>
      <c r="AM894" s="488"/>
      <c r="AN894" s="488"/>
      <c r="AO894" s="488"/>
      <c r="AP894" s="488"/>
      <c r="AQ894" s="488"/>
      <c r="AR894" s="488"/>
      <c r="AS894" s="488"/>
      <c r="AT894" s="488"/>
      <c r="AU894" s="488"/>
      <c r="AV894" s="488"/>
      <c r="AW894" s="488"/>
      <c r="AX894" s="488"/>
      <c r="AY894" s="488"/>
      <c r="AZ894" s="488"/>
      <c r="BA894" s="488"/>
      <c r="BB894" s="488"/>
      <c r="BC894" s="488"/>
      <c r="BD894" s="488"/>
    </row>
    <row r="895" spans="3:56">
      <c r="C895" s="488"/>
      <c r="D895" s="488"/>
      <c r="E895" s="488"/>
      <c r="F895" s="488"/>
      <c r="G895" s="488"/>
      <c r="H895" s="488"/>
      <c r="I895" s="488"/>
      <c r="J895" s="488"/>
      <c r="K895" s="488"/>
      <c r="L895" s="488"/>
      <c r="M895" s="488"/>
      <c r="N895" s="488"/>
      <c r="O895" s="488"/>
      <c r="P895" s="488"/>
      <c r="Q895" s="488"/>
      <c r="R895" s="488"/>
      <c r="S895" s="488"/>
      <c r="T895" s="488"/>
      <c r="U895" s="488"/>
      <c r="V895" s="488"/>
      <c r="W895" s="488"/>
      <c r="X895" s="488"/>
      <c r="Y895" s="488"/>
      <c r="Z895" s="488"/>
      <c r="AA895" s="488"/>
      <c r="AB895" s="488"/>
      <c r="AC895" s="488"/>
      <c r="AD895" s="488"/>
      <c r="AE895" s="488"/>
      <c r="AF895" s="488"/>
      <c r="AG895" s="488"/>
      <c r="AH895" s="488"/>
      <c r="AI895" s="488"/>
      <c r="AJ895" s="488"/>
      <c r="AK895" s="488"/>
      <c r="AL895" s="488"/>
      <c r="AM895" s="488"/>
      <c r="AN895" s="488"/>
      <c r="AO895" s="488"/>
      <c r="AP895" s="488"/>
      <c r="AQ895" s="488"/>
      <c r="AR895" s="488"/>
      <c r="AS895" s="488"/>
      <c r="AT895" s="488"/>
      <c r="AU895" s="488"/>
      <c r="AV895" s="488"/>
      <c r="AW895" s="488"/>
      <c r="AX895" s="488"/>
      <c r="AY895" s="488"/>
      <c r="AZ895" s="488"/>
      <c r="BA895" s="488"/>
      <c r="BB895" s="488"/>
      <c r="BC895" s="488"/>
      <c r="BD895" s="488"/>
    </row>
    <row r="896" spans="3:56">
      <c r="C896" s="488"/>
      <c r="D896" s="488"/>
      <c r="E896" s="488"/>
      <c r="F896" s="488"/>
      <c r="G896" s="488"/>
      <c r="H896" s="488"/>
      <c r="I896" s="488"/>
      <c r="J896" s="488"/>
      <c r="K896" s="488"/>
      <c r="L896" s="488"/>
      <c r="M896" s="488"/>
      <c r="N896" s="488"/>
      <c r="O896" s="488"/>
      <c r="P896" s="488"/>
      <c r="Q896" s="488"/>
      <c r="R896" s="488"/>
      <c r="S896" s="488"/>
      <c r="T896" s="488"/>
      <c r="U896" s="488"/>
      <c r="V896" s="488"/>
      <c r="W896" s="488"/>
      <c r="X896" s="488"/>
      <c r="Y896" s="488"/>
      <c r="Z896" s="488"/>
      <c r="AA896" s="488"/>
      <c r="AB896" s="488"/>
      <c r="AC896" s="488"/>
      <c r="AD896" s="488"/>
      <c r="AE896" s="488"/>
      <c r="AF896" s="488"/>
      <c r="AG896" s="488"/>
      <c r="AH896" s="488"/>
      <c r="AI896" s="488"/>
      <c r="AJ896" s="488"/>
      <c r="AK896" s="488"/>
      <c r="AL896" s="488"/>
      <c r="AM896" s="488"/>
      <c r="AN896" s="488"/>
      <c r="AO896" s="488"/>
      <c r="AP896" s="488"/>
      <c r="AQ896" s="488"/>
      <c r="AR896" s="488"/>
      <c r="AS896" s="488"/>
      <c r="AT896" s="488"/>
      <c r="AU896" s="488"/>
      <c r="AV896" s="488"/>
      <c r="AW896" s="488"/>
      <c r="AX896" s="488"/>
      <c r="AY896" s="488"/>
      <c r="AZ896" s="488"/>
      <c r="BA896" s="488"/>
      <c r="BB896" s="488"/>
      <c r="BC896" s="488"/>
      <c r="BD896" s="488"/>
    </row>
    <row r="897" spans="3:56">
      <c r="C897" s="488"/>
      <c r="D897" s="488"/>
      <c r="E897" s="488"/>
      <c r="F897" s="488"/>
      <c r="G897" s="488"/>
      <c r="H897" s="488"/>
      <c r="I897" s="488"/>
      <c r="J897" s="488"/>
      <c r="K897" s="488"/>
      <c r="L897" s="488"/>
      <c r="M897" s="488"/>
      <c r="N897" s="488"/>
      <c r="O897" s="488"/>
      <c r="P897" s="488"/>
      <c r="Q897" s="488"/>
      <c r="R897" s="488"/>
      <c r="S897" s="488"/>
      <c r="T897" s="488"/>
      <c r="U897" s="488"/>
      <c r="V897" s="488"/>
      <c r="W897" s="488"/>
      <c r="X897" s="488"/>
      <c r="Y897" s="488"/>
      <c r="Z897" s="488"/>
      <c r="AA897" s="488"/>
      <c r="AB897" s="488"/>
      <c r="AC897" s="488"/>
      <c r="AD897" s="488"/>
      <c r="AE897" s="488"/>
      <c r="AF897" s="488"/>
      <c r="AG897" s="488"/>
      <c r="AH897" s="488"/>
      <c r="AI897" s="488"/>
      <c r="AJ897" s="488"/>
      <c r="AK897" s="488"/>
      <c r="AL897" s="488"/>
      <c r="AM897" s="488"/>
      <c r="AN897" s="488"/>
      <c r="AO897" s="488"/>
      <c r="AP897" s="488"/>
      <c r="AQ897" s="488"/>
      <c r="AR897" s="488"/>
      <c r="AS897" s="488"/>
      <c r="AT897" s="488"/>
      <c r="AU897" s="488"/>
      <c r="AV897" s="488"/>
      <c r="AW897" s="488"/>
      <c r="AX897" s="488"/>
      <c r="AY897" s="488"/>
      <c r="AZ897" s="488"/>
      <c r="BA897" s="488"/>
      <c r="BB897" s="488"/>
      <c r="BC897" s="488"/>
      <c r="BD897" s="488"/>
    </row>
    <row r="898" spans="3:56">
      <c r="C898" s="488"/>
      <c r="D898" s="488"/>
      <c r="E898" s="488"/>
      <c r="F898" s="488"/>
      <c r="G898" s="488"/>
      <c r="H898" s="488"/>
      <c r="I898" s="488"/>
      <c r="J898" s="488"/>
      <c r="K898" s="488"/>
      <c r="L898" s="488"/>
      <c r="M898" s="488"/>
      <c r="N898" s="488"/>
      <c r="O898" s="488"/>
      <c r="P898" s="488"/>
      <c r="Q898" s="488"/>
      <c r="R898" s="488"/>
      <c r="S898" s="488"/>
      <c r="T898" s="488"/>
      <c r="U898" s="488"/>
      <c r="V898" s="488"/>
      <c r="W898" s="488"/>
      <c r="X898" s="488"/>
      <c r="Y898" s="488"/>
      <c r="Z898" s="488"/>
      <c r="AA898" s="488"/>
      <c r="AB898" s="488"/>
      <c r="AC898" s="488"/>
      <c r="AD898" s="488"/>
      <c r="AE898" s="488"/>
      <c r="AF898" s="488"/>
      <c r="AG898" s="488"/>
      <c r="AH898" s="488"/>
      <c r="AI898" s="488"/>
      <c r="AJ898" s="488"/>
      <c r="AK898" s="488"/>
      <c r="AL898" s="488"/>
      <c r="AM898" s="488"/>
      <c r="AN898" s="488"/>
      <c r="AO898" s="488"/>
      <c r="AP898" s="488"/>
      <c r="AQ898" s="488"/>
      <c r="AR898" s="488"/>
      <c r="AS898" s="488"/>
      <c r="AT898" s="488"/>
      <c r="AU898" s="488"/>
      <c r="AV898" s="488"/>
      <c r="AW898" s="488"/>
      <c r="AX898" s="488"/>
      <c r="AY898" s="488"/>
      <c r="AZ898" s="488"/>
      <c r="BA898" s="488"/>
      <c r="BB898" s="488"/>
      <c r="BC898" s="488"/>
      <c r="BD898" s="488"/>
    </row>
    <row r="899" spans="3:56">
      <c r="C899" s="488"/>
      <c r="D899" s="488"/>
      <c r="E899" s="488"/>
      <c r="F899" s="488"/>
      <c r="G899" s="488"/>
      <c r="H899" s="488"/>
      <c r="I899" s="488"/>
      <c r="J899" s="488"/>
      <c r="K899" s="488"/>
      <c r="L899" s="488"/>
      <c r="M899" s="488"/>
      <c r="N899" s="488"/>
      <c r="O899" s="488"/>
      <c r="P899" s="488"/>
      <c r="Q899" s="488"/>
      <c r="R899" s="488"/>
      <c r="S899" s="488"/>
      <c r="T899" s="488"/>
      <c r="U899" s="488"/>
      <c r="V899" s="488"/>
      <c r="W899" s="488"/>
      <c r="X899" s="488"/>
      <c r="Y899" s="488"/>
      <c r="Z899" s="488"/>
      <c r="AA899" s="488"/>
      <c r="AB899" s="488"/>
      <c r="AC899" s="488"/>
      <c r="AD899" s="488"/>
      <c r="AE899" s="488"/>
      <c r="AF899" s="488"/>
      <c r="AG899" s="488"/>
      <c r="AH899" s="488"/>
      <c r="AI899" s="488"/>
      <c r="AJ899" s="488"/>
      <c r="AK899" s="488"/>
      <c r="AL899" s="488"/>
      <c r="AM899" s="488"/>
      <c r="AN899" s="488"/>
      <c r="AO899" s="488"/>
      <c r="AP899" s="488"/>
      <c r="AQ899" s="488"/>
      <c r="AR899" s="488"/>
      <c r="AS899" s="488"/>
      <c r="AT899" s="488"/>
      <c r="AU899" s="488"/>
      <c r="AV899" s="488"/>
      <c r="AW899" s="488"/>
      <c r="AX899" s="488"/>
      <c r="AY899" s="488"/>
      <c r="AZ899" s="488"/>
      <c r="BA899" s="488"/>
      <c r="BB899" s="488"/>
      <c r="BC899" s="488"/>
      <c r="BD899" s="488"/>
    </row>
    <row r="900" spans="3:56">
      <c r="C900" s="488"/>
      <c r="D900" s="488"/>
      <c r="E900" s="488"/>
      <c r="F900" s="488"/>
      <c r="G900" s="488"/>
      <c r="H900" s="488"/>
      <c r="I900" s="488"/>
      <c r="J900" s="488"/>
      <c r="K900" s="488"/>
      <c r="L900" s="488"/>
      <c r="M900" s="488"/>
      <c r="N900" s="488"/>
      <c r="O900" s="488"/>
      <c r="P900" s="488"/>
      <c r="Q900" s="488"/>
      <c r="R900" s="488"/>
      <c r="S900" s="488"/>
      <c r="T900" s="488"/>
      <c r="U900" s="488"/>
      <c r="V900" s="488"/>
      <c r="W900" s="488"/>
      <c r="X900" s="488"/>
      <c r="Y900" s="488"/>
      <c r="Z900" s="488"/>
      <c r="AA900" s="488"/>
      <c r="AB900" s="488"/>
      <c r="AC900" s="488"/>
      <c r="AD900" s="488"/>
      <c r="AE900" s="488"/>
      <c r="AF900" s="488"/>
      <c r="AG900" s="488"/>
      <c r="AH900" s="488"/>
      <c r="AI900" s="488"/>
      <c r="AJ900" s="488"/>
      <c r="AK900" s="488"/>
      <c r="AL900" s="488"/>
      <c r="AM900" s="488"/>
      <c r="AN900" s="488"/>
      <c r="AO900" s="488"/>
      <c r="AP900" s="488"/>
      <c r="AQ900" s="488"/>
      <c r="AR900" s="488"/>
      <c r="AS900" s="488"/>
      <c r="AT900" s="488"/>
      <c r="AU900" s="488"/>
      <c r="AV900" s="488"/>
      <c r="AW900" s="488"/>
      <c r="AX900" s="488"/>
      <c r="AY900" s="488"/>
      <c r="AZ900" s="488"/>
      <c r="BA900" s="488"/>
      <c r="BB900" s="488"/>
      <c r="BC900" s="488"/>
      <c r="BD900" s="488"/>
    </row>
    <row r="901" spans="3:56">
      <c r="C901" s="488"/>
      <c r="D901" s="488"/>
      <c r="E901" s="488"/>
      <c r="F901" s="488"/>
      <c r="G901" s="488"/>
      <c r="H901" s="488"/>
      <c r="I901" s="488"/>
      <c r="J901" s="488"/>
      <c r="K901" s="488"/>
      <c r="L901" s="488"/>
      <c r="M901" s="488"/>
      <c r="N901" s="488"/>
      <c r="O901" s="488"/>
      <c r="P901" s="488"/>
      <c r="Q901" s="488"/>
      <c r="R901" s="488"/>
      <c r="S901" s="488"/>
      <c r="T901" s="488"/>
      <c r="U901" s="488"/>
      <c r="V901" s="488"/>
      <c r="W901" s="488"/>
      <c r="X901" s="488"/>
      <c r="Y901" s="488"/>
      <c r="Z901" s="488"/>
      <c r="AA901" s="488"/>
      <c r="AB901" s="488"/>
      <c r="AC901" s="488"/>
      <c r="AD901" s="488"/>
      <c r="AE901" s="488"/>
      <c r="AF901" s="488"/>
      <c r="AG901" s="488"/>
      <c r="AH901" s="488"/>
      <c r="AI901" s="488"/>
      <c r="AJ901" s="488"/>
      <c r="AK901" s="488"/>
      <c r="AL901" s="488"/>
      <c r="AM901" s="488"/>
      <c r="AN901" s="488"/>
      <c r="AO901" s="488"/>
      <c r="AP901" s="488"/>
      <c r="AQ901" s="488"/>
      <c r="AR901" s="488"/>
      <c r="AS901" s="488"/>
      <c r="AT901" s="488"/>
      <c r="AU901" s="488"/>
      <c r="AV901" s="488"/>
      <c r="AW901" s="488"/>
      <c r="AX901" s="488"/>
      <c r="AY901" s="488"/>
      <c r="AZ901" s="488"/>
      <c r="BA901" s="488"/>
      <c r="BB901" s="488"/>
      <c r="BC901" s="488"/>
      <c r="BD901" s="488"/>
    </row>
    <row r="902" spans="3:56">
      <c r="C902" s="488"/>
      <c r="D902" s="488"/>
      <c r="E902" s="488"/>
      <c r="F902" s="488"/>
      <c r="G902" s="488"/>
      <c r="H902" s="488"/>
      <c r="I902" s="488"/>
      <c r="J902" s="488"/>
      <c r="K902" s="488"/>
      <c r="L902" s="488"/>
      <c r="M902" s="488"/>
      <c r="N902" s="488"/>
      <c r="O902" s="488"/>
      <c r="P902" s="488"/>
      <c r="Q902" s="488"/>
      <c r="R902" s="488"/>
      <c r="S902" s="488"/>
      <c r="T902" s="488"/>
      <c r="U902" s="488"/>
      <c r="V902" s="488"/>
      <c r="W902" s="488"/>
      <c r="X902" s="488"/>
      <c r="Y902" s="488"/>
      <c r="Z902" s="488"/>
      <c r="AA902" s="488"/>
      <c r="AB902" s="488"/>
      <c r="AC902" s="488"/>
      <c r="AD902" s="488"/>
      <c r="AE902" s="488"/>
      <c r="AF902" s="488"/>
      <c r="AG902" s="488"/>
      <c r="AH902" s="488"/>
      <c r="AI902" s="488"/>
      <c r="AJ902" s="488"/>
      <c r="AK902" s="488"/>
      <c r="AL902" s="488"/>
      <c r="AM902" s="488"/>
      <c r="AN902" s="488"/>
      <c r="AO902" s="488"/>
      <c r="AP902" s="488"/>
      <c r="AQ902" s="488"/>
      <c r="AR902" s="488"/>
      <c r="AS902" s="488"/>
      <c r="AT902" s="488"/>
      <c r="AU902" s="488"/>
      <c r="AV902" s="488"/>
      <c r="AW902" s="488"/>
      <c r="AX902" s="488"/>
      <c r="AY902" s="488"/>
      <c r="AZ902" s="488"/>
      <c r="BA902" s="488"/>
      <c r="BB902" s="488"/>
      <c r="BC902" s="488"/>
      <c r="BD902" s="488"/>
    </row>
    <row r="903" spans="3:56">
      <c r="C903" s="488"/>
      <c r="D903" s="488"/>
      <c r="E903" s="488"/>
      <c r="F903" s="488"/>
      <c r="G903" s="488"/>
      <c r="H903" s="488"/>
      <c r="I903" s="488"/>
      <c r="J903" s="488"/>
      <c r="K903" s="488"/>
      <c r="L903" s="488"/>
      <c r="M903" s="488"/>
      <c r="N903" s="488"/>
      <c r="O903" s="488"/>
      <c r="P903" s="488"/>
      <c r="Q903" s="488"/>
      <c r="R903" s="488"/>
      <c r="S903" s="488"/>
      <c r="T903" s="488"/>
      <c r="U903" s="488"/>
      <c r="V903" s="488"/>
      <c r="W903" s="488"/>
      <c r="X903" s="488"/>
      <c r="Y903" s="488"/>
      <c r="Z903" s="488"/>
      <c r="AA903" s="488"/>
      <c r="AB903" s="488"/>
      <c r="AC903" s="488"/>
      <c r="AD903" s="488"/>
      <c r="AE903" s="488"/>
      <c r="AF903" s="488"/>
      <c r="AG903" s="488"/>
      <c r="AH903" s="488"/>
      <c r="AI903" s="488"/>
      <c r="AJ903" s="488"/>
      <c r="AK903" s="488"/>
      <c r="AL903" s="488"/>
      <c r="AM903" s="488"/>
      <c r="AN903" s="488"/>
      <c r="AO903" s="488"/>
      <c r="AP903" s="488"/>
      <c r="AQ903" s="488"/>
      <c r="AR903" s="488"/>
      <c r="AS903" s="488"/>
      <c r="AT903" s="488"/>
      <c r="AU903" s="488"/>
      <c r="AV903" s="488"/>
      <c r="AW903" s="488"/>
      <c r="AX903" s="488"/>
      <c r="AY903" s="488"/>
      <c r="AZ903" s="488"/>
      <c r="BA903" s="488"/>
      <c r="BB903" s="488"/>
      <c r="BC903" s="488"/>
      <c r="BD903" s="488"/>
    </row>
    <row r="904" spans="3:56">
      <c r="C904" s="488"/>
      <c r="D904" s="488"/>
      <c r="E904" s="488"/>
      <c r="F904" s="488"/>
      <c r="G904" s="488"/>
      <c r="H904" s="488"/>
      <c r="I904" s="488"/>
      <c r="J904" s="488"/>
      <c r="K904" s="488"/>
      <c r="L904" s="488"/>
      <c r="M904" s="488"/>
      <c r="N904" s="488"/>
      <c r="O904" s="488"/>
      <c r="P904" s="488"/>
      <c r="Q904" s="488"/>
      <c r="R904" s="488"/>
      <c r="S904" s="488"/>
      <c r="T904" s="488"/>
      <c r="U904" s="488"/>
      <c r="V904" s="488"/>
      <c r="W904" s="488"/>
      <c r="X904" s="488"/>
      <c r="Y904" s="488"/>
      <c r="Z904" s="488"/>
      <c r="AA904" s="488"/>
      <c r="AB904" s="488"/>
      <c r="AC904" s="488"/>
      <c r="AD904" s="488"/>
      <c r="AE904" s="488"/>
      <c r="AF904" s="488"/>
      <c r="AG904" s="488"/>
      <c r="AH904" s="488"/>
      <c r="AI904" s="488"/>
      <c r="AJ904" s="488"/>
      <c r="AK904" s="488"/>
      <c r="AL904" s="488"/>
      <c r="AM904" s="488"/>
      <c r="AN904" s="488"/>
      <c r="AO904" s="488"/>
      <c r="AP904" s="488"/>
      <c r="AQ904" s="488"/>
      <c r="AR904" s="488"/>
      <c r="AS904" s="488"/>
      <c r="AT904" s="488"/>
      <c r="AU904" s="488"/>
      <c r="AV904" s="488"/>
      <c r="AW904" s="488"/>
      <c r="AX904" s="488"/>
      <c r="AY904" s="488"/>
      <c r="AZ904" s="488"/>
      <c r="BA904" s="488"/>
      <c r="BB904" s="488"/>
      <c r="BC904" s="488"/>
      <c r="BD904" s="488"/>
    </row>
    <row r="905" spans="3:56">
      <c r="C905" s="488"/>
      <c r="D905" s="488"/>
      <c r="E905" s="488"/>
      <c r="F905" s="488"/>
      <c r="G905" s="488"/>
      <c r="H905" s="488"/>
      <c r="I905" s="488"/>
      <c r="J905" s="488"/>
      <c r="K905" s="488"/>
      <c r="L905" s="488"/>
      <c r="M905" s="488"/>
      <c r="N905" s="488"/>
      <c r="O905" s="488"/>
      <c r="P905" s="488"/>
      <c r="Q905" s="488"/>
      <c r="R905" s="488"/>
      <c r="S905" s="488"/>
      <c r="T905" s="488"/>
      <c r="U905" s="488"/>
      <c r="V905" s="488"/>
      <c r="W905" s="488"/>
      <c r="X905" s="488"/>
      <c r="Y905" s="488"/>
      <c r="Z905" s="488"/>
      <c r="AA905" s="488"/>
      <c r="AB905" s="488"/>
      <c r="AC905" s="488"/>
      <c r="AD905" s="488"/>
      <c r="AE905" s="488"/>
      <c r="AF905" s="488"/>
      <c r="AG905" s="488"/>
      <c r="AH905" s="488"/>
      <c r="AI905" s="488"/>
      <c r="AJ905" s="488"/>
      <c r="AK905" s="488"/>
      <c r="AL905" s="488"/>
      <c r="AM905" s="488"/>
      <c r="AN905" s="488"/>
      <c r="AO905" s="488"/>
      <c r="AP905" s="488"/>
      <c r="AQ905" s="488"/>
      <c r="AR905" s="488"/>
      <c r="AS905" s="488"/>
      <c r="AT905" s="488"/>
      <c r="AU905" s="488"/>
      <c r="AV905" s="488"/>
      <c r="AW905" s="488"/>
      <c r="AX905" s="488"/>
      <c r="AY905" s="488"/>
      <c r="AZ905" s="488"/>
      <c r="BA905" s="488"/>
      <c r="BB905" s="488"/>
      <c r="BC905" s="488"/>
      <c r="BD905" s="488"/>
    </row>
    <row r="906" spans="3:56">
      <c r="C906" s="488"/>
      <c r="D906" s="488"/>
      <c r="E906" s="488"/>
      <c r="F906" s="488"/>
      <c r="G906" s="488"/>
      <c r="H906" s="488"/>
      <c r="I906" s="488"/>
      <c r="J906" s="488"/>
      <c r="K906" s="488"/>
      <c r="L906" s="488"/>
      <c r="M906" s="488"/>
      <c r="N906" s="488"/>
      <c r="O906" s="488"/>
      <c r="P906" s="488"/>
      <c r="Q906" s="488"/>
      <c r="R906" s="488"/>
      <c r="S906" s="488"/>
      <c r="T906" s="488"/>
      <c r="U906" s="488"/>
      <c r="V906" s="488"/>
      <c r="W906" s="488"/>
      <c r="X906" s="488"/>
      <c r="Y906" s="488"/>
      <c r="Z906" s="488"/>
      <c r="AA906" s="488"/>
      <c r="AB906" s="488"/>
      <c r="AC906" s="488"/>
      <c r="AD906" s="488"/>
      <c r="AE906" s="488"/>
      <c r="AF906" s="488"/>
      <c r="AG906" s="488"/>
      <c r="AH906" s="488"/>
      <c r="AI906" s="488"/>
      <c r="AJ906" s="488"/>
      <c r="AK906" s="488"/>
      <c r="AL906" s="488"/>
      <c r="AM906" s="488"/>
      <c r="AN906" s="488"/>
      <c r="AO906" s="488"/>
      <c r="AP906" s="488"/>
      <c r="AQ906" s="488"/>
      <c r="AR906" s="488"/>
      <c r="AS906" s="488"/>
      <c r="AT906" s="488"/>
      <c r="AU906" s="488"/>
      <c r="AV906" s="488"/>
      <c r="AW906" s="488"/>
      <c r="AX906" s="488"/>
      <c r="AY906" s="488"/>
      <c r="AZ906" s="488"/>
      <c r="BA906" s="488"/>
      <c r="BB906" s="488"/>
      <c r="BC906" s="488"/>
      <c r="BD906" s="488"/>
    </row>
    <row r="907" spans="3:56">
      <c r="C907" s="488"/>
      <c r="D907" s="488"/>
      <c r="E907" s="488"/>
      <c r="F907" s="488"/>
      <c r="G907" s="488"/>
      <c r="H907" s="488"/>
      <c r="I907" s="488"/>
      <c r="J907" s="488"/>
      <c r="K907" s="488"/>
      <c r="L907" s="488"/>
      <c r="M907" s="488"/>
      <c r="N907" s="488"/>
      <c r="O907" s="488"/>
      <c r="P907" s="488"/>
      <c r="Q907" s="488"/>
      <c r="R907" s="488"/>
      <c r="S907" s="488"/>
      <c r="T907" s="488"/>
      <c r="U907" s="488"/>
      <c r="V907" s="488"/>
      <c r="W907" s="488"/>
      <c r="X907" s="488"/>
      <c r="Y907" s="488"/>
      <c r="Z907" s="488"/>
      <c r="AA907" s="488"/>
      <c r="AB907" s="488"/>
      <c r="AC907" s="488"/>
      <c r="AD907" s="488"/>
      <c r="AE907" s="488"/>
      <c r="AF907" s="488"/>
      <c r="AG907" s="488"/>
      <c r="AH907" s="488"/>
      <c r="AI907" s="488"/>
      <c r="AJ907" s="488"/>
      <c r="AK907" s="488"/>
      <c r="AL907" s="488"/>
      <c r="AM907" s="488"/>
      <c r="AN907" s="488"/>
      <c r="AO907" s="488"/>
      <c r="AP907" s="488"/>
      <c r="AQ907" s="488"/>
      <c r="AR907" s="488"/>
      <c r="AS907" s="488"/>
      <c r="AT907" s="488"/>
      <c r="AU907" s="488"/>
      <c r="AV907" s="488"/>
      <c r="AW907" s="488"/>
      <c r="AX907" s="488"/>
      <c r="AY907" s="488"/>
      <c r="AZ907" s="488"/>
      <c r="BA907" s="488"/>
      <c r="BB907" s="488"/>
      <c r="BC907" s="488"/>
      <c r="BD907" s="488"/>
    </row>
    <row r="908" spans="3:56">
      <c r="C908" s="488"/>
      <c r="D908" s="488"/>
      <c r="E908" s="488"/>
      <c r="F908" s="488"/>
      <c r="G908" s="488"/>
      <c r="H908" s="488"/>
      <c r="I908" s="488"/>
      <c r="J908" s="488"/>
      <c r="K908" s="488"/>
      <c r="L908" s="488"/>
      <c r="M908" s="488"/>
      <c r="N908" s="488"/>
      <c r="O908" s="488"/>
      <c r="P908" s="488"/>
      <c r="Q908" s="488"/>
      <c r="R908" s="488"/>
      <c r="S908" s="488"/>
      <c r="T908" s="488"/>
      <c r="U908" s="488"/>
      <c r="V908" s="488"/>
      <c r="W908" s="488"/>
      <c r="X908" s="488"/>
      <c r="Y908" s="488"/>
      <c r="Z908" s="488"/>
      <c r="AA908" s="488"/>
      <c r="AB908" s="488"/>
      <c r="AC908" s="488"/>
      <c r="AD908" s="488"/>
      <c r="AE908" s="488"/>
      <c r="AF908" s="488"/>
      <c r="AG908" s="488"/>
      <c r="AH908" s="488"/>
      <c r="AI908" s="488"/>
      <c r="AJ908" s="488"/>
      <c r="AK908" s="488"/>
      <c r="AL908" s="488"/>
      <c r="AM908" s="488"/>
      <c r="AN908" s="488"/>
      <c r="AO908" s="488"/>
      <c r="AP908" s="488"/>
      <c r="AQ908" s="488"/>
      <c r="AR908" s="488"/>
      <c r="AS908" s="488"/>
      <c r="AT908" s="488"/>
      <c r="AU908" s="488"/>
      <c r="AV908" s="488"/>
      <c r="AW908" s="488"/>
      <c r="AX908" s="488"/>
      <c r="AY908" s="488"/>
      <c r="AZ908" s="488"/>
      <c r="BA908" s="488"/>
      <c r="BB908" s="488"/>
      <c r="BC908" s="488"/>
      <c r="BD908" s="488"/>
    </row>
    <row r="909" spans="3:56">
      <c r="C909" s="488"/>
      <c r="D909" s="488"/>
      <c r="E909" s="488"/>
      <c r="F909" s="488"/>
      <c r="G909" s="488"/>
      <c r="H909" s="488"/>
      <c r="I909" s="488"/>
      <c r="J909" s="488"/>
      <c r="K909" s="488"/>
      <c r="L909" s="488"/>
      <c r="M909" s="488"/>
      <c r="N909" s="488"/>
      <c r="O909" s="488"/>
      <c r="P909" s="488"/>
      <c r="Q909" s="488"/>
      <c r="R909" s="488"/>
      <c r="S909" s="488"/>
      <c r="T909" s="488"/>
      <c r="U909" s="488"/>
      <c r="V909" s="488"/>
      <c r="W909" s="488"/>
      <c r="X909" s="488"/>
      <c r="Y909" s="488"/>
      <c r="Z909" s="488"/>
      <c r="AA909" s="488"/>
      <c r="AB909" s="488"/>
      <c r="AC909" s="488"/>
      <c r="AD909" s="488"/>
      <c r="AE909" s="488"/>
      <c r="AF909" s="488"/>
      <c r="AG909" s="488"/>
      <c r="AH909" s="488"/>
      <c r="AI909" s="488"/>
      <c r="AJ909" s="488"/>
      <c r="AK909" s="488"/>
      <c r="AL909" s="488"/>
      <c r="AM909" s="488"/>
      <c r="AN909" s="488"/>
      <c r="AO909" s="488"/>
      <c r="AP909" s="488"/>
      <c r="AQ909" s="488"/>
      <c r="AR909" s="488"/>
      <c r="AS909" s="488"/>
      <c r="AT909" s="488"/>
      <c r="AU909" s="488"/>
      <c r="AV909" s="488"/>
      <c r="AW909" s="488"/>
      <c r="AX909" s="488"/>
      <c r="AY909" s="488"/>
      <c r="AZ909" s="488"/>
      <c r="BA909" s="488"/>
      <c r="BB909" s="488"/>
      <c r="BC909" s="488"/>
      <c r="BD909" s="488"/>
    </row>
    <row r="910" spans="3:56">
      <c r="C910" s="488"/>
      <c r="D910" s="488"/>
      <c r="E910" s="488"/>
      <c r="F910" s="488"/>
      <c r="G910" s="488"/>
      <c r="H910" s="488"/>
      <c r="I910" s="488"/>
      <c r="J910" s="488"/>
      <c r="K910" s="488"/>
      <c r="L910" s="488"/>
      <c r="M910" s="488"/>
      <c r="N910" s="488"/>
      <c r="O910" s="488"/>
      <c r="P910" s="488"/>
      <c r="Q910" s="488"/>
      <c r="R910" s="488"/>
      <c r="S910" s="488"/>
      <c r="T910" s="488"/>
      <c r="U910" s="488"/>
      <c r="V910" s="488"/>
      <c r="W910" s="488"/>
      <c r="X910" s="488"/>
      <c r="Y910" s="488"/>
      <c r="Z910" s="488"/>
      <c r="AA910" s="488"/>
      <c r="AB910" s="488"/>
      <c r="AC910" s="488"/>
      <c r="AD910" s="488"/>
      <c r="AE910" s="488"/>
      <c r="AF910" s="488"/>
      <c r="AG910" s="488"/>
      <c r="AH910" s="488"/>
      <c r="AI910" s="488"/>
      <c r="AJ910" s="488"/>
      <c r="AK910" s="488"/>
      <c r="AL910" s="488"/>
      <c r="AM910" s="488"/>
      <c r="AN910" s="488"/>
      <c r="AO910" s="488"/>
      <c r="AP910" s="488"/>
      <c r="AQ910" s="488"/>
      <c r="AR910" s="488"/>
      <c r="AS910" s="488"/>
      <c r="AT910" s="488"/>
      <c r="AU910" s="488"/>
      <c r="AV910" s="488"/>
      <c r="AW910" s="488"/>
      <c r="AX910" s="488"/>
      <c r="AY910" s="488"/>
      <c r="AZ910" s="488"/>
      <c r="BA910" s="488"/>
      <c r="BB910" s="488"/>
      <c r="BC910" s="488"/>
      <c r="BD910" s="488"/>
    </row>
    <row r="911" spans="3:56">
      <c r="C911" s="488"/>
      <c r="D911" s="488"/>
      <c r="E911" s="488"/>
      <c r="F911" s="488"/>
      <c r="G911" s="488"/>
      <c r="H911" s="488"/>
      <c r="I911" s="488"/>
      <c r="J911" s="488"/>
      <c r="K911" s="488"/>
      <c r="L911" s="488"/>
      <c r="M911" s="488"/>
      <c r="N911" s="488"/>
      <c r="O911" s="488"/>
      <c r="P911" s="488"/>
      <c r="Q911" s="488"/>
      <c r="R911" s="488"/>
      <c r="S911" s="488"/>
      <c r="T911" s="488"/>
      <c r="U911" s="488"/>
      <c r="V911" s="488"/>
      <c r="W911" s="488"/>
      <c r="X911" s="488"/>
      <c r="Y911" s="488"/>
      <c r="Z911" s="488"/>
      <c r="AA911" s="488"/>
      <c r="AB911" s="488"/>
      <c r="AC911" s="488"/>
      <c r="AD911" s="488"/>
      <c r="AE911" s="488"/>
      <c r="AF911" s="488"/>
      <c r="AG911" s="488"/>
      <c r="AH911" s="488"/>
      <c r="AI911" s="488"/>
      <c r="AJ911" s="488"/>
      <c r="AK911" s="488"/>
      <c r="AL911" s="488"/>
      <c r="AM911" s="488"/>
      <c r="AN911" s="488"/>
      <c r="AO911" s="488"/>
      <c r="AP911" s="488"/>
      <c r="AQ911" s="488"/>
      <c r="AR911" s="488"/>
      <c r="AS911" s="488"/>
      <c r="AT911" s="488"/>
      <c r="AU911" s="488"/>
      <c r="AV911" s="488"/>
      <c r="AW911" s="488"/>
      <c r="AX911" s="488"/>
      <c r="AY911" s="488"/>
      <c r="AZ911" s="488"/>
      <c r="BA911" s="488"/>
      <c r="BB911" s="488"/>
      <c r="BC911" s="488"/>
      <c r="BD911" s="488"/>
    </row>
    <row r="912" spans="3:56">
      <c r="C912" s="488"/>
      <c r="D912" s="488"/>
      <c r="E912" s="488"/>
      <c r="F912" s="488"/>
      <c r="G912" s="488"/>
      <c r="H912" s="488"/>
      <c r="I912" s="488"/>
      <c r="J912" s="488"/>
      <c r="K912" s="488"/>
      <c r="L912" s="488"/>
      <c r="M912" s="488"/>
      <c r="N912" s="488"/>
      <c r="O912" s="488"/>
      <c r="P912" s="488"/>
      <c r="Q912" s="488"/>
      <c r="R912" s="488"/>
      <c r="S912" s="488"/>
      <c r="T912" s="488"/>
      <c r="U912" s="488"/>
      <c r="V912" s="488"/>
      <c r="W912" s="488"/>
      <c r="X912" s="488"/>
      <c r="Y912" s="488"/>
      <c r="Z912" s="488"/>
      <c r="AA912" s="488"/>
      <c r="AB912" s="488"/>
      <c r="AC912" s="488"/>
      <c r="AD912" s="488"/>
      <c r="AE912" s="488"/>
      <c r="AF912" s="488"/>
      <c r="AG912" s="488"/>
      <c r="AH912" s="488"/>
      <c r="AI912" s="488"/>
      <c r="AJ912" s="488"/>
      <c r="AK912" s="488"/>
      <c r="AL912" s="488"/>
      <c r="AM912" s="488"/>
      <c r="AN912" s="488"/>
      <c r="AO912" s="488"/>
      <c r="AP912" s="488"/>
      <c r="AQ912" s="488"/>
      <c r="AR912" s="488"/>
      <c r="AS912" s="488"/>
      <c r="AT912" s="488"/>
      <c r="AU912" s="488"/>
      <c r="AV912" s="488"/>
      <c r="AW912" s="488"/>
      <c r="AX912" s="488"/>
      <c r="AY912" s="488"/>
      <c r="AZ912" s="488"/>
      <c r="BA912" s="488"/>
      <c r="BB912" s="488"/>
      <c r="BC912" s="488"/>
      <c r="BD912" s="488"/>
    </row>
    <row r="913" spans="3:56">
      <c r="C913" s="488"/>
      <c r="D913" s="488"/>
      <c r="E913" s="488"/>
      <c r="F913" s="488"/>
      <c r="G913" s="488"/>
      <c r="H913" s="488"/>
      <c r="I913" s="488"/>
      <c r="J913" s="488"/>
      <c r="K913" s="488"/>
      <c r="L913" s="488"/>
      <c r="M913" s="488"/>
      <c r="N913" s="488"/>
      <c r="O913" s="488"/>
      <c r="P913" s="488"/>
      <c r="Q913" s="488"/>
      <c r="R913" s="488"/>
      <c r="S913" s="488"/>
      <c r="T913" s="488"/>
      <c r="U913" s="488"/>
      <c r="V913" s="488"/>
      <c r="W913" s="488"/>
      <c r="X913" s="488"/>
      <c r="Y913" s="488"/>
      <c r="Z913" s="488"/>
      <c r="AA913" s="488"/>
      <c r="AB913" s="488"/>
      <c r="AC913" s="488"/>
      <c r="AD913" s="488"/>
      <c r="AE913" s="488"/>
      <c r="AF913" s="488"/>
      <c r="AG913" s="488"/>
      <c r="AH913" s="488"/>
      <c r="AI913" s="488"/>
      <c r="AJ913" s="488"/>
      <c r="AK913" s="488"/>
      <c r="AL913" s="488"/>
      <c r="AM913" s="488"/>
      <c r="AN913" s="488"/>
      <c r="AO913" s="488"/>
      <c r="AP913" s="488"/>
      <c r="AQ913" s="488"/>
      <c r="AR913" s="488"/>
      <c r="AS913" s="488"/>
      <c r="AT913" s="488"/>
      <c r="AU913" s="488"/>
      <c r="AV913" s="488"/>
      <c r="AW913" s="488"/>
      <c r="AX913" s="488"/>
      <c r="AY913" s="488"/>
      <c r="AZ913" s="488"/>
      <c r="BA913" s="488"/>
      <c r="BB913" s="488"/>
      <c r="BC913" s="488"/>
      <c r="BD913" s="488"/>
    </row>
    <row r="914" spans="3:56">
      <c r="C914" s="488"/>
      <c r="D914" s="488"/>
      <c r="E914" s="488"/>
      <c r="F914" s="488"/>
      <c r="G914" s="488"/>
      <c r="H914" s="488"/>
      <c r="I914" s="488"/>
      <c r="J914" s="488"/>
      <c r="K914" s="488"/>
      <c r="L914" s="488"/>
      <c r="M914" s="488"/>
      <c r="N914" s="488"/>
      <c r="O914" s="488"/>
      <c r="P914" s="488"/>
      <c r="Q914" s="488"/>
      <c r="R914" s="488"/>
      <c r="S914" s="488"/>
      <c r="T914" s="488"/>
      <c r="U914" s="488"/>
      <c r="V914" s="488"/>
      <c r="W914" s="488"/>
      <c r="X914" s="488"/>
      <c r="Y914" s="488"/>
      <c r="Z914" s="488"/>
      <c r="AA914" s="488"/>
      <c r="AB914" s="488"/>
      <c r="AC914" s="488"/>
      <c r="AD914" s="488"/>
      <c r="AE914" s="488"/>
      <c r="AF914" s="488"/>
      <c r="AG914" s="488"/>
      <c r="AH914" s="488"/>
      <c r="AI914" s="488"/>
      <c r="AJ914" s="488"/>
      <c r="AK914" s="488"/>
      <c r="AL914" s="488"/>
      <c r="AM914" s="488"/>
      <c r="AN914" s="488"/>
      <c r="AO914" s="488"/>
      <c r="AP914" s="488"/>
      <c r="AQ914" s="488"/>
      <c r="AR914" s="488"/>
      <c r="AS914" s="488"/>
      <c r="AT914" s="488"/>
      <c r="AU914" s="488"/>
      <c r="AV914" s="488"/>
      <c r="AW914" s="488"/>
      <c r="AX914" s="488"/>
      <c r="AY914" s="488"/>
      <c r="AZ914" s="488"/>
      <c r="BA914" s="488"/>
      <c r="BB914" s="488"/>
      <c r="BC914" s="488"/>
      <c r="BD914" s="488"/>
    </row>
    <row r="915" spans="3:56">
      <c r="C915" s="488"/>
      <c r="D915" s="488"/>
      <c r="E915" s="488"/>
      <c r="F915" s="488"/>
      <c r="G915" s="488"/>
      <c r="H915" s="488"/>
      <c r="I915" s="488"/>
      <c r="J915" s="488"/>
      <c r="K915" s="488"/>
      <c r="L915" s="488"/>
      <c r="M915" s="488"/>
      <c r="N915" s="488"/>
      <c r="O915" s="488"/>
      <c r="P915" s="488"/>
      <c r="Q915" s="488"/>
      <c r="R915" s="488"/>
      <c r="S915" s="488"/>
      <c r="T915" s="488"/>
      <c r="U915" s="488"/>
      <c r="V915" s="488"/>
      <c r="W915" s="488"/>
      <c r="X915" s="488"/>
      <c r="Y915" s="488"/>
      <c r="Z915" s="488"/>
      <c r="AA915" s="488"/>
      <c r="AB915" s="488"/>
      <c r="AC915" s="488"/>
      <c r="AD915" s="488"/>
      <c r="AE915" s="488"/>
      <c r="AF915" s="488"/>
      <c r="AG915" s="488"/>
      <c r="AH915" s="488"/>
      <c r="AI915" s="488"/>
      <c r="AJ915" s="488"/>
      <c r="AK915" s="488"/>
      <c r="AL915" s="488"/>
      <c r="AM915" s="488"/>
      <c r="AN915" s="488"/>
      <c r="AO915" s="488"/>
      <c r="AP915" s="488"/>
      <c r="AQ915" s="488"/>
      <c r="AR915" s="488"/>
      <c r="AS915" s="488"/>
      <c r="AT915" s="488"/>
      <c r="AU915" s="488"/>
      <c r="AV915" s="488"/>
      <c r="AW915" s="488"/>
      <c r="AX915" s="488"/>
      <c r="AY915" s="488"/>
      <c r="AZ915" s="488"/>
      <c r="BA915" s="488"/>
      <c r="BB915" s="488"/>
      <c r="BC915" s="488"/>
      <c r="BD915" s="488"/>
    </row>
    <row r="916" spans="3:56">
      <c r="C916" s="488"/>
      <c r="D916" s="488"/>
      <c r="E916" s="488"/>
      <c r="F916" s="488"/>
      <c r="G916" s="488"/>
      <c r="H916" s="488"/>
      <c r="I916" s="488"/>
      <c r="J916" s="488"/>
      <c r="K916" s="488"/>
      <c r="L916" s="488"/>
      <c r="M916" s="488"/>
      <c r="N916" s="488"/>
      <c r="O916" s="488"/>
      <c r="P916" s="488"/>
      <c r="Q916" s="488"/>
      <c r="R916" s="488"/>
      <c r="S916" s="488"/>
      <c r="T916" s="488"/>
      <c r="U916" s="488"/>
      <c r="V916" s="488"/>
      <c r="W916" s="488"/>
      <c r="X916" s="488"/>
      <c r="Y916" s="488"/>
      <c r="Z916" s="488"/>
      <c r="AA916" s="488"/>
      <c r="AB916" s="488"/>
      <c r="AC916" s="488"/>
      <c r="AD916" s="488"/>
      <c r="AE916" s="488"/>
      <c r="AF916" s="488"/>
      <c r="AG916" s="488"/>
      <c r="AH916" s="488"/>
      <c r="AI916" s="488"/>
      <c r="AJ916" s="488"/>
      <c r="AK916" s="488"/>
      <c r="AL916" s="488"/>
      <c r="AM916" s="488"/>
      <c r="AN916" s="488"/>
      <c r="AO916" s="488"/>
      <c r="AP916" s="488"/>
      <c r="AQ916" s="488"/>
      <c r="AR916" s="488"/>
      <c r="AS916" s="488"/>
      <c r="AT916" s="488"/>
      <c r="AU916" s="488"/>
      <c r="AV916" s="488"/>
      <c r="AW916" s="488"/>
      <c r="AX916" s="488"/>
      <c r="AY916" s="488"/>
      <c r="AZ916" s="488"/>
      <c r="BA916" s="488"/>
      <c r="BB916" s="488"/>
      <c r="BC916" s="488"/>
      <c r="BD916" s="488"/>
    </row>
    <row r="917" spans="3:56">
      <c r="C917" s="488"/>
      <c r="D917" s="488"/>
      <c r="E917" s="488"/>
      <c r="F917" s="488"/>
      <c r="G917" s="488"/>
      <c r="H917" s="488"/>
      <c r="I917" s="488"/>
      <c r="J917" s="488"/>
      <c r="K917" s="488"/>
      <c r="L917" s="488"/>
      <c r="M917" s="488"/>
      <c r="N917" s="488"/>
      <c r="O917" s="488"/>
      <c r="P917" s="488"/>
      <c r="Q917" s="488"/>
      <c r="R917" s="488"/>
      <c r="S917" s="488"/>
      <c r="T917" s="488"/>
      <c r="U917" s="488"/>
      <c r="V917" s="488"/>
      <c r="W917" s="488"/>
      <c r="X917" s="488"/>
      <c r="Y917" s="488"/>
      <c r="Z917" s="488"/>
      <c r="AA917" s="488"/>
      <c r="AB917" s="488"/>
      <c r="AC917" s="488"/>
      <c r="AD917" s="488"/>
      <c r="AE917" s="488"/>
      <c r="AF917" s="488"/>
      <c r="AG917" s="488"/>
      <c r="AH917" s="488"/>
      <c r="AI917" s="488"/>
      <c r="AJ917" s="488"/>
      <c r="AK917" s="488"/>
      <c r="AL917" s="488"/>
      <c r="AM917" s="488"/>
      <c r="AN917" s="488"/>
      <c r="AO917" s="488"/>
      <c r="AP917" s="488"/>
      <c r="AQ917" s="488"/>
      <c r="AR917" s="488"/>
      <c r="AS917" s="488"/>
      <c r="AT917" s="488"/>
      <c r="AU917" s="488"/>
      <c r="AV917" s="488"/>
      <c r="AW917" s="488"/>
      <c r="AX917" s="488"/>
      <c r="AY917" s="488"/>
      <c r="AZ917" s="488"/>
      <c r="BA917" s="488"/>
      <c r="BB917" s="488"/>
      <c r="BC917" s="488"/>
      <c r="BD917" s="488"/>
    </row>
    <row r="918" spans="3:56">
      <c r="C918" s="488"/>
      <c r="D918" s="488"/>
      <c r="E918" s="488"/>
      <c r="F918" s="488"/>
      <c r="G918" s="488"/>
      <c r="H918" s="488"/>
      <c r="I918" s="488"/>
      <c r="J918" s="488"/>
      <c r="K918" s="488"/>
      <c r="L918" s="488"/>
      <c r="M918" s="488"/>
      <c r="N918" s="488"/>
      <c r="O918" s="488"/>
      <c r="P918" s="488"/>
      <c r="Q918" s="488"/>
      <c r="R918" s="488"/>
      <c r="S918" s="488"/>
      <c r="T918" s="488"/>
      <c r="U918" s="488"/>
      <c r="V918" s="488"/>
      <c r="W918" s="488"/>
      <c r="X918" s="488"/>
      <c r="Y918" s="488"/>
      <c r="Z918" s="488"/>
      <c r="AA918" s="488"/>
      <c r="AB918" s="488"/>
      <c r="AC918" s="488"/>
      <c r="AD918" s="488"/>
      <c r="AE918" s="488"/>
      <c r="AF918" s="488"/>
      <c r="AG918" s="488"/>
      <c r="AH918" s="488"/>
      <c r="AI918" s="488"/>
      <c r="AJ918" s="488"/>
      <c r="AK918" s="488"/>
      <c r="AL918" s="488"/>
      <c r="AM918" s="488"/>
      <c r="AN918" s="488"/>
      <c r="AO918" s="488"/>
      <c r="AP918" s="488"/>
      <c r="AQ918" s="488"/>
      <c r="AR918" s="488"/>
      <c r="AS918" s="488"/>
      <c r="AT918" s="488"/>
      <c r="AU918" s="488"/>
      <c r="AV918" s="488"/>
      <c r="AW918" s="488"/>
      <c r="AX918" s="488"/>
      <c r="AY918" s="488"/>
      <c r="AZ918" s="488"/>
      <c r="BA918" s="488"/>
      <c r="BB918" s="488"/>
      <c r="BC918" s="488"/>
      <c r="BD918" s="488"/>
    </row>
    <row r="919" spans="3:56">
      <c r="C919" s="488"/>
      <c r="D919" s="488"/>
      <c r="E919" s="488"/>
      <c r="F919" s="488"/>
      <c r="G919" s="488"/>
      <c r="H919" s="488"/>
      <c r="I919" s="488"/>
      <c r="J919" s="488"/>
      <c r="K919" s="488"/>
      <c r="L919" s="488"/>
      <c r="M919" s="488"/>
      <c r="N919" s="488"/>
      <c r="O919" s="488"/>
      <c r="P919" s="488"/>
      <c r="Q919" s="488"/>
      <c r="R919" s="488"/>
      <c r="S919" s="488"/>
      <c r="T919" s="488"/>
      <c r="U919" s="488"/>
      <c r="V919" s="488"/>
      <c r="W919" s="488"/>
      <c r="X919" s="488"/>
      <c r="Y919" s="488"/>
      <c r="Z919" s="488"/>
      <c r="AA919" s="488"/>
      <c r="AB919" s="488"/>
      <c r="AC919" s="488"/>
      <c r="AD919" s="488"/>
      <c r="AE919" s="488"/>
      <c r="AF919" s="488"/>
      <c r="AG919" s="488"/>
      <c r="AH919" s="488"/>
      <c r="AI919" s="488"/>
      <c r="AJ919" s="488"/>
      <c r="AK919" s="488"/>
      <c r="AL919" s="488"/>
      <c r="AM919" s="488"/>
      <c r="AN919" s="488"/>
      <c r="AO919" s="488"/>
      <c r="AP919" s="488"/>
      <c r="AQ919" s="488"/>
      <c r="AR919" s="488"/>
      <c r="AS919" s="488"/>
      <c r="AT919" s="488"/>
      <c r="AU919" s="488"/>
      <c r="AV919" s="488"/>
      <c r="AW919" s="488"/>
      <c r="AX919" s="488"/>
      <c r="AY919" s="488"/>
      <c r="AZ919" s="488"/>
      <c r="BA919" s="488"/>
      <c r="BB919" s="488"/>
      <c r="BC919" s="488"/>
      <c r="BD919" s="488"/>
    </row>
    <row r="920" spans="3:56">
      <c r="C920" s="488"/>
      <c r="D920" s="488"/>
      <c r="E920" s="488"/>
      <c r="F920" s="488"/>
      <c r="G920" s="488"/>
      <c r="H920" s="488"/>
      <c r="I920" s="488"/>
      <c r="J920" s="488"/>
      <c r="K920" s="488"/>
      <c r="L920" s="488"/>
      <c r="M920" s="488"/>
      <c r="N920" s="488"/>
      <c r="O920" s="488"/>
      <c r="P920" s="488"/>
      <c r="Q920" s="488"/>
      <c r="R920" s="488"/>
      <c r="S920" s="488"/>
      <c r="T920" s="488"/>
      <c r="U920" s="488"/>
      <c r="V920" s="488"/>
      <c r="W920" s="488"/>
      <c r="X920" s="488"/>
      <c r="Y920" s="488"/>
      <c r="Z920" s="488"/>
      <c r="AA920" s="488"/>
      <c r="AB920" s="488"/>
      <c r="AC920" s="488"/>
      <c r="AD920" s="488"/>
      <c r="AE920" s="488"/>
      <c r="AF920" s="488"/>
      <c r="AG920" s="488"/>
      <c r="AH920" s="488"/>
      <c r="AI920" s="488"/>
      <c r="AJ920" s="488"/>
      <c r="AK920" s="488"/>
      <c r="AL920" s="488"/>
      <c r="AM920" s="488"/>
      <c r="AN920" s="488"/>
      <c r="AO920" s="488"/>
      <c r="AP920" s="488"/>
      <c r="AQ920" s="488"/>
      <c r="AR920" s="488"/>
      <c r="AS920" s="488"/>
      <c r="AT920" s="488"/>
      <c r="AU920" s="488"/>
      <c r="AV920" s="488"/>
      <c r="AW920" s="488"/>
      <c r="AX920" s="488"/>
      <c r="AY920" s="488"/>
      <c r="AZ920" s="488"/>
      <c r="BA920" s="488"/>
      <c r="BB920" s="488"/>
      <c r="BC920" s="488"/>
      <c r="BD920" s="488"/>
    </row>
    <row r="921" spans="3:56">
      <c r="C921" s="488"/>
      <c r="D921" s="488"/>
      <c r="E921" s="488"/>
      <c r="F921" s="488"/>
      <c r="G921" s="488"/>
      <c r="H921" s="488"/>
      <c r="I921" s="488"/>
      <c r="J921" s="488"/>
      <c r="K921" s="488"/>
      <c r="L921" s="488"/>
      <c r="M921" s="488"/>
      <c r="N921" s="488"/>
      <c r="O921" s="488"/>
      <c r="P921" s="488"/>
      <c r="Q921" s="488"/>
      <c r="R921" s="488"/>
      <c r="S921" s="488"/>
      <c r="T921" s="488"/>
      <c r="U921" s="488"/>
      <c r="V921" s="488"/>
      <c r="W921" s="488"/>
      <c r="X921" s="488"/>
      <c r="Y921" s="488"/>
      <c r="Z921" s="488"/>
      <c r="AA921" s="488"/>
      <c r="AB921" s="488"/>
      <c r="AC921" s="488"/>
      <c r="AD921" s="488"/>
      <c r="AE921" s="488"/>
      <c r="AF921" s="488"/>
      <c r="AG921" s="488"/>
      <c r="AH921" s="488"/>
      <c r="AI921" s="488"/>
      <c r="AJ921" s="488"/>
      <c r="AK921" s="488"/>
      <c r="AL921" s="488"/>
      <c r="AM921" s="488"/>
      <c r="AN921" s="488"/>
      <c r="AO921" s="488"/>
      <c r="AP921" s="488"/>
      <c r="AQ921" s="488"/>
      <c r="AR921" s="488"/>
      <c r="AS921" s="488"/>
      <c r="AT921" s="488"/>
      <c r="AU921" s="488"/>
      <c r="AV921" s="488"/>
      <c r="AW921" s="488"/>
      <c r="AX921" s="488"/>
      <c r="AY921" s="488"/>
      <c r="AZ921" s="488"/>
      <c r="BA921" s="488"/>
      <c r="BB921" s="488"/>
      <c r="BC921" s="488"/>
      <c r="BD921" s="488"/>
    </row>
    <row r="922" spans="3:56">
      <c r="C922" s="488"/>
      <c r="D922" s="488"/>
      <c r="E922" s="488"/>
      <c r="F922" s="488"/>
      <c r="G922" s="488"/>
      <c r="H922" s="488"/>
      <c r="I922" s="488"/>
      <c r="J922" s="488"/>
      <c r="K922" s="488"/>
      <c r="L922" s="488"/>
      <c r="M922" s="488"/>
      <c r="N922" s="488"/>
      <c r="O922" s="488"/>
      <c r="P922" s="488"/>
      <c r="Q922" s="488"/>
      <c r="R922" s="488"/>
      <c r="S922" s="488"/>
      <c r="T922" s="488"/>
      <c r="U922" s="488"/>
      <c r="V922" s="488"/>
      <c r="W922" s="488"/>
      <c r="X922" s="488"/>
      <c r="Y922" s="488"/>
      <c r="Z922" s="488"/>
      <c r="AA922" s="488"/>
      <c r="AB922" s="488"/>
      <c r="AC922" s="488"/>
      <c r="AD922" s="488"/>
      <c r="AE922" s="488"/>
      <c r="AF922" s="488"/>
      <c r="AG922" s="488"/>
      <c r="AH922" s="488"/>
      <c r="AI922" s="488"/>
      <c r="AJ922" s="488"/>
      <c r="AK922" s="488"/>
      <c r="AL922" s="488"/>
      <c r="AM922" s="488"/>
      <c r="AN922" s="488"/>
      <c r="AO922" s="488"/>
      <c r="AP922" s="488"/>
      <c r="AQ922" s="488"/>
      <c r="AR922" s="488"/>
      <c r="AS922" s="488"/>
      <c r="AT922" s="488"/>
      <c r="AU922" s="488"/>
      <c r="AV922" s="488"/>
      <c r="AW922" s="488"/>
      <c r="AX922" s="488"/>
      <c r="AY922" s="488"/>
      <c r="AZ922" s="488"/>
      <c r="BA922" s="488"/>
      <c r="BB922" s="488"/>
      <c r="BC922" s="488"/>
      <c r="BD922" s="488"/>
    </row>
    <row r="923" spans="3:56">
      <c r="C923" s="488"/>
      <c r="D923" s="488"/>
      <c r="E923" s="488"/>
      <c r="F923" s="488"/>
      <c r="G923" s="488"/>
      <c r="H923" s="488"/>
      <c r="I923" s="488"/>
      <c r="J923" s="488"/>
      <c r="K923" s="488"/>
      <c r="L923" s="488"/>
      <c r="M923" s="488"/>
      <c r="N923" s="488"/>
      <c r="O923" s="488"/>
      <c r="P923" s="488"/>
      <c r="Q923" s="488"/>
      <c r="R923" s="488"/>
      <c r="S923" s="488"/>
      <c r="T923" s="488"/>
      <c r="U923" s="488"/>
      <c r="V923" s="488"/>
      <c r="W923" s="488"/>
      <c r="X923" s="488"/>
      <c r="Y923" s="488"/>
      <c r="Z923" s="488"/>
      <c r="AA923" s="488"/>
      <c r="AB923" s="488"/>
      <c r="AC923" s="488"/>
      <c r="AD923" s="488"/>
      <c r="AE923" s="488"/>
      <c r="AF923" s="488"/>
      <c r="AG923" s="488"/>
      <c r="AH923" s="488"/>
      <c r="AI923" s="488"/>
      <c r="AJ923" s="488"/>
      <c r="AK923" s="488"/>
      <c r="AL923" s="488"/>
      <c r="AM923" s="488"/>
      <c r="AN923" s="488"/>
      <c r="AO923" s="488"/>
      <c r="AP923" s="488"/>
      <c r="AQ923" s="488"/>
      <c r="AR923" s="488"/>
      <c r="AS923" s="488"/>
      <c r="AT923" s="488"/>
      <c r="AU923" s="488"/>
      <c r="AV923" s="488"/>
      <c r="AW923" s="488"/>
      <c r="AX923" s="488"/>
      <c r="AY923" s="488"/>
      <c r="AZ923" s="488"/>
      <c r="BA923" s="488"/>
      <c r="BB923" s="488"/>
      <c r="BC923" s="488"/>
      <c r="BD923" s="488"/>
    </row>
    <row r="924" spans="3:56">
      <c r="C924" s="488"/>
      <c r="D924" s="488"/>
      <c r="E924" s="488"/>
      <c r="F924" s="488"/>
      <c r="G924" s="488"/>
      <c r="H924" s="488"/>
      <c r="I924" s="488"/>
      <c r="J924" s="488"/>
      <c r="K924" s="488"/>
      <c r="L924" s="488"/>
      <c r="M924" s="488"/>
      <c r="N924" s="488"/>
      <c r="O924" s="488"/>
      <c r="P924" s="488"/>
      <c r="Q924" s="488"/>
      <c r="R924" s="488"/>
      <c r="S924" s="488"/>
      <c r="T924" s="488"/>
      <c r="U924" s="488"/>
      <c r="V924" s="488"/>
      <c r="W924" s="488"/>
      <c r="X924" s="488"/>
      <c r="Y924" s="488"/>
      <c r="Z924" s="488"/>
      <c r="AA924" s="488"/>
      <c r="AB924" s="488"/>
      <c r="AC924" s="488"/>
      <c r="AD924" s="488"/>
      <c r="AE924" s="488"/>
      <c r="AF924" s="488"/>
      <c r="AG924" s="488"/>
      <c r="AH924" s="488"/>
      <c r="AI924" s="488"/>
      <c r="AJ924" s="488"/>
      <c r="AK924" s="488"/>
      <c r="AL924" s="488"/>
      <c r="AM924" s="488"/>
      <c r="AN924" s="488"/>
      <c r="AO924" s="488"/>
      <c r="AP924" s="488"/>
      <c r="AQ924" s="488"/>
      <c r="AR924" s="488"/>
      <c r="AS924" s="488"/>
      <c r="AT924" s="488"/>
      <c r="AU924" s="488"/>
      <c r="AV924" s="488"/>
      <c r="AW924" s="488"/>
      <c r="AX924" s="488"/>
      <c r="AY924" s="488"/>
      <c r="AZ924" s="488"/>
      <c r="BA924" s="488"/>
      <c r="BB924" s="488"/>
      <c r="BC924" s="488"/>
      <c r="BD924" s="488"/>
    </row>
    <row r="925" spans="3:56">
      <c r="C925" s="488"/>
      <c r="D925" s="488"/>
      <c r="E925" s="488"/>
      <c r="F925" s="488"/>
      <c r="G925" s="488"/>
      <c r="H925" s="488"/>
      <c r="I925" s="488"/>
      <c r="J925" s="488"/>
      <c r="K925" s="488"/>
      <c r="L925" s="488"/>
      <c r="M925" s="488"/>
      <c r="N925" s="488"/>
      <c r="O925" s="488"/>
      <c r="P925" s="488"/>
      <c r="Q925" s="488"/>
      <c r="R925" s="488"/>
      <c r="S925" s="488"/>
      <c r="T925" s="488"/>
      <c r="U925" s="488"/>
      <c r="V925" s="488"/>
      <c r="W925" s="488"/>
      <c r="X925" s="488"/>
      <c r="Y925" s="488"/>
      <c r="Z925" s="488"/>
      <c r="AA925" s="488"/>
      <c r="AB925" s="488"/>
      <c r="AC925" s="488"/>
      <c r="AD925" s="488"/>
      <c r="AE925" s="488"/>
      <c r="AF925" s="488"/>
      <c r="AG925" s="488"/>
      <c r="AH925" s="488"/>
      <c r="AI925" s="488"/>
      <c r="AJ925" s="488"/>
      <c r="AK925" s="488"/>
      <c r="AL925" s="488"/>
      <c r="AM925" s="488"/>
      <c r="AN925" s="488"/>
      <c r="AO925" s="488"/>
      <c r="AP925" s="488"/>
      <c r="AQ925" s="488"/>
      <c r="AR925" s="488"/>
      <c r="AS925" s="488"/>
      <c r="AT925" s="488"/>
      <c r="AU925" s="488"/>
      <c r="AV925" s="488"/>
      <c r="AW925" s="488"/>
      <c r="AX925" s="488"/>
      <c r="AY925" s="488"/>
      <c r="AZ925" s="488"/>
      <c r="BA925" s="488"/>
      <c r="BB925" s="488"/>
      <c r="BC925" s="488"/>
      <c r="BD925" s="488"/>
    </row>
    <row r="926" spans="3:56">
      <c r="C926" s="488"/>
      <c r="D926" s="488"/>
      <c r="E926" s="488"/>
      <c r="F926" s="488"/>
      <c r="G926" s="488"/>
      <c r="H926" s="488"/>
      <c r="I926" s="488"/>
      <c r="J926" s="488"/>
      <c r="K926" s="488"/>
      <c r="L926" s="488"/>
      <c r="M926" s="488"/>
      <c r="N926" s="488"/>
      <c r="O926" s="488"/>
      <c r="P926" s="488"/>
      <c r="Q926" s="488"/>
      <c r="R926" s="488"/>
      <c r="S926" s="488"/>
      <c r="T926" s="488"/>
      <c r="U926" s="488"/>
      <c r="V926" s="488"/>
      <c r="W926" s="488"/>
      <c r="X926" s="488"/>
      <c r="Y926" s="488"/>
      <c r="Z926" s="488"/>
      <c r="AA926" s="488"/>
      <c r="AB926" s="488"/>
      <c r="AC926" s="488"/>
      <c r="AD926" s="488"/>
      <c r="AE926" s="488"/>
      <c r="AF926" s="488"/>
      <c r="AG926" s="488"/>
      <c r="AH926" s="488"/>
      <c r="AI926" s="488"/>
      <c r="AJ926" s="488"/>
      <c r="AK926" s="488"/>
      <c r="AL926" s="488"/>
      <c r="AM926" s="488"/>
      <c r="AN926" s="488"/>
      <c r="AO926" s="488"/>
      <c r="AP926" s="488"/>
      <c r="AQ926" s="488"/>
      <c r="AR926" s="488"/>
      <c r="AS926" s="488"/>
      <c r="AT926" s="488"/>
      <c r="AU926" s="488"/>
      <c r="AV926" s="488"/>
      <c r="AW926" s="488"/>
      <c r="AX926" s="488"/>
      <c r="AY926" s="488"/>
      <c r="AZ926" s="488"/>
      <c r="BA926" s="488"/>
      <c r="BB926" s="488"/>
      <c r="BC926" s="488"/>
      <c r="BD926" s="488"/>
    </row>
    <row r="927" spans="3:56">
      <c r="C927" s="488"/>
      <c r="D927" s="488"/>
      <c r="E927" s="488"/>
      <c r="F927" s="488"/>
      <c r="G927" s="488"/>
      <c r="H927" s="488"/>
      <c r="I927" s="488"/>
      <c r="J927" s="488"/>
      <c r="K927" s="488"/>
      <c r="L927" s="488"/>
      <c r="M927" s="488"/>
      <c r="N927" s="488"/>
      <c r="O927" s="488"/>
      <c r="P927" s="488"/>
      <c r="Q927" s="488"/>
      <c r="R927" s="488"/>
      <c r="S927" s="488"/>
      <c r="T927" s="488"/>
      <c r="U927" s="488"/>
      <c r="V927" s="488"/>
      <c r="W927" s="488"/>
      <c r="X927" s="488"/>
      <c r="Y927" s="488"/>
      <c r="Z927" s="488"/>
      <c r="AA927" s="488"/>
      <c r="AB927" s="488"/>
      <c r="AC927" s="488"/>
      <c r="AD927" s="488"/>
      <c r="AE927" s="488"/>
      <c r="AF927" s="488"/>
      <c r="AG927" s="488"/>
      <c r="AH927" s="488"/>
      <c r="AI927" s="488"/>
      <c r="AJ927" s="488"/>
      <c r="AK927" s="488"/>
      <c r="AL927" s="488"/>
      <c r="AM927" s="488"/>
      <c r="AN927" s="488"/>
      <c r="AO927" s="488"/>
      <c r="AP927" s="488"/>
      <c r="AQ927" s="488"/>
      <c r="AR927" s="488"/>
      <c r="AS927" s="488"/>
      <c r="AT927" s="488"/>
      <c r="AU927" s="488"/>
      <c r="AV927" s="488"/>
      <c r="AW927" s="488"/>
      <c r="AX927" s="488"/>
      <c r="AY927" s="488"/>
      <c r="AZ927" s="488"/>
      <c r="BA927" s="488"/>
      <c r="BB927" s="488"/>
      <c r="BC927" s="488"/>
      <c r="BD927" s="488"/>
    </row>
    <row r="928" spans="3:56">
      <c r="C928" s="488"/>
      <c r="D928" s="488"/>
      <c r="E928" s="488"/>
      <c r="F928" s="488"/>
      <c r="G928" s="488"/>
      <c r="H928" s="488"/>
      <c r="I928" s="488"/>
      <c r="J928" s="488"/>
      <c r="K928" s="488"/>
      <c r="L928" s="488"/>
      <c r="M928" s="488"/>
      <c r="N928" s="488"/>
      <c r="O928" s="488"/>
      <c r="P928" s="488"/>
      <c r="Q928" s="488"/>
      <c r="R928" s="488"/>
      <c r="S928" s="488"/>
      <c r="T928" s="488"/>
      <c r="U928" s="488"/>
      <c r="V928" s="488"/>
      <c r="W928" s="488"/>
      <c r="X928" s="488"/>
      <c r="Y928" s="488"/>
      <c r="Z928" s="488"/>
      <c r="AA928" s="488"/>
      <c r="AB928" s="488"/>
      <c r="AC928" s="488"/>
      <c r="AD928" s="488"/>
      <c r="AE928" s="488"/>
      <c r="AF928" s="488"/>
      <c r="AG928" s="488"/>
      <c r="AH928" s="488"/>
      <c r="AI928" s="488"/>
      <c r="AJ928" s="488"/>
      <c r="AK928" s="488"/>
      <c r="AL928" s="488"/>
      <c r="AM928" s="488"/>
      <c r="AN928" s="488"/>
      <c r="AO928" s="488"/>
      <c r="AP928" s="488"/>
      <c r="AQ928" s="488"/>
      <c r="AR928" s="488"/>
      <c r="AS928" s="488"/>
      <c r="AT928" s="488"/>
      <c r="AU928" s="488"/>
      <c r="AV928" s="488"/>
      <c r="AW928" s="488"/>
      <c r="AX928" s="488"/>
      <c r="AY928" s="488"/>
      <c r="AZ928" s="488"/>
      <c r="BA928" s="488"/>
      <c r="BB928" s="488"/>
      <c r="BC928" s="488"/>
      <c r="BD928" s="488"/>
    </row>
    <row r="929" spans="3:56">
      <c r="C929" s="488"/>
      <c r="D929" s="488"/>
      <c r="E929" s="488"/>
      <c r="F929" s="488"/>
      <c r="G929" s="488"/>
      <c r="H929" s="488"/>
      <c r="I929" s="488"/>
      <c r="J929" s="488"/>
      <c r="K929" s="488"/>
      <c r="L929" s="488"/>
      <c r="M929" s="488"/>
      <c r="N929" s="488"/>
      <c r="O929" s="488"/>
      <c r="P929" s="488"/>
      <c r="Q929" s="488"/>
      <c r="R929" s="488"/>
      <c r="S929" s="488"/>
      <c r="T929" s="488"/>
      <c r="U929" s="488"/>
      <c r="V929" s="488"/>
      <c r="W929" s="488"/>
      <c r="X929" s="488"/>
      <c r="Y929" s="488"/>
      <c r="Z929" s="488"/>
      <c r="AA929" s="488"/>
      <c r="AB929" s="488"/>
      <c r="AC929" s="488"/>
      <c r="AD929" s="488"/>
      <c r="AE929" s="488"/>
      <c r="AF929" s="488"/>
      <c r="AG929" s="488"/>
      <c r="AH929" s="488"/>
      <c r="AI929" s="488"/>
      <c r="AJ929" s="488"/>
      <c r="AK929" s="488"/>
      <c r="AL929" s="488"/>
      <c r="AM929" s="488"/>
      <c r="AN929" s="488"/>
      <c r="AO929" s="488"/>
      <c r="AP929" s="488"/>
      <c r="AQ929" s="488"/>
      <c r="AR929" s="488"/>
      <c r="AS929" s="488"/>
      <c r="AT929" s="488"/>
      <c r="AU929" s="488"/>
      <c r="AV929" s="488"/>
      <c r="AW929" s="488"/>
      <c r="AX929" s="488"/>
      <c r="AY929" s="488"/>
      <c r="AZ929" s="488"/>
      <c r="BA929" s="488"/>
      <c r="BB929" s="488"/>
      <c r="BC929" s="488"/>
      <c r="BD929" s="488"/>
    </row>
    <row r="930" spans="3:56">
      <c r="C930" s="488"/>
      <c r="D930" s="488"/>
      <c r="E930" s="488"/>
      <c r="F930" s="488"/>
      <c r="G930" s="488"/>
      <c r="H930" s="488"/>
      <c r="I930" s="488"/>
      <c r="J930" s="488"/>
      <c r="K930" s="488"/>
      <c r="L930" s="488"/>
      <c r="M930" s="488"/>
      <c r="N930" s="488"/>
      <c r="O930" s="488"/>
      <c r="P930" s="488"/>
      <c r="Q930" s="488"/>
      <c r="R930" s="488"/>
      <c r="S930" s="488"/>
      <c r="T930" s="488"/>
      <c r="U930" s="488"/>
      <c r="V930" s="488"/>
      <c r="W930" s="488"/>
      <c r="X930" s="488"/>
      <c r="Y930" s="488"/>
      <c r="Z930" s="488"/>
      <c r="AA930" s="488"/>
      <c r="AB930" s="488"/>
      <c r="AC930" s="488"/>
      <c r="AD930" s="488"/>
      <c r="AE930" s="488"/>
      <c r="AF930" s="488"/>
      <c r="AG930" s="488"/>
      <c r="AH930" s="488"/>
      <c r="AI930" s="488"/>
      <c r="AJ930" s="488"/>
      <c r="AK930" s="488"/>
      <c r="AL930" s="488"/>
      <c r="AM930" s="488"/>
      <c r="AN930" s="488"/>
      <c r="AO930" s="488"/>
      <c r="AP930" s="488"/>
      <c r="AQ930" s="488"/>
      <c r="AR930" s="488"/>
      <c r="AS930" s="488"/>
      <c r="AT930" s="488"/>
      <c r="AU930" s="488"/>
      <c r="AV930" s="488"/>
      <c r="AW930" s="488"/>
      <c r="AX930" s="488"/>
      <c r="AY930" s="488"/>
      <c r="AZ930" s="488"/>
      <c r="BA930" s="488"/>
      <c r="BB930" s="488"/>
      <c r="BC930" s="488"/>
      <c r="BD930" s="488"/>
    </row>
    <row r="931" spans="3:56">
      <c r="C931" s="488"/>
      <c r="D931" s="488"/>
      <c r="E931" s="488"/>
      <c r="F931" s="488"/>
      <c r="G931" s="488"/>
      <c r="H931" s="488"/>
      <c r="I931" s="488"/>
      <c r="J931" s="488"/>
      <c r="K931" s="488"/>
      <c r="L931" s="488"/>
      <c r="M931" s="488"/>
      <c r="N931" s="488"/>
      <c r="O931" s="488"/>
      <c r="P931" s="488"/>
      <c r="Q931" s="488"/>
      <c r="R931" s="488"/>
      <c r="S931" s="488"/>
      <c r="T931" s="488"/>
      <c r="U931" s="488"/>
      <c r="V931" s="488"/>
      <c r="W931" s="488"/>
      <c r="X931" s="488"/>
      <c r="Y931" s="488"/>
      <c r="Z931" s="488"/>
      <c r="AA931" s="488"/>
      <c r="AB931" s="488"/>
      <c r="AC931" s="488"/>
      <c r="AD931" s="488"/>
      <c r="AE931" s="488"/>
      <c r="AF931" s="488"/>
      <c r="AG931" s="488"/>
      <c r="AH931" s="488"/>
      <c r="AI931" s="488"/>
      <c r="AJ931" s="488"/>
      <c r="AK931" s="488"/>
      <c r="AL931" s="488"/>
      <c r="AM931" s="488"/>
      <c r="AN931" s="488"/>
      <c r="AO931" s="488"/>
      <c r="AP931" s="488"/>
      <c r="AQ931" s="488"/>
      <c r="AR931" s="488"/>
      <c r="AS931" s="488"/>
      <c r="AT931" s="488"/>
      <c r="AU931" s="488"/>
      <c r="AV931" s="488"/>
      <c r="AW931" s="488"/>
      <c r="AX931" s="488"/>
      <c r="AY931" s="488"/>
      <c r="AZ931" s="488"/>
      <c r="BA931" s="488"/>
      <c r="BB931" s="488"/>
      <c r="BC931" s="488"/>
      <c r="BD931" s="488"/>
    </row>
    <row r="932" spans="3:56">
      <c r="C932" s="488"/>
      <c r="D932" s="488"/>
      <c r="E932" s="488"/>
      <c r="F932" s="488"/>
      <c r="G932" s="488"/>
      <c r="H932" s="488"/>
      <c r="I932" s="488"/>
      <c r="J932" s="488"/>
      <c r="K932" s="488"/>
      <c r="L932" s="488"/>
      <c r="M932" s="488"/>
      <c r="N932" s="488"/>
      <c r="O932" s="488"/>
      <c r="P932" s="488"/>
      <c r="Q932" s="488"/>
      <c r="R932" s="488"/>
      <c r="S932" s="488"/>
      <c r="T932" s="488"/>
      <c r="U932" s="488"/>
      <c r="V932" s="488"/>
      <c r="W932" s="488"/>
      <c r="X932" s="488"/>
      <c r="Y932" s="488"/>
      <c r="Z932" s="488"/>
      <c r="AA932" s="488"/>
      <c r="AB932" s="488"/>
      <c r="AC932" s="488"/>
      <c r="AD932" s="488"/>
      <c r="AE932" s="488"/>
      <c r="AF932" s="488"/>
      <c r="AG932" s="488"/>
      <c r="AH932" s="488"/>
      <c r="AI932" s="488"/>
      <c r="AJ932" s="488"/>
      <c r="AK932" s="488"/>
      <c r="AL932" s="488"/>
      <c r="AM932" s="488"/>
      <c r="AN932" s="488"/>
      <c r="AO932" s="488"/>
      <c r="AP932" s="488"/>
      <c r="AQ932" s="488"/>
      <c r="AR932" s="488"/>
      <c r="AS932" s="488"/>
      <c r="AT932" s="488"/>
      <c r="AU932" s="488"/>
      <c r="AV932" s="488"/>
      <c r="AW932" s="488"/>
      <c r="AX932" s="488"/>
      <c r="AY932" s="488"/>
      <c r="AZ932" s="488"/>
      <c r="BA932" s="488"/>
      <c r="BB932" s="488"/>
      <c r="BC932" s="488"/>
      <c r="BD932" s="488"/>
    </row>
    <row r="933" spans="3:56">
      <c r="C933" s="488"/>
      <c r="D933" s="488"/>
      <c r="E933" s="488"/>
      <c r="F933" s="488"/>
      <c r="G933" s="488"/>
      <c r="H933" s="488"/>
      <c r="I933" s="488"/>
      <c r="J933" s="488"/>
      <c r="K933" s="488"/>
      <c r="L933" s="488"/>
      <c r="M933" s="488"/>
      <c r="N933" s="488"/>
      <c r="O933" s="488"/>
      <c r="P933" s="488"/>
      <c r="Q933" s="488"/>
      <c r="R933" s="488"/>
      <c r="S933" s="488"/>
      <c r="T933" s="488"/>
      <c r="U933" s="488"/>
      <c r="V933" s="488"/>
      <c r="W933" s="488"/>
      <c r="X933" s="488"/>
      <c r="Y933" s="488"/>
      <c r="Z933" s="488"/>
      <c r="AA933" s="488"/>
      <c r="AB933" s="488"/>
      <c r="AC933" s="488"/>
      <c r="AD933" s="488"/>
      <c r="AE933" s="488"/>
      <c r="AF933" s="488"/>
      <c r="AG933" s="488"/>
      <c r="AH933" s="488"/>
      <c r="AI933" s="488"/>
      <c r="AJ933" s="488"/>
      <c r="AK933" s="488"/>
      <c r="AL933" s="488"/>
      <c r="AM933" s="488"/>
      <c r="AN933" s="488"/>
      <c r="AO933" s="488"/>
      <c r="AP933" s="488"/>
      <c r="AQ933" s="488"/>
      <c r="AR933" s="488"/>
      <c r="AS933" s="488"/>
      <c r="AT933" s="488"/>
      <c r="AU933" s="488"/>
      <c r="AV933" s="488"/>
      <c r="AW933" s="488"/>
      <c r="AX933" s="488"/>
      <c r="AY933" s="488"/>
      <c r="AZ933" s="488"/>
      <c r="BA933" s="488"/>
      <c r="BB933" s="488"/>
      <c r="BC933" s="488"/>
      <c r="BD933" s="488"/>
    </row>
    <row r="934" spans="3:56">
      <c r="C934" s="488"/>
      <c r="D934" s="488"/>
      <c r="E934" s="488"/>
      <c r="F934" s="488"/>
      <c r="G934" s="488"/>
      <c r="H934" s="488"/>
      <c r="I934" s="488"/>
      <c r="J934" s="488"/>
      <c r="K934" s="488"/>
      <c r="L934" s="488"/>
      <c r="M934" s="488"/>
      <c r="N934" s="488"/>
      <c r="O934" s="488"/>
      <c r="P934" s="488"/>
      <c r="Q934" s="488"/>
      <c r="R934" s="488"/>
      <c r="S934" s="488"/>
      <c r="T934" s="488"/>
      <c r="U934" s="488"/>
      <c r="V934" s="488"/>
      <c r="W934" s="488"/>
      <c r="X934" s="488"/>
      <c r="Y934" s="488"/>
      <c r="Z934" s="488"/>
      <c r="AA934" s="488"/>
      <c r="AB934" s="488"/>
      <c r="AC934" s="488"/>
      <c r="AD934" s="488"/>
      <c r="AE934" s="488"/>
      <c r="AF934" s="488"/>
      <c r="AG934" s="488"/>
      <c r="AH934" s="488"/>
      <c r="AI934" s="488"/>
      <c r="AJ934" s="488"/>
      <c r="AK934" s="488"/>
      <c r="AL934" s="488"/>
      <c r="AM934" s="488"/>
      <c r="AN934" s="488"/>
      <c r="AO934" s="488"/>
      <c r="AP934" s="488"/>
      <c r="AQ934" s="488"/>
      <c r="AR934" s="488"/>
      <c r="AS934" s="488"/>
      <c r="AT934" s="488"/>
      <c r="AU934" s="488"/>
      <c r="AV934" s="488"/>
      <c r="AW934" s="488"/>
      <c r="AX934" s="488"/>
      <c r="AY934" s="488"/>
      <c r="AZ934" s="488"/>
      <c r="BA934" s="488"/>
      <c r="BB934" s="488"/>
      <c r="BC934" s="488"/>
      <c r="BD934" s="488"/>
    </row>
    <row r="935" spans="3:56">
      <c r="C935" s="488"/>
      <c r="D935" s="488"/>
      <c r="E935" s="488"/>
      <c r="F935" s="488"/>
      <c r="G935" s="488"/>
      <c r="H935" s="488"/>
      <c r="I935" s="488"/>
      <c r="J935" s="488"/>
      <c r="K935" s="488"/>
      <c r="L935" s="488"/>
      <c r="M935" s="488"/>
      <c r="N935" s="488"/>
      <c r="O935" s="488"/>
      <c r="P935" s="488"/>
      <c r="Q935" s="488"/>
      <c r="R935" s="488"/>
      <c r="S935" s="488"/>
      <c r="T935" s="488"/>
      <c r="U935" s="488"/>
      <c r="V935" s="488"/>
      <c r="W935" s="488"/>
      <c r="X935" s="488"/>
      <c r="Y935" s="488"/>
      <c r="Z935" s="488"/>
      <c r="AA935" s="488"/>
      <c r="AB935" s="488"/>
      <c r="AC935" s="488"/>
      <c r="AD935" s="488"/>
      <c r="AE935" s="488"/>
      <c r="AF935" s="488"/>
      <c r="AG935" s="488"/>
      <c r="AH935" s="488"/>
      <c r="AI935" s="488"/>
      <c r="AJ935" s="488"/>
      <c r="AK935" s="488"/>
      <c r="AL935" s="488"/>
      <c r="AM935" s="488"/>
      <c r="AN935" s="488"/>
      <c r="AO935" s="488"/>
      <c r="AP935" s="488"/>
      <c r="AQ935" s="488"/>
      <c r="AR935" s="488"/>
      <c r="AS935" s="488"/>
      <c r="AT935" s="488"/>
      <c r="AU935" s="488"/>
      <c r="AV935" s="488"/>
      <c r="AW935" s="488"/>
      <c r="AX935" s="488"/>
      <c r="AY935" s="488"/>
      <c r="AZ935" s="488"/>
      <c r="BA935" s="488"/>
      <c r="BB935" s="488"/>
      <c r="BC935" s="488"/>
      <c r="BD935" s="488"/>
    </row>
    <row r="936" spans="3:56">
      <c r="C936" s="488"/>
      <c r="D936" s="488"/>
      <c r="E936" s="488"/>
      <c r="F936" s="488"/>
      <c r="G936" s="488"/>
      <c r="H936" s="488"/>
      <c r="I936" s="488"/>
      <c r="J936" s="488"/>
      <c r="K936" s="488"/>
      <c r="L936" s="488"/>
      <c r="M936" s="488"/>
      <c r="N936" s="488"/>
      <c r="O936" s="488"/>
      <c r="P936" s="488"/>
      <c r="Q936" s="488"/>
      <c r="R936" s="488"/>
      <c r="S936" s="488"/>
      <c r="T936" s="488"/>
      <c r="U936" s="488"/>
      <c r="V936" s="488"/>
      <c r="W936" s="488"/>
      <c r="X936" s="488"/>
      <c r="Y936" s="488"/>
      <c r="Z936" s="488"/>
      <c r="AA936" s="488"/>
      <c r="AB936" s="488"/>
      <c r="AC936" s="488"/>
      <c r="AD936" s="488"/>
      <c r="AE936" s="488"/>
      <c r="AF936" s="488"/>
      <c r="AG936" s="488"/>
      <c r="AH936" s="488"/>
      <c r="AI936" s="488"/>
      <c r="AJ936" s="488"/>
      <c r="AK936" s="488"/>
      <c r="AL936" s="488"/>
      <c r="AM936" s="488"/>
      <c r="AN936" s="488"/>
      <c r="AO936" s="488"/>
      <c r="AP936" s="488"/>
      <c r="AQ936" s="488"/>
      <c r="AR936" s="488"/>
      <c r="AS936" s="488"/>
      <c r="AT936" s="488"/>
      <c r="AU936" s="488"/>
      <c r="AV936" s="488"/>
      <c r="AW936" s="488"/>
      <c r="AX936" s="488"/>
      <c r="AY936" s="488"/>
      <c r="AZ936" s="488"/>
      <c r="BA936" s="488"/>
      <c r="BB936" s="488"/>
      <c r="BC936" s="488"/>
      <c r="BD936" s="488"/>
    </row>
    <row r="937" spans="3:56">
      <c r="C937" s="488"/>
      <c r="D937" s="488"/>
      <c r="E937" s="488"/>
      <c r="F937" s="488"/>
      <c r="G937" s="488"/>
      <c r="H937" s="488"/>
      <c r="I937" s="488"/>
      <c r="J937" s="488"/>
      <c r="K937" s="488"/>
      <c r="L937" s="488"/>
      <c r="M937" s="488"/>
      <c r="N937" s="488"/>
      <c r="O937" s="488"/>
      <c r="P937" s="488"/>
      <c r="Q937" s="488"/>
      <c r="R937" s="488"/>
      <c r="S937" s="488"/>
      <c r="T937" s="488"/>
      <c r="U937" s="488"/>
      <c r="V937" s="488"/>
      <c r="W937" s="488"/>
      <c r="X937" s="488"/>
      <c r="Y937" s="488"/>
      <c r="Z937" s="488"/>
      <c r="AA937" s="488"/>
      <c r="AB937" s="488"/>
      <c r="AC937" s="488"/>
      <c r="AD937" s="488"/>
      <c r="AE937" s="488"/>
      <c r="AF937" s="488"/>
      <c r="AG937" s="488"/>
      <c r="AH937" s="488"/>
      <c r="AI937" s="488"/>
      <c r="AJ937" s="488"/>
      <c r="AK937" s="488"/>
      <c r="AL937" s="488"/>
      <c r="AM937" s="488"/>
      <c r="AN937" s="488"/>
      <c r="AO937" s="488"/>
      <c r="AP937" s="488"/>
      <c r="AQ937" s="488"/>
      <c r="AR937" s="488"/>
      <c r="AS937" s="488"/>
      <c r="AT937" s="488"/>
      <c r="AU937" s="488"/>
      <c r="AV937" s="488"/>
      <c r="AW937" s="488"/>
      <c r="AX937" s="488"/>
      <c r="AY937" s="488"/>
      <c r="AZ937" s="488"/>
      <c r="BA937" s="488"/>
      <c r="BB937" s="488"/>
      <c r="BC937" s="488"/>
      <c r="BD937" s="488"/>
    </row>
    <row r="938" spans="3:56">
      <c r="C938" s="488"/>
      <c r="D938" s="488"/>
      <c r="E938" s="488"/>
      <c r="F938" s="488"/>
      <c r="G938" s="488"/>
      <c r="H938" s="488"/>
      <c r="I938" s="488"/>
      <c r="J938" s="488"/>
      <c r="K938" s="488"/>
      <c r="L938" s="488"/>
      <c r="M938" s="488"/>
      <c r="N938" s="488"/>
      <c r="O938" s="488"/>
      <c r="P938" s="488"/>
      <c r="Q938" s="488"/>
      <c r="R938" s="488"/>
      <c r="S938" s="488"/>
      <c r="T938" s="488"/>
      <c r="U938" s="488"/>
      <c r="V938" s="488"/>
      <c r="W938" s="488"/>
      <c r="X938" s="488"/>
      <c r="Y938" s="488"/>
      <c r="Z938" s="488"/>
      <c r="AA938" s="488"/>
      <c r="AB938" s="488"/>
      <c r="AC938" s="488"/>
      <c r="AD938" s="488"/>
      <c r="AE938" s="488"/>
      <c r="AF938" s="488"/>
      <c r="AG938" s="488"/>
      <c r="AH938" s="488"/>
      <c r="AI938" s="488"/>
      <c r="AJ938" s="488"/>
      <c r="AK938" s="488"/>
      <c r="AL938" s="488"/>
      <c r="AM938" s="488"/>
      <c r="AN938" s="488"/>
      <c r="AO938" s="488"/>
      <c r="AP938" s="488"/>
      <c r="AQ938" s="488"/>
      <c r="AR938" s="488"/>
      <c r="AS938" s="488"/>
      <c r="AT938" s="488"/>
      <c r="AU938" s="488"/>
      <c r="AV938" s="488"/>
      <c r="AW938" s="488"/>
      <c r="AX938" s="488"/>
      <c r="AY938" s="488"/>
      <c r="AZ938" s="488"/>
      <c r="BA938" s="488"/>
      <c r="BB938" s="488"/>
      <c r="BC938" s="488"/>
      <c r="BD938" s="488"/>
    </row>
    <row r="939" spans="3:56">
      <c r="C939" s="488"/>
      <c r="D939" s="488"/>
      <c r="E939" s="488"/>
      <c r="F939" s="488"/>
      <c r="G939" s="488"/>
      <c r="H939" s="488"/>
      <c r="I939" s="488"/>
      <c r="J939" s="488"/>
      <c r="K939" s="488"/>
      <c r="L939" s="488"/>
      <c r="M939" s="488"/>
      <c r="N939" s="488"/>
      <c r="O939" s="488"/>
      <c r="P939" s="488"/>
      <c r="Q939" s="488"/>
      <c r="R939" s="488"/>
      <c r="S939" s="488"/>
      <c r="T939" s="488"/>
      <c r="U939" s="488"/>
      <c r="V939" s="488"/>
      <c r="W939" s="488"/>
      <c r="X939" s="488"/>
      <c r="Y939" s="488"/>
      <c r="Z939" s="488"/>
      <c r="AA939" s="488"/>
      <c r="AB939" s="488"/>
      <c r="AC939" s="488"/>
      <c r="AD939" s="488"/>
      <c r="AE939" s="488"/>
      <c r="AF939" s="488"/>
      <c r="AG939" s="488"/>
      <c r="AH939" s="488"/>
      <c r="AI939" s="488"/>
      <c r="AJ939" s="488"/>
      <c r="AK939" s="488"/>
      <c r="AL939" s="488"/>
      <c r="AM939" s="488"/>
      <c r="AN939" s="488"/>
      <c r="AO939" s="488"/>
      <c r="AP939" s="488"/>
      <c r="AQ939" s="488"/>
      <c r="AR939" s="488"/>
      <c r="AS939" s="488"/>
      <c r="AT939" s="488"/>
      <c r="AU939" s="488"/>
      <c r="AV939" s="488"/>
      <c r="AW939" s="488"/>
      <c r="AX939" s="488"/>
      <c r="AY939" s="488"/>
      <c r="AZ939" s="488"/>
      <c r="BA939" s="488"/>
      <c r="BB939" s="488"/>
      <c r="BC939" s="488"/>
      <c r="BD939" s="488"/>
    </row>
    <row r="940" spans="3:56">
      <c r="C940" s="488"/>
      <c r="D940" s="488"/>
      <c r="E940" s="488"/>
      <c r="F940" s="488"/>
      <c r="G940" s="488"/>
      <c r="H940" s="488"/>
      <c r="I940" s="488"/>
      <c r="J940" s="488"/>
      <c r="K940" s="488"/>
      <c r="L940" s="488"/>
      <c r="M940" s="488"/>
      <c r="N940" s="488"/>
      <c r="O940" s="488"/>
      <c r="P940" s="488"/>
      <c r="Q940" s="488"/>
      <c r="R940" s="488"/>
      <c r="S940" s="488"/>
      <c r="T940" s="488"/>
      <c r="U940" s="488"/>
      <c r="V940" s="488"/>
      <c r="W940" s="488"/>
      <c r="X940" s="488"/>
      <c r="Y940" s="488"/>
      <c r="Z940" s="488"/>
      <c r="AA940" s="488"/>
      <c r="AB940" s="488"/>
      <c r="AC940" s="488"/>
      <c r="AD940" s="488"/>
      <c r="AE940" s="488"/>
      <c r="AF940" s="488"/>
      <c r="AG940" s="488"/>
      <c r="AH940" s="488"/>
      <c r="AI940" s="488"/>
      <c r="AJ940" s="488"/>
      <c r="AK940" s="488"/>
      <c r="AL940" s="488"/>
      <c r="AM940" s="488"/>
      <c r="AN940" s="488"/>
      <c r="AO940" s="488"/>
      <c r="AP940" s="488"/>
      <c r="AQ940" s="488"/>
      <c r="AR940" s="488"/>
      <c r="AS940" s="488"/>
      <c r="AT940" s="488"/>
      <c r="AU940" s="488"/>
      <c r="AV940" s="488"/>
      <c r="AW940" s="488"/>
      <c r="AX940" s="488"/>
      <c r="AY940" s="488"/>
      <c r="AZ940" s="488"/>
      <c r="BA940" s="488"/>
      <c r="BB940" s="488"/>
      <c r="BC940" s="488"/>
      <c r="BD940" s="488"/>
    </row>
    <row r="941" spans="3:56">
      <c r="C941" s="488"/>
      <c r="D941" s="488"/>
      <c r="E941" s="488"/>
      <c r="F941" s="488"/>
      <c r="G941" s="488"/>
      <c r="H941" s="488"/>
      <c r="I941" s="488"/>
      <c r="J941" s="488"/>
      <c r="K941" s="488"/>
      <c r="L941" s="488"/>
      <c r="M941" s="488"/>
      <c r="N941" s="488"/>
      <c r="O941" s="488"/>
      <c r="P941" s="488"/>
      <c r="Q941" s="488"/>
      <c r="R941" s="488"/>
      <c r="S941" s="488"/>
      <c r="T941" s="488"/>
      <c r="U941" s="488"/>
      <c r="V941" s="488"/>
      <c r="W941" s="488"/>
      <c r="X941" s="488"/>
      <c r="Y941" s="488"/>
      <c r="Z941" s="488"/>
      <c r="AA941" s="488"/>
      <c r="AB941" s="488"/>
      <c r="AC941" s="488"/>
      <c r="AD941" s="488"/>
      <c r="AE941" s="488"/>
      <c r="AF941" s="488"/>
      <c r="AG941" s="488"/>
      <c r="AH941" s="488"/>
      <c r="AI941" s="488"/>
      <c r="AJ941" s="488"/>
      <c r="AK941" s="488"/>
      <c r="AL941" s="488"/>
      <c r="AM941" s="488"/>
      <c r="AN941" s="488"/>
      <c r="AO941" s="488"/>
      <c r="AP941" s="488"/>
      <c r="AQ941" s="488"/>
      <c r="AR941" s="488"/>
      <c r="AS941" s="488"/>
      <c r="AT941" s="488"/>
      <c r="AU941" s="488"/>
      <c r="AV941" s="488"/>
      <c r="AW941" s="488"/>
      <c r="AX941" s="488"/>
      <c r="AY941" s="488"/>
      <c r="AZ941" s="488"/>
      <c r="BA941" s="488"/>
      <c r="BB941" s="488"/>
      <c r="BC941" s="488"/>
      <c r="BD941" s="488"/>
    </row>
    <row r="942" spans="3:56">
      <c r="C942" s="488"/>
      <c r="D942" s="488"/>
      <c r="E942" s="488"/>
      <c r="F942" s="488"/>
      <c r="G942" s="488"/>
      <c r="H942" s="488"/>
      <c r="I942" s="488"/>
      <c r="J942" s="488"/>
      <c r="K942" s="488"/>
      <c r="L942" s="488"/>
      <c r="M942" s="488"/>
      <c r="N942" s="488"/>
      <c r="O942" s="488"/>
      <c r="P942" s="488"/>
      <c r="Q942" s="488"/>
      <c r="R942" s="488"/>
      <c r="S942" s="488"/>
      <c r="T942" s="488"/>
      <c r="U942" s="488"/>
      <c r="V942" s="488"/>
      <c r="W942" s="488"/>
      <c r="X942" s="488"/>
      <c r="Y942" s="488"/>
      <c r="Z942" s="488"/>
      <c r="AA942" s="488"/>
      <c r="AB942" s="488"/>
      <c r="AC942" s="488"/>
      <c r="AD942" s="488"/>
      <c r="AE942" s="488"/>
      <c r="AF942" s="488"/>
      <c r="AG942" s="488"/>
      <c r="AH942" s="488"/>
      <c r="AI942" s="488"/>
      <c r="AJ942" s="488"/>
      <c r="AK942" s="488"/>
      <c r="AL942" s="488"/>
      <c r="AM942" s="488"/>
      <c r="AN942" s="488"/>
      <c r="AO942" s="488"/>
      <c r="AP942" s="488"/>
      <c r="AQ942" s="488"/>
      <c r="AR942" s="488"/>
      <c r="AS942" s="488"/>
      <c r="AT942" s="488"/>
      <c r="AU942" s="488"/>
      <c r="AV942" s="488"/>
      <c r="AW942" s="488"/>
      <c r="AX942" s="488"/>
      <c r="AY942" s="488"/>
      <c r="AZ942" s="488"/>
      <c r="BA942" s="488"/>
      <c r="BB942" s="488"/>
      <c r="BC942" s="488"/>
      <c r="BD942" s="488"/>
    </row>
    <row r="943" spans="3:56">
      <c r="C943" s="488"/>
      <c r="D943" s="488"/>
      <c r="E943" s="488"/>
      <c r="F943" s="488"/>
      <c r="G943" s="488"/>
      <c r="H943" s="488"/>
      <c r="I943" s="488"/>
      <c r="J943" s="488"/>
      <c r="K943" s="488"/>
      <c r="L943" s="488"/>
      <c r="M943" s="488"/>
      <c r="N943" s="488"/>
      <c r="O943" s="488"/>
      <c r="P943" s="488"/>
      <c r="Q943" s="488"/>
      <c r="R943" s="488"/>
      <c r="S943" s="488"/>
      <c r="T943" s="488"/>
      <c r="U943" s="488"/>
      <c r="V943" s="488"/>
      <c r="W943" s="488"/>
      <c r="X943" s="488"/>
      <c r="Y943" s="488"/>
      <c r="Z943" s="488"/>
      <c r="AA943" s="488"/>
      <c r="AB943" s="488"/>
      <c r="AC943" s="488"/>
      <c r="AD943" s="488"/>
      <c r="AE943" s="488"/>
      <c r="AF943" s="488"/>
      <c r="AG943" s="488"/>
      <c r="AH943" s="488"/>
      <c r="AI943" s="488"/>
      <c r="AJ943" s="488"/>
      <c r="AK943" s="488"/>
      <c r="AL943" s="488"/>
      <c r="AM943" s="488"/>
      <c r="AN943" s="488"/>
      <c r="AO943" s="488"/>
      <c r="AP943" s="488"/>
      <c r="AQ943" s="488"/>
      <c r="AR943" s="488"/>
      <c r="AS943" s="488"/>
      <c r="AT943" s="488"/>
      <c r="AU943" s="488"/>
      <c r="AV943" s="488"/>
      <c r="AW943" s="488"/>
      <c r="AX943" s="488"/>
      <c r="AY943" s="488"/>
      <c r="AZ943" s="488"/>
      <c r="BA943" s="488"/>
      <c r="BB943" s="488"/>
      <c r="BC943" s="488"/>
      <c r="BD943" s="488"/>
    </row>
    <row r="944" spans="3:56">
      <c r="C944" s="488"/>
      <c r="D944" s="488"/>
      <c r="E944" s="488"/>
      <c r="F944" s="488"/>
      <c r="G944" s="488"/>
      <c r="H944" s="488"/>
      <c r="I944" s="488"/>
      <c r="J944" s="488"/>
      <c r="K944" s="488"/>
      <c r="L944" s="488"/>
      <c r="M944" s="488"/>
      <c r="N944" s="488"/>
      <c r="O944" s="488"/>
      <c r="P944" s="488"/>
      <c r="Q944" s="488"/>
      <c r="R944" s="488"/>
      <c r="S944" s="488"/>
      <c r="T944" s="488"/>
      <c r="U944" s="488"/>
      <c r="V944" s="488"/>
      <c r="W944" s="488"/>
      <c r="X944" s="488"/>
      <c r="Y944" s="488"/>
      <c r="Z944" s="488"/>
      <c r="AA944" s="488"/>
      <c r="AB944" s="488"/>
      <c r="AC944" s="488"/>
      <c r="AD944" s="488"/>
      <c r="AE944" s="488"/>
      <c r="AF944" s="488"/>
      <c r="AG944" s="488"/>
      <c r="AH944" s="488"/>
      <c r="AI944" s="488"/>
      <c r="AJ944" s="488"/>
      <c r="AK944" s="488"/>
      <c r="AL944" s="488"/>
      <c r="AM944" s="488"/>
      <c r="AN944" s="488"/>
      <c r="AO944" s="488"/>
      <c r="AP944" s="488"/>
      <c r="AQ944" s="488"/>
      <c r="AR944" s="488"/>
      <c r="AS944" s="488"/>
      <c r="AT944" s="488"/>
      <c r="AU944" s="488"/>
      <c r="AV944" s="488"/>
      <c r="AW944" s="488"/>
      <c r="AX944" s="488"/>
      <c r="AY944" s="488"/>
      <c r="AZ944" s="488"/>
      <c r="BA944" s="488"/>
      <c r="BB944" s="488"/>
      <c r="BC944" s="488"/>
      <c r="BD944" s="488"/>
    </row>
    <row r="945" spans="3:56">
      <c r="C945" s="488"/>
      <c r="D945" s="488"/>
      <c r="E945" s="488"/>
      <c r="F945" s="488"/>
      <c r="G945" s="488"/>
      <c r="H945" s="488"/>
      <c r="I945" s="488"/>
      <c r="J945" s="488"/>
      <c r="K945" s="488"/>
      <c r="L945" s="488"/>
      <c r="M945" s="488"/>
      <c r="N945" s="488"/>
      <c r="O945" s="488"/>
      <c r="P945" s="488"/>
      <c r="Q945" s="488"/>
      <c r="R945" s="488"/>
      <c r="S945" s="488"/>
      <c r="T945" s="488"/>
      <c r="U945" s="488"/>
      <c r="V945" s="488"/>
      <c r="W945" s="488"/>
      <c r="X945" s="488"/>
      <c r="Y945" s="488"/>
      <c r="Z945" s="488"/>
      <c r="AA945" s="488"/>
      <c r="AB945" s="488"/>
      <c r="AC945" s="488"/>
      <c r="AD945" s="488"/>
      <c r="AE945" s="488"/>
      <c r="AF945" s="488"/>
      <c r="AG945" s="488"/>
      <c r="AH945" s="488"/>
      <c r="AI945" s="488"/>
      <c r="AJ945" s="488"/>
      <c r="AK945" s="488"/>
      <c r="AL945" s="488"/>
      <c r="AM945" s="488"/>
      <c r="AN945" s="488"/>
      <c r="AO945" s="488"/>
      <c r="AP945" s="488"/>
      <c r="AQ945" s="488"/>
      <c r="AR945" s="488"/>
      <c r="AS945" s="488"/>
      <c r="AT945" s="488"/>
      <c r="AU945" s="488"/>
      <c r="AV945" s="488"/>
      <c r="AW945" s="488"/>
      <c r="AX945" s="488"/>
      <c r="AY945" s="488"/>
      <c r="AZ945" s="488"/>
      <c r="BA945" s="488"/>
      <c r="BB945" s="488"/>
      <c r="BC945" s="488"/>
      <c r="BD945" s="488"/>
    </row>
    <row r="946" spans="3:56">
      <c r="C946" s="488"/>
      <c r="D946" s="488"/>
      <c r="E946" s="488"/>
      <c r="F946" s="488"/>
      <c r="G946" s="488"/>
      <c r="H946" s="488"/>
      <c r="I946" s="488"/>
      <c r="J946" s="488"/>
      <c r="K946" s="488"/>
      <c r="L946" s="488"/>
      <c r="M946" s="488"/>
      <c r="N946" s="488"/>
      <c r="O946" s="488"/>
      <c r="P946" s="488"/>
      <c r="Q946" s="488"/>
      <c r="R946" s="488"/>
      <c r="S946" s="488"/>
      <c r="T946" s="488"/>
      <c r="U946" s="488"/>
      <c r="V946" s="488"/>
      <c r="W946" s="488"/>
      <c r="X946" s="488"/>
      <c r="Y946" s="488"/>
      <c r="Z946" s="488"/>
      <c r="AA946" s="488"/>
      <c r="AB946" s="488"/>
      <c r="AC946" s="488"/>
      <c r="AD946" s="488"/>
      <c r="AE946" s="488"/>
      <c r="AF946" s="488"/>
      <c r="AG946" s="488"/>
      <c r="AH946" s="488"/>
      <c r="AI946" s="488"/>
      <c r="AJ946" s="488"/>
      <c r="AK946" s="488"/>
      <c r="AL946" s="488"/>
      <c r="AM946" s="488"/>
      <c r="AN946" s="488"/>
      <c r="AO946" s="488"/>
      <c r="AP946" s="488"/>
      <c r="AQ946" s="488"/>
      <c r="AR946" s="488"/>
      <c r="AS946" s="488"/>
      <c r="AT946" s="488"/>
      <c r="AU946" s="488"/>
      <c r="AV946" s="488"/>
      <c r="AW946" s="488"/>
      <c r="AX946" s="488"/>
      <c r="AY946" s="488"/>
      <c r="AZ946" s="488"/>
      <c r="BA946" s="488"/>
      <c r="BB946" s="488"/>
      <c r="BC946" s="488"/>
      <c r="BD946" s="488"/>
    </row>
    <row r="947" spans="3:56">
      <c r="C947" s="488"/>
      <c r="D947" s="488"/>
      <c r="E947" s="488"/>
      <c r="F947" s="488"/>
      <c r="G947" s="488"/>
      <c r="H947" s="488"/>
      <c r="I947" s="488"/>
      <c r="J947" s="488"/>
      <c r="K947" s="488"/>
      <c r="L947" s="488"/>
      <c r="M947" s="488"/>
      <c r="N947" s="488"/>
      <c r="O947" s="488"/>
      <c r="P947" s="488"/>
      <c r="Q947" s="488"/>
      <c r="R947" s="488"/>
      <c r="S947" s="488"/>
      <c r="T947" s="488"/>
      <c r="U947" s="488"/>
      <c r="V947" s="488"/>
      <c r="W947" s="488"/>
      <c r="X947" s="488"/>
      <c r="Y947" s="488"/>
      <c r="Z947" s="488"/>
      <c r="AA947" s="488"/>
      <c r="AB947" s="488"/>
      <c r="AC947" s="488"/>
      <c r="AD947" s="488"/>
      <c r="AE947" s="488"/>
      <c r="AF947" s="488"/>
      <c r="AG947" s="488"/>
      <c r="AH947" s="488"/>
      <c r="AI947" s="488"/>
      <c r="AJ947" s="488"/>
      <c r="AK947" s="488"/>
      <c r="AL947" s="488"/>
      <c r="AM947" s="488"/>
      <c r="AN947" s="488"/>
      <c r="AO947" s="488"/>
      <c r="AP947" s="488"/>
      <c r="AQ947" s="488"/>
      <c r="AR947" s="488"/>
      <c r="AS947" s="488"/>
      <c r="AT947" s="488"/>
      <c r="AU947" s="488"/>
      <c r="AV947" s="488"/>
      <c r="AW947" s="488"/>
      <c r="AX947" s="488"/>
      <c r="AY947" s="488"/>
      <c r="AZ947" s="488"/>
      <c r="BA947" s="488"/>
      <c r="BB947" s="488"/>
      <c r="BC947" s="488"/>
      <c r="BD947" s="488"/>
    </row>
    <row r="948" spans="3:56">
      <c r="C948" s="488"/>
      <c r="D948" s="488"/>
      <c r="E948" s="488"/>
      <c r="F948" s="488"/>
      <c r="G948" s="488"/>
      <c r="H948" s="488"/>
      <c r="I948" s="488"/>
      <c r="J948" s="488"/>
      <c r="K948" s="488"/>
      <c r="L948" s="488"/>
      <c r="M948" s="488"/>
      <c r="N948" s="488"/>
      <c r="O948" s="488"/>
      <c r="P948" s="488"/>
      <c r="Q948" s="488"/>
      <c r="R948" s="488"/>
      <c r="S948" s="488"/>
      <c r="T948" s="488"/>
      <c r="U948" s="488"/>
      <c r="V948" s="488"/>
      <c r="W948" s="488"/>
      <c r="X948" s="488"/>
      <c r="Y948" s="488"/>
      <c r="Z948" s="488"/>
      <c r="AA948" s="488"/>
      <c r="AB948" s="488"/>
      <c r="AC948" s="488"/>
      <c r="AD948" s="488"/>
      <c r="AE948" s="488"/>
      <c r="AF948" s="488"/>
      <c r="AG948" s="488"/>
      <c r="AH948" s="488"/>
      <c r="AI948" s="488"/>
      <c r="AJ948" s="488"/>
      <c r="AK948" s="488"/>
      <c r="AL948" s="488"/>
      <c r="AM948" s="488"/>
      <c r="AN948" s="488"/>
      <c r="AO948" s="488"/>
      <c r="AP948" s="488"/>
      <c r="AQ948" s="488"/>
      <c r="AR948" s="488"/>
      <c r="AS948" s="488"/>
      <c r="AT948" s="488"/>
      <c r="AU948" s="488"/>
      <c r="AV948" s="488"/>
      <c r="AW948" s="488"/>
      <c r="AX948" s="488"/>
      <c r="AY948" s="488"/>
      <c r="AZ948" s="488"/>
      <c r="BA948" s="488"/>
      <c r="BB948" s="488"/>
      <c r="BC948" s="488"/>
      <c r="BD948" s="488"/>
    </row>
    <row r="949" spans="3:56">
      <c r="C949" s="488"/>
      <c r="D949" s="488"/>
      <c r="E949" s="488"/>
      <c r="F949" s="488"/>
      <c r="G949" s="488"/>
      <c r="H949" s="488"/>
      <c r="I949" s="488"/>
      <c r="J949" s="488"/>
      <c r="K949" s="488"/>
      <c r="L949" s="488"/>
      <c r="M949" s="488"/>
      <c r="N949" s="488"/>
      <c r="O949" s="488"/>
      <c r="P949" s="488"/>
      <c r="Q949" s="488"/>
      <c r="R949" s="488"/>
      <c r="S949" s="488"/>
      <c r="T949" s="488"/>
      <c r="U949" s="488"/>
      <c r="V949" s="488"/>
      <c r="W949" s="488"/>
      <c r="X949" s="488"/>
      <c r="Y949" s="488"/>
      <c r="Z949" s="488"/>
      <c r="AA949" s="488"/>
      <c r="AB949" s="488"/>
      <c r="AC949" s="488"/>
      <c r="AD949" s="488"/>
      <c r="AE949" s="488"/>
      <c r="AF949" s="488"/>
      <c r="AG949" s="488"/>
      <c r="AH949" s="488"/>
      <c r="AI949" s="488"/>
      <c r="AJ949" s="488"/>
      <c r="AK949" s="488"/>
      <c r="AL949" s="488"/>
      <c r="AM949" s="488"/>
      <c r="AN949" s="488"/>
      <c r="AO949" s="488"/>
      <c r="AP949" s="488"/>
      <c r="AQ949" s="488"/>
      <c r="AR949" s="488"/>
      <c r="AS949" s="488"/>
      <c r="AT949" s="488"/>
      <c r="AU949" s="488"/>
      <c r="AV949" s="488"/>
      <c r="AW949" s="488"/>
      <c r="AX949" s="488"/>
      <c r="AY949" s="488"/>
      <c r="AZ949" s="488"/>
      <c r="BA949" s="488"/>
      <c r="BB949" s="488"/>
      <c r="BC949" s="488"/>
      <c r="BD949" s="488"/>
    </row>
    <row r="950" spans="3:56">
      <c r="C950" s="488"/>
      <c r="D950" s="488"/>
      <c r="E950" s="488"/>
      <c r="F950" s="488"/>
      <c r="G950" s="488"/>
      <c r="H950" s="488"/>
      <c r="I950" s="488"/>
      <c r="J950" s="488"/>
      <c r="K950" s="488"/>
      <c r="L950" s="488"/>
      <c r="M950" s="488"/>
      <c r="N950" s="488"/>
      <c r="O950" s="488"/>
      <c r="P950" s="488"/>
      <c r="Q950" s="488"/>
      <c r="R950" s="488"/>
      <c r="S950" s="488"/>
      <c r="T950" s="488"/>
      <c r="U950" s="488"/>
      <c r="V950" s="488"/>
      <c r="W950" s="488"/>
      <c r="X950" s="488"/>
      <c r="Y950" s="488"/>
      <c r="Z950" s="488"/>
      <c r="AA950" s="488"/>
      <c r="AB950" s="488"/>
      <c r="AC950" s="488"/>
      <c r="AD950" s="488"/>
      <c r="AE950" s="488"/>
      <c r="AF950" s="488"/>
      <c r="AG950" s="488"/>
      <c r="AH950" s="488"/>
      <c r="AI950" s="488"/>
      <c r="AJ950" s="488"/>
      <c r="AK950" s="488"/>
      <c r="AL950" s="488"/>
      <c r="AM950" s="488"/>
      <c r="AN950" s="488"/>
      <c r="AO950" s="488"/>
      <c r="AP950" s="488"/>
      <c r="AQ950" s="488"/>
      <c r="AR950" s="488"/>
      <c r="AS950" s="488"/>
      <c r="AT950" s="488"/>
      <c r="AU950" s="488"/>
      <c r="AV950" s="488"/>
      <c r="AW950" s="488"/>
      <c r="AX950" s="488"/>
      <c r="AY950" s="488"/>
      <c r="AZ950" s="488"/>
      <c r="BA950" s="488"/>
      <c r="BB950" s="488"/>
      <c r="BC950" s="488"/>
      <c r="BD950" s="488"/>
    </row>
    <row r="951" spans="3:56">
      <c r="C951" s="488"/>
      <c r="D951" s="488"/>
      <c r="E951" s="488"/>
      <c r="F951" s="488"/>
      <c r="G951" s="488"/>
      <c r="H951" s="488"/>
      <c r="I951" s="488"/>
      <c r="J951" s="488"/>
      <c r="K951" s="488"/>
      <c r="L951" s="488"/>
      <c r="M951" s="488"/>
      <c r="N951" s="488"/>
      <c r="O951" s="488"/>
      <c r="P951" s="488"/>
      <c r="Q951" s="488"/>
      <c r="R951" s="488"/>
      <c r="S951" s="488"/>
      <c r="T951" s="488"/>
      <c r="U951" s="488"/>
      <c r="V951" s="488"/>
      <c r="W951" s="488"/>
      <c r="X951" s="488"/>
      <c r="Y951" s="488"/>
      <c r="Z951" s="488"/>
      <c r="AA951" s="488"/>
      <c r="AB951" s="488"/>
      <c r="AC951" s="488"/>
      <c r="AD951" s="488"/>
      <c r="AE951" s="488"/>
      <c r="AF951" s="488"/>
      <c r="AG951" s="488"/>
      <c r="AH951" s="488"/>
      <c r="AI951" s="488"/>
      <c r="AJ951" s="488"/>
      <c r="AK951" s="488"/>
      <c r="AL951" s="488"/>
      <c r="AM951" s="488"/>
      <c r="AN951" s="488"/>
      <c r="AO951" s="488"/>
      <c r="AP951" s="488"/>
      <c r="AQ951" s="488"/>
      <c r="AR951" s="488"/>
      <c r="AS951" s="488"/>
      <c r="AT951" s="488"/>
      <c r="AU951" s="488"/>
      <c r="AV951" s="488"/>
      <c r="AW951" s="488"/>
      <c r="AX951" s="488"/>
      <c r="AY951" s="488"/>
      <c r="AZ951" s="488"/>
      <c r="BA951" s="488"/>
      <c r="BB951" s="488"/>
      <c r="BC951" s="488"/>
      <c r="BD951" s="488"/>
    </row>
    <row r="952" spans="3:56">
      <c r="C952" s="488"/>
      <c r="D952" s="488"/>
      <c r="E952" s="488"/>
      <c r="F952" s="488"/>
      <c r="G952" s="488"/>
      <c r="H952" s="488"/>
      <c r="I952" s="488"/>
      <c r="J952" s="488"/>
      <c r="K952" s="488"/>
      <c r="L952" s="488"/>
      <c r="M952" s="488"/>
      <c r="N952" s="488"/>
      <c r="O952" s="488"/>
      <c r="P952" s="488"/>
      <c r="Q952" s="488"/>
      <c r="R952" s="488"/>
      <c r="S952" s="488"/>
      <c r="T952" s="488"/>
      <c r="U952" s="488"/>
      <c r="V952" s="488"/>
      <c r="W952" s="488"/>
      <c r="X952" s="488"/>
      <c r="Y952" s="488"/>
      <c r="Z952" s="488"/>
      <c r="AA952" s="488"/>
      <c r="AB952" s="488"/>
      <c r="AC952" s="488"/>
      <c r="AD952" s="488"/>
      <c r="AE952" s="488"/>
      <c r="AF952" s="488"/>
      <c r="AG952" s="488"/>
      <c r="AH952" s="488"/>
      <c r="AI952" s="488"/>
      <c r="AJ952" s="488"/>
      <c r="AK952" s="488"/>
      <c r="AL952" s="488"/>
      <c r="AM952" s="488"/>
      <c r="AN952" s="488"/>
      <c r="AO952" s="488"/>
      <c r="AP952" s="488"/>
      <c r="AQ952" s="488"/>
      <c r="AR952" s="488"/>
      <c r="AS952" s="488"/>
      <c r="AT952" s="488"/>
      <c r="AU952" s="488"/>
      <c r="AV952" s="488"/>
      <c r="AW952" s="488"/>
      <c r="AX952" s="488"/>
      <c r="AY952" s="488"/>
      <c r="AZ952" s="488"/>
      <c r="BA952" s="488"/>
      <c r="BB952" s="488"/>
      <c r="BC952" s="488"/>
      <c r="BD952" s="488"/>
    </row>
    <row r="953" spans="3:56">
      <c r="C953" s="488"/>
      <c r="D953" s="488"/>
      <c r="E953" s="488"/>
      <c r="F953" s="488"/>
      <c r="G953" s="488"/>
      <c r="H953" s="488"/>
      <c r="I953" s="488"/>
      <c r="J953" s="488"/>
      <c r="K953" s="488"/>
      <c r="L953" s="488"/>
      <c r="M953" s="488"/>
      <c r="N953" s="488"/>
      <c r="O953" s="488"/>
      <c r="P953" s="488"/>
      <c r="Q953" s="488"/>
      <c r="R953" s="488"/>
      <c r="S953" s="488"/>
      <c r="T953" s="488"/>
      <c r="U953" s="488"/>
      <c r="V953" s="488"/>
      <c r="W953" s="488"/>
      <c r="X953" s="488"/>
      <c r="Y953" s="488"/>
      <c r="Z953" s="488"/>
      <c r="AA953" s="488"/>
      <c r="AB953" s="488"/>
      <c r="AC953" s="488"/>
      <c r="AD953" s="488"/>
      <c r="AE953" s="488"/>
      <c r="AF953" s="488"/>
      <c r="AG953" s="488"/>
      <c r="AH953" s="488"/>
      <c r="AI953" s="488"/>
      <c r="AJ953" s="488"/>
      <c r="AK953" s="488"/>
      <c r="AL953" s="488"/>
      <c r="AM953" s="488"/>
      <c r="AN953" s="488"/>
      <c r="AO953" s="488"/>
      <c r="AP953" s="488"/>
      <c r="AQ953" s="488"/>
      <c r="AR953" s="488"/>
      <c r="AS953" s="488"/>
      <c r="AT953" s="488"/>
      <c r="AU953" s="488"/>
      <c r="AV953" s="488"/>
      <c r="AW953" s="488"/>
      <c r="AX953" s="488"/>
      <c r="AY953" s="488"/>
      <c r="AZ953" s="488"/>
      <c r="BA953" s="488"/>
      <c r="BB953" s="488"/>
      <c r="BC953" s="488"/>
      <c r="BD953" s="488"/>
    </row>
    <row r="954" spans="3:56">
      <c r="C954" s="488"/>
      <c r="D954" s="488"/>
      <c r="E954" s="488"/>
      <c r="F954" s="488"/>
      <c r="G954" s="488"/>
      <c r="H954" s="488"/>
      <c r="I954" s="488"/>
      <c r="J954" s="488"/>
      <c r="K954" s="488"/>
      <c r="L954" s="488"/>
      <c r="M954" s="488"/>
      <c r="N954" s="488"/>
      <c r="O954" s="488"/>
      <c r="P954" s="488"/>
      <c r="Q954" s="488"/>
      <c r="R954" s="488"/>
      <c r="S954" s="488"/>
      <c r="T954" s="488"/>
      <c r="U954" s="488"/>
      <c r="V954" s="488"/>
      <c r="W954" s="488"/>
      <c r="X954" s="488"/>
      <c r="Y954" s="488"/>
      <c r="Z954" s="488"/>
      <c r="AA954" s="488"/>
      <c r="AB954" s="488"/>
      <c r="AC954" s="488"/>
      <c r="AD954" s="488"/>
      <c r="AE954" s="488"/>
      <c r="AF954" s="488"/>
      <c r="AG954" s="488"/>
      <c r="AH954" s="488"/>
      <c r="AI954" s="488"/>
      <c r="AJ954" s="488"/>
      <c r="AK954" s="488"/>
      <c r="AL954" s="488"/>
      <c r="AM954" s="488"/>
      <c r="AN954" s="488"/>
      <c r="AO954" s="488"/>
      <c r="AP954" s="488"/>
      <c r="AQ954" s="488"/>
      <c r="AR954" s="488"/>
      <c r="AS954" s="488"/>
      <c r="AT954" s="488"/>
      <c r="AU954" s="488"/>
      <c r="AV954" s="488"/>
      <c r="AW954" s="488"/>
      <c r="AX954" s="488"/>
      <c r="AY954" s="488"/>
      <c r="AZ954" s="488"/>
      <c r="BA954" s="488"/>
      <c r="BB954" s="488"/>
      <c r="BC954" s="488"/>
      <c r="BD954" s="488"/>
    </row>
    <row r="955" spans="3:56">
      <c r="C955" s="488"/>
      <c r="D955" s="488"/>
      <c r="E955" s="488"/>
      <c r="F955" s="488"/>
      <c r="G955" s="488"/>
      <c r="H955" s="488"/>
      <c r="I955" s="488"/>
      <c r="J955" s="488"/>
      <c r="K955" s="488"/>
      <c r="L955" s="488"/>
      <c r="M955" s="488"/>
      <c r="N955" s="488"/>
      <c r="O955" s="488"/>
      <c r="P955" s="488"/>
      <c r="Q955" s="488"/>
      <c r="R955" s="488"/>
      <c r="S955" s="488"/>
      <c r="T955" s="488"/>
      <c r="U955" s="488"/>
      <c r="V955" s="488"/>
      <c r="W955" s="488"/>
      <c r="X955" s="488"/>
      <c r="Y955" s="488"/>
      <c r="Z955" s="488"/>
      <c r="AA955" s="488"/>
      <c r="AB955" s="488"/>
      <c r="AC955" s="488"/>
      <c r="AD955" s="488"/>
      <c r="AE955" s="488"/>
      <c r="AF955" s="488"/>
      <c r="AG955" s="488"/>
      <c r="AH955" s="488"/>
      <c r="AI955" s="488"/>
      <c r="AJ955" s="488"/>
      <c r="AK955" s="488"/>
      <c r="AL955" s="488"/>
      <c r="AM955" s="488"/>
      <c r="AN955" s="488"/>
      <c r="AO955" s="488"/>
      <c r="AP955" s="488"/>
      <c r="AQ955" s="488"/>
      <c r="AR955" s="488"/>
      <c r="AS955" s="488"/>
      <c r="AT955" s="488"/>
      <c r="AU955" s="488"/>
      <c r="AV955" s="488"/>
      <c r="AW955" s="488"/>
      <c r="AX955" s="488"/>
      <c r="AY955" s="488"/>
      <c r="AZ955" s="488"/>
      <c r="BA955" s="488"/>
      <c r="BB955" s="488"/>
      <c r="BC955" s="488"/>
      <c r="BD955" s="488"/>
    </row>
    <row r="956" spans="3:56">
      <c r="C956" s="488"/>
      <c r="D956" s="488"/>
      <c r="E956" s="488"/>
      <c r="F956" s="488"/>
      <c r="G956" s="488"/>
      <c r="H956" s="488"/>
      <c r="I956" s="488"/>
      <c r="J956" s="488"/>
      <c r="K956" s="488"/>
      <c r="L956" s="488"/>
      <c r="M956" s="488"/>
      <c r="N956" s="488"/>
      <c r="O956" s="488"/>
      <c r="P956" s="488"/>
      <c r="Q956" s="488"/>
      <c r="R956" s="488"/>
      <c r="S956" s="488"/>
      <c r="T956" s="488"/>
      <c r="U956" s="488"/>
      <c r="V956" s="488"/>
      <c r="W956" s="488"/>
      <c r="X956" s="488"/>
      <c r="Y956" s="488"/>
      <c r="Z956" s="488"/>
      <c r="AA956" s="488"/>
      <c r="AB956" s="488"/>
      <c r="AC956" s="488"/>
      <c r="AD956" s="488"/>
      <c r="AE956" s="488"/>
      <c r="AF956" s="488"/>
      <c r="AG956" s="488"/>
      <c r="AH956" s="488"/>
      <c r="AI956" s="488"/>
      <c r="AJ956" s="488"/>
      <c r="AK956" s="488"/>
      <c r="AL956" s="488"/>
      <c r="AM956" s="488"/>
      <c r="AN956" s="488"/>
      <c r="AO956" s="488"/>
      <c r="AP956" s="488"/>
      <c r="AQ956" s="488"/>
      <c r="AR956" s="488"/>
      <c r="AS956" s="488"/>
      <c r="AT956" s="488"/>
      <c r="AU956" s="488"/>
      <c r="AV956" s="488"/>
      <c r="AW956" s="488"/>
      <c r="AX956" s="488"/>
      <c r="AY956" s="488"/>
      <c r="AZ956" s="488"/>
      <c r="BA956" s="488"/>
      <c r="BB956" s="488"/>
      <c r="BC956" s="488"/>
      <c r="BD956" s="488"/>
    </row>
    <row r="957" spans="3:56">
      <c r="C957" s="488"/>
      <c r="D957" s="488"/>
      <c r="E957" s="488"/>
      <c r="F957" s="488"/>
      <c r="G957" s="488"/>
      <c r="H957" s="488"/>
      <c r="I957" s="488"/>
      <c r="J957" s="488"/>
      <c r="K957" s="488"/>
      <c r="L957" s="488"/>
      <c r="M957" s="488"/>
      <c r="N957" s="488"/>
      <c r="O957" s="488"/>
      <c r="P957" s="488"/>
      <c r="Q957" s="488"/>
      <c r="R957" s="488"/>
      <c r="S957" s="488"/>
      <c r="T957" s="488"/>
      <c r="U957" s="488"/>
      <c r="V957" s="488"/>
      <c r="W957" s="488"/>
      <c r="X957" s="488"/>
      <c r="Y957" s="488"/>
      <c r="Z957" s="488"/>
      <c r="AA957" s="488"/>
      <c r="AB957" s="488"/>
      <c r="AC957" s="488"/>
      <c r="AD957" s="488"/>
      <c r="AE957" s="488"/>
      <c r="AF957" s="488"/>
      <c r="AG957" s="488"/>
      <c r="AH957" s="488"/>
      <c r="AI957" s="488"/>
      <c r="AJ957" s="488"/>
      <c r="AK957" s="488"/>
      <c r="AL957" s="488"/>
      <c r="AM957" s="488"/>
      <c r="AN957" s="488"/>
      <c r="AO957" s="488"/>
      <c r="AP957" s="488"/>
      <c r="AQ957" s="488"/>
      <c r="AR957" s="488"/>
      <c r="AS957" s="488"/>
      <c r="AT957" s="488"/>
      <c r="AU957" s="488"/>
      <c r="AV957" s="488"/>
      <c r="AW957" s="488"/>
      <c r="AX957" s="488"/>
      <c r="AY957" s="488"/>
      <c r="AZ957" s="488"/>
      <c r="BA957" s="488"/>
      <c r="BB957" s="488"/>
      <c r="BC957" s="488"/>
      <c r="BD957" s="488"/>
    </row>
    <row r="958" spans="3:56">
      <c r="C958" s="488"/>
      <c r="D958" s="488"/>
      <c r="E958" s="488"/>
      <c r="F958" s="488"/>
      <c r="G958" s="488"/>
      <c r="H958" s="488"/>
      <c r="I958" s="488"/>
      <c r="J958" s="488"/>
      <c r="K958" s="488"/>
      <c r="L958" s="488"/>
      <c r="M958" s="488"/>
      <c r="N958" s="488"/>
      <c r="O958" s="488"/>
      <c r="P958" s="488"/>
      <c r="Q958" s="488"/>
      <c r="R958" s="488"/>
      <c r="S958" s="488"/>
      <c r="T958" s="488"/>
      <c r="U958" s="488"/>
      <c r="V958" s="488"/>
      <c r="W958" s="488"/>
      <c r="X958" s="488"/>
      <c r="Y958" s="488"/>
      <c r="Z958" s="488"/>
      <c r="AA958" s="488"/>
      <c r="AB958" s="488"/>
      <c r="AC958" s="488"/>
      <c r="AD958" s="488"/>
      <c r="AE958" s="488"/>
      <c r="AF958" s="488"/>
      <c r="AG958" s="488"/>
      <c r="AH958" s="488"/>
      <c r="AI958" s="488"/>
      <c r="AJ958" s="488"/>
      <c r="AK958" s="488"/>
      <c r="AL958" s="488"/>
      <c r="AM958" s="488"/>
      <c r="AN958" s="488"/>
      <c r="AO958" s="488"/>
      <c r="AP958" s="488"/>
      <c r="AQ958" s="488"/>
      <c r="AR958" s="488"/>
      <c r="AS958" s="488"/>
      <c r="AT958" s="488"/>
      <c r="AU958" s="488"/>
      <c r="AV958" s="488"/>
      <c r="AW958" s="488"/>
      <c r="AX958" s="488"/>
      <c r="AY958" s="488"/>
      <c r="AZ958" s="488"/>
      <c r="BA958" s="488"/>
      <c r="BB958" s="488"/>
      <c r="BC958" s="488"/>
      <c r="BD958" s="488"/>
    </row>
    <row r="959" spans="3:56">
      <c r="C959" s="488"/>
      <c r="D959" s="488"/>
      <c r="E959" s="488"/>
      <c r="F959" s="488"/>
      <c r="G959" s="488"/>
      <c r="H959" s="488"/>
      <c r="I959" s="488"/>
      <c r="J959" s="488"/>
      <c r="K959" s="488"/>
      <c r="L959" s="488"/>
      <c r="M959" s="488"/>
      <c r="N959" s="488"/>
      <c r="O959" s="488"/>
      <c r="P959" s="488"/>
      <c r="Q959" s="488"/>
      <c r="R959" s="488"/>
      <c r="S959" s="488"/>
      <c r="T959" s="488"/>
      <c r="U959" s="488"/>
      <c r="V959" s="488"/>
      <c r="W959" s="488"/>
      <c r="X959" s="488"/>
      <c r="Y959" s="488"/>
      <c r="Z959" s="488"/>
      <c r="AA959" s="488"/>
      <c r="AB959" s="488"/>
      <c r="AC959" s="488"/>
      <c r="AD959" s="488"/>
      <c r="AE959" s="488"/>
      <c r="AF959" s="488"/>
      <c r="AG959" s="488"/>
      <c r="AH959" s="488"/>
      <c r="AI959" s="488"/>
      <c r="AJ959" s="488"/>
      <c r="AK959" s="488"/>
      <c r="AL959" s="488"/>
      <c r="AM959" s="488"/>
      <c r="AN959" s="488"/>
      <c r="AO959" s="488"/>
      <c r="AP959" s="488"/>
      <c r="AQ959" s="488"/>
      <c r="AR959" s="488"/>
      <c r="AS959" s="488"/>
      <c r="AT959" s="488"/>
      <c r="AU959" s="488"/>
      <c r="AV959" s="488"/>
      <c r="AW959" s="488"/>
      <c r="AX959" s="488"/>
      <c r="AY959" s="488"/>
      <c r="AZ959" s="488"/>
      <c r="BA959" s="488"/>
      <c r="BB959" s="488"/>
      <c r="BC959" s="488"/>
      <c r="BD959" s="488"/>
    </row>
    <row r="960" spans="3:56">
      <c r="C960" s="488"/>
      <c r="D960" s="488"/>
      <c r="E960" s="488"/>
      <c r="F960" s="488"/>
      <c r="G960" s="488"/>
      <c r="H960" s="488"/>
      <c r="I960" s="488"/>
      <c r="J960" s="488"/>
      <c r="K960" s="488"/>
      <c r="L960" s="488"/>
      <c r="M960" s="488"/>
      <c r="N960" s="488"/>
      <c r="O960" s="488"/>
      <c r="P960" s="488"/>
      <c r="Q960" s="488"/>
      <c r="R960" s="488"/>
      <c r="S960" s="488"/>
      <c r="T960" s="488"/>
      <c r="U960" s="488"/>
      <c r="V960" s="488"/>
      <c r="W960" s="488"/>
      <c r="X960" s="488"/>
      <c r="Y960" s="488"/>
      <c r="Z960" s="488"/>
      <c r="AA960" s="488"/>
      <c r="AB960" s="488"/>
      <c r="AC960" s="488"/>
      <c r="AD960" s="488"/>
      <c r="AE960" s="488"/>
      <c r="AF960" s="488"/>
      <c r="AG960" s="488"/>
      <c r="AH960" s="488"/>
      <c r="AI960" s="488"/>
      <c r="AJ960" s="488"/>
      <c r="AK960" s="488"/>
      <c r="AL960" s="488"/>
      <c r="AM960" s="488"/>
      <c r="AN960" s="488"/>
      <c r="AO960" s="488"/>
      <c r="AP960" s="488"/>
      <c r="AQ960" s="488"/>
      <c r="AR960" s="488"/>
      <c r="AS960" s="488"/>
      <c r="AT960" s="488"/>
      <c r="AU960" s="488"/>
      <c r="AV960" s="488"/>
      <c r="AW960" s="488"/>
      <c r="AX960" s="488"/>
      <c r="AY960" s="488"/>
      <c r="AZ960" s="488"/>
      <c r="BA960" s="488"/>
      <c r="BB960" s="488"/>
      <c r="BC960" s="488"/>
      <c r="BD960" s="488"/>
    </row>
    <row r="961" spans="3:56">
      <c r="C961" s="488"/>
      <c r="D961" s="488"/>
      <c r="E961" s="488"/>
      <c r="F961" s="488"/>
      <c r="G961" s="488"/>
      <c r="H961" s="488"/>
      <c r="I961" s="488"/>
      <c r="J961" s="488"/>
      <c r="K961" s="488"/>
      <c r="L961" s="488"/>
      <c r="M961" s="488"/>
      <c r="N961" s="488"/>
      <c r="O961" s="488"/>
      <c r="P961" s="488"/>
      <c r="Q961" s="488"/>
      <c r="R961" s="488"/>
      <c r="S961" s="488"/>
      <c r="T961" s="488"/>
      <c r="U961" s="488"/>
      <c r="V961" s="488"/>
      <c r="W961" s="488"/>
      <c r="X961" s="488"/>
      <c r="Y961" s="488"/>
      <c r="Z961" s="488"/>
      <c r="AA961" s="488"/>
      <c r="AB961" s="488"/>
      <c r="AC961" s="488"/>
      <c r="AD961" s="488"/>
      <c r="AE961" s="488"/>
      <c r="AF961" s="488"/>
      <c r="AG961" s="488"/>
      <c r="AH961" s="488"/>
      <c r="AI961" s="488"/>
      <c r="AJ961" s="488"/>
      <c r="AK961" s="488"/>
      <c r="AL961" s="488"/>
      <c r="AM961" s="488"/>
      <c r="AN961" s="488"/>
      <c r="AO961" s="488"/>
      <c r="AP961" s="488"/>
      <c r="AQ961" s="488"/>
      <c r="AR961" s="488"/>
      <c r="AS961" s="488"/>
      <c r="AT961" s="488"/>
      <c r="AU961" s="488"/>
      <c r="AV961" s="488"/>
      <c r="AW961" s="488"/>
      <c r="AX961" s="488"/>
      <c r="AY961" s="488"/>
      <c r="AZ961" s="488"/>
      <c r="BA961" s="488"/>
      <c r="BB961" s="488"/>
      <c r="BC961" s="488"/>
      <c r="BD961" s="488"/>
    </row>
    <row r="962" spans="3:56">
      <c r="C962" s="488"/>
      <c r="D962" s="488"/>
      <c r="E962" s="488"/>
      <c r="F962" s="488"/>
      <c r="G962" s="488"/>
      <c r="H962" s="488"/>
      <c r="I962" s="488"/>
      <c r="J962" s="488"/>
      <c r="K962" s="488"/>
      <c r="L962" s="488"/>
      <c r="M962" s="488"/>
      <c r="N962" s="488"/>
      <c r="O962" s="488"/>
      <c r="P962" s="488"/>
      <c r="Q962" s="488"/>
      <c r="R962" s="488"/>
      <c r="S962" s="488"/>
      <c r="T962" s="488"/>
      <c r="U962" s="488"/>
      <c r="V962" s="488"/>
      <c r="W962" s="488"/>
      <c r="X962" s="488"/>
      <c r="Y962" s="488"/>
      <c r="Z962" s="488"/>
      <c r="AA962" s="488"/>
      <c r="AB962" s="488"/>
      <c r="AC962" s="488"/>
      <c r="AD962" s="488"/>
      <c r="AE962" s="488"/>
      <c r="AF962" s="488"/>
      <c r="AG962" s="488"/>
      <c r="AH962" s="488"/>
      <c r="AI962" s="488"/>
      <c r="AJ962" s="488"/>
      <c r="AK962" s="488"/>
      <c r="AL962" s="488"/>
      <c r="AM962" s="488"/>
      <c r="AN962" s="488"/>
      <c r="AO962" s="488"/>
      <c r="AP962" s="488"/>
      <c r="AQ962" s="488"/>
      <c r="AR962" s="488"/>
      <c r="AS962" s="488"/>
      <c r="AT962" s="488"/>
      <c r="AU962" s="488"/>
      <c r="AV962" s="488"/>
      <c r="AW962" s="488"/>
      <c r="AX962" s="488"/>
      <c r="AY962" s="488"/>
      <c r="AZ962" s="488"/>
      <c r="BA962" s="488"/>
      <c r="BB962" s="488"/>
      <c r="BC962" s="488"/>
      <c r="BD962" s="488"/>
    </row>
    <row r="963" spans="3:56">
      <c r="C963" s="488"/>
      <c r="D963" s="488"/>
      <c r="E963" s="488"/>
      <c r="F963" s="488"/>
      <c r="G963" s="488"/>
      <c r="H963" s="488"/>
      <c r="I963" s="488"/>
      <c r="J963" s="488"/>
      <c r="K963" s="488"/>
      <c r="L963" s="488"/>
      <c r="M963" s="488"/>
      <c r="N963" s="488"/>
      <c r="O963" s="488"/>
      <c r="P963" s="488"/>
      <c r="Q963" s="488"/>
      <c r="R963" s="488"/>
      <c r="S963" s="488"/>
      <c r="T963" s="488"/>
      <c r="U963" s="488"/>
      <c r="V963" s="488"/>
      <c r="W963" s="488"/>
      <c r="X963" s="488"/>
      <c r="Y963" s="488"/>
      <c r="Z963" s="488"/>
      <c r="AA963" s="488"/>
      <c r="AB963" s="488"/>
      <c r="AC963" s="488"/>
      <c r="AD963" s="488"/>
      <c r="AE963" s="488"/>
      <c r="AF963" s="488"/>
      <c r="AG963" s="488"/>
      <c r="AH963" s="488"/>
      <c r="AI963" s="488"/>
      <c r="AJ963" s="488"/>
      <c r="AK963" s="488"/>
      <c r="AL963" s="488"/>
      <c r="AM963" s="488"/>
      <c r="AN963" s="488"/>
      <c r="AO963" s="488"/>
      <c r="AP963" s="488"/>
      <c r="AQ963" s="488"/>
      <c r="AR963" s="488"/>
      <c r="AS963" s="488"/>
      <c r="AT963" s="488"/>
      <c r="AU963" s="488"/>
      <c r="AV963" s="488"/>
      <c r="AW963" s="488"/>
      <c r="AX963" s="488"/>
      <c r="AY963" s="488"/>
      <c r="AZ963" s="488"/>
      <c r="BA963" s="488"/>
      <c r="BB963" s="488"/>
      <c r="BC963" s="488"/>
      <c r="BD963" s="488"/>
    </row>
    <row r="964" spans="3:56">
      <c r="C964" s="488"/>
      <c r="D964" s="488"/>
      <c r="E964" s="488"/>
      <c r="F964" s="488"/>
      <c r="G964" s="488"/>
      <c r="H964" s="488"/>
      <c r="I964" s="488"/>
      <c r="J964" s="488"/>
      <c r="K964" s="488"/>
      <c r="L964" s="488"/>
      <c r="M964" s="488"/>
      <c r="N964" s="488"/>
      <c r="O964" s="488"/>
      <c r="P964" s="488"/>
      <c r="Q964" s="488"/>
      <c r="R964" s="488"/>
      <c r="S964" s="488"/>
      <c r="T964" s="488"/>
      <c r="U964" s="488"/>
      <c r="V964" s="488"/>
      <c r="W964" s="488"/>
      <c r="X964" s="488"/>
      <c r="Y964" s="488"/>
      <c r="Z964" s="488"/>
      <c r="AA964" s="488"/>
      <c r="AB964" s="488"/>
      <c r="AC964" s="488"/>
      <c r="AD964" s="488"/>
      <c r="AE964" s="488"/>
      <c r="AF964" s="488"/>
      <c r="AG964" s="488"/>
      <c r="AH964" s="488"/>
      <c r="AI964" s="488"/>
      <c r="AJ964" s="488"/>
      <c r="AK964" s="488"/>
      <c r="AL964" s="488"/>
      <c r="AM964" s="488"/>
      <c r="AN964" s="488"/>
      <c r="AO964" s="488"/>
      <c r="AP964" s="488"/>
      <c r="AQ964" s="488"/>
      <c r="AR964" s="488"/>
      <c r="AS964" s="488"/>
      <c r="AT964" s="488"/>
      <c r="AU964" s="488"/>
      <c r="AV964" s="488"/>
      <c r="AW964" s="488"/>
      <c r="AX964" s="488"/>
      <c r="AY964" s="488"/>
      <c r="AZ964" s="488"/>
      <c r="BA964" s="488"/>
      <c r="BB964" s="488"/>
      <c r="BC964" s="488"/>
      <c r="BD964" s="488"/>
    </row>
    <row r="965" spans="3:56">
      <c r="C965" s="488"/>
      <c r="D965" s="488"/>
      <c r="E965" s="488"/>
      <c r="F965" s="488"/>
      <c r="G965" s="488"/>
      <c r="H965" s="488"/>
      <c r="I965" s="488"/>
      <c r="J965" s="488"/>
      <c r="K965" s="488"/>
      <c r="L965" s="488"/>
      <c r="M965" s="488"/>
      <c r="N965" s="488"/>
      <c r="O965" s="488"/>
      <c r="P965" s="488"/>
      <c r="Q965" s="488"/>
      <c r="R965" s="488"/>
      <c r="S965" s="488"/>
      <c r="T965" s="488"/>
      <c r="U965" s="488"/>
      <c r="V965" s="488"/>
      <c r="W965" s="488"/>
      <c r="X965" s="488"/>
      <c r="Y965" s="488"/>
      <c r="Z965" s="488"/>
      <c r="AA965" s="488"/>
      <c r="AB965" s="488"/>
      <c r="AC965" s="488"/>
      <c r="AD965" s="488"/>
      <c r="AE965" s="488"/>
      <c r="AF965" s="488"/>
      <c r="AG965" s="488"/>
      <c r="AH965" s="488"/>
      <c r="AI965" s="488"/>
      <c r="AJ965" s="488"/>
      <c r="AK965" s="488"/>
      <c r="AL965" s="488"/>
      <c r="AM965" s="488"/>
      <c r="AN965" s="488"/>
      <c r="AO965" s="488"/>
      <c r="AP965" s="488"/>
      <c r="AQ965" s="488"/>
      <c r="AR965" s="488"/>
      <c r="AS965" s="488"/>
      <c r="AT965" s="488"/>
      <c r="AU965" s="488"/>
      <c r="AV965" s="488"/>
      <c r="AW965" s="488"/>
      <c r="AX965" s="488"/>
      <c r="AY965" s="488"/>
      <c r="AZ965" s="488"/>
      <c r="BA965" s="488"/>
      <c r="BB965" s="488"/>
      <c r="BC965" s="488"/>
      <c r="BD965" s="488"/>
    </row>
    <row r="966" spans="3:56">
      <c r="C966" s="488"/>
      <c r="D966" s="488"/>
      <c r="E966" s="488"/>
      <c r="F966" s="488"/>
      <c r="G966" s="488"/>
      <c r="H966" s="488"/>
      <c r="I966" s="488"/>
      <c r="J966" s="488"/>
      <c r="K966" s="488"/>
      <c r="L966" s="488"/>
      <c r="M966" s="488"/>
      <c r="N966" s="488"/>
      <c r="O966" s="488"/>
      <c r="P966" s="488"/>
      <c r="Q966" s="488"/>
      <c r="R966" s="488"/>
      <c r="S966" s="488"/>
      <c r="T966" s="488"/>
      <c r="U966" s="488"/>
      <c r="V966" s="488"/>
      <c r="W966" s="488"/>
      <c r="X966" s="488"/>
      <c r="Y966" s="488"/>
      <c r="Z966" s="488"/>
      <c r="AA966" s="488"/>
      <c r="AB966" s="488"/>
      <c r="AC966" s="488"/>
      <c r="AD966" s="488"/>
      <c r="AE966" s="488"/>
      <c r="AF966" s="488"/>
      <c r="AG966" s="488"/>
      <c r="AH966" s="488"/>
      <c r="AI966" s="488"/>
      <c r="AJ966" s="488"/>
      <c r="AK966" s="488"/>
      <c r="AL966" s="488"/>
      <c r="AM966" s="488"/>
      <c r="AN966" s="488"/>
      <c r="AO966" s="488"/>
      <c r="AP966" s="488"/>
      <c r="AQ966" s="488"/>
      <c r="AR966" s="488"/>
      <c r="AS966" s="488"/>
      <c r="AT966" s="488"/>
      <c r="AU966" s="488"/>
      <c r="AV966" s="488"/>
      <c r="AW966" s="488"/>
      <c r="AX966" s="488"/>
      <c r="AY966" s="488"/>
      <c r="AZ966" s="488"/>
      <c r="BA966" s="488"/>
      <c r="BB966" s="488"/>
      <c r="BC966" s="488"/>
      <c r="BD966" s="488"/>
    </row>
    <row r="967" spans="3:56">
      <c r="C967" s="488"/>
      <c r="D967" s="488"/>
      <c r="E967" s="488"/>
      <c r="F967" s="488"/>
      <c r="G967" s="488"/>
      <c r="H967" s="488"/>
      <c r="I967" s="488"/>
      <c r="J967" s="488"/>
      <c r="K967" s="488"/>
      <c r="L967" s="488"/>
      <c r="M967" s="488"/>
      <c r="N967" s="488"/>
      <c r="O967" s="488"/>
      <c r="P967" s="488"/>
      <c r="Q967" s="488"/>
      <c r="R967" s="488"/>
      <c r="S967" s="488"/>
      <c r="T967" s="488"/>
      <c r="U967" s="488"/>
      <c r="V967" s="488"/>
      <c r="W967" s="488"/>
      <c r="X967" s="488"/>
      <c r="Y967" s="488"/>
      <c r="Z967" s="488"/>
      <c r="AA967" s="488"/>
      <c r="AB967" s="488"/>
      <c r="AC967" s="488"/>
      <c r="AD967" s="488"/>
      <c r="AE967" s="488"/>
      <c r="AF967" s="488"/>
      <c r="AG967" s="488"/>
      <c r="AH967" s="488"/>
      <c r="AI967" s="488"/>
      <c r="AJ967" s="488"/>
      <c r="AK967" s="488"/>
      <c r="AL967" s="488"/>
      <c r="AM967" s="488"/>
      <c r="AN967" s="488"/>
      <c r="AO967" s="488"/>
      <c r="AP967" s="488"/>
      <c r="AQ967" s="488"/>
      <c r="AR967" s="488"/>
      <c r="AS967" s="488"/>
      <c r="AT967" s="488"/>
      <c r="AU967" s="488"/>
      <c r="AV967" s="488"/>
      <c r="AW967" s="488"/>
      <c r="AX967" s="488"/>
      <c r="AY967" s="488"/>
      <c r="AZ967" s="488"/>
      <c r="BA967" s="488"/>
      <c r="BB967" s="488"/>
      <c r="BC967" s="488"/>
      <c r="BD967" s="488"/>
    </row>
    <row r="968" spans="3:56">
      <c r="C968" s="488"/>
      <c r="D968" s="488"/>
      <c r="E968" s="488"/>
      <c r="F968" s="488"/>
      <c r="G968" s="488"/>
      <c r="H968" s="488"/>
      <c r="I968" s="488"/>
      <c r="J968" s="488"/>
      <c r="K968" s="488"/>
      <c r="L968" s="488"/>
      <c r="M968" s="488"/>
      <c r="N968" s="488"/>
      <c r="O968" s="488"/>
      <c r="P968" s="488"/>
      <c r="Q968" s="488"/>
      <c r="R968" s="488"/>
      <c r="S968" s="488"/>
      <c r="T968" s="488"/>
      <c r="U968" s="488"/>
      <c r="V968" s="488"/>
      <c r="W968" s="488"/>
      <c r="X968" s="488"/>
      <c r="Y968" s="488"/>
      <c r="Z968" s="488"/>
      <c r="AA968" s="488"/>
      <c r="AB968" s="488"/>
      <c r="AC968" s="488"/>
      <c r="AD968" s="488"/>
      <c r="AE968" s="488"/>
      <c r="AF968" s="488"/>
      <c r="AG968" s="488"/>
      <c r="AH968" s="488"/>
      <c r="AI968" s="488"/>
      <c r="AJ968" s="488"/>
      <c r="AK968" s="488"/>
      <c r="AL968" s="488"/>
      <c r="AM968" s="488"/>
      <c r="AN968" s="488"/>
      <c r="AO968" s="488"/>
      <c r="AP968" s="488"/>
      <c r="AQ968" s="488"/>
      <c r="AR968" s="488"/>
      <c r="AS968" s="488"/>
      <c r="AT968" s="488"/>
      <c r="AU968" s="488"/>
      <c r="AV968" s="488"/>
      <c r="AW968" s="488"/>
      <c r="AX968" s="488"/>
      <c r="AY968" s="488"/>
      <c r="AZ968" s="488"/>
      <c r="BA968" s="488"/>
      <c r="BB968" s="488"/>
      <c r="BC968" s="488"/>
      <c r="BD968" s="488"/>
    </row>
    <row r="969" spans="3:56">
      <c r="C969" s="488"/>
      <c r="D969" s="488"/>
      <c r="E969" s="488"/>
      <c r="F969" s="488"/>
      <c r="G969" s="488"/>
      <c r="H969" s="488"/>
      <c r="I969" s="488"/>
      <c r="J969" s="488"/>
      <c r="K969" s="488"/>
      <c r="L969" s="488"/>
      <c r="M969" s="488"/>
      <c r="N969" s="488"/>
      <c r="O969" s="488"/>
      <c r="P969" s="488"/>
      <c r="Q969" s="488"/>
      <c r="R969" s="488"/>
      <c r="S969" s="488"/>
      <c r="T969" s="488"/>
      <c r="U969" s="488"/>
      <c r="V969" s="488"/>
      <c r="W969" s="488"/>
      <c r="X969" s="488"/>
      <c r="Y969" s="488"/>
      <c r="Z969" s="488"/>
      <c r="AA969" s="488"/>
      <c r="AB969" s="488"/>
      <c r="AC969" s="488"/>
      <c r="AD969" s="488"/>
      <c r="AE969" s="488"/>
      <c r="AF969" s="488"/>
      <c r="AG969" s="488"/>
      <c r="AH969" s="488"/>
      <c r="AI969" s="488"/>
      <c r="AJ969" s="488"/>
      <c r="AK969" s="488"/>
      <c r="AL969" s="488"/>
      <c r="AM969" s="488"/>
      <c r="AN969" s="488"/>
      <c r="AO969" s="488"/>
      <c r="AP969" s="488"/>
      <c r="AQ969" s="488"/>
      <c r="AR969" s="488"/>
      <c r="AS969" s="488"/>
      <c r="AT969" s="488"/>
      <c r="AU969" s="488"/>
      <c r="AV969" s="488"/>
      <c r="AW969" s="488"/>
      <c r="AX969" s="488"/>
      <c r="AY969" s="488"/>
      <c r="AZ969" s="488"/>
      <c r="BA969" s="488"/>
      <c r="BB969" s="488"/>
      <c r="BC969" s="488"/>
      <c r="BD969" s="488"/>
    </row>
    <row r="970" spans="3:56">
      <c r="C970" s="488"/>
      <c r="D970" s="488"/>
      <c r="E970" s="488"/>
      <c r="F970" s="488"/>
      <c r="G970" s="488"/>
      <c r="H970" s="488"/>
      <c r="I970" s="488"/>
      <c r="J970" s="488"/>
      <c r="K970" s="488"/>
      <c r="L970" s="488"/>
      <c r="M970" s="488"/>
      <c r="N970" s="488"/>
      <c r="O970" s="488"/>
      <c r="P970" s="488"/>
      <c r="Q970" s="488"/>
      <c r="R970" s="488"/>
      <c r="S970" s="488"/>
      <c r="T970" s="488"/>
      <c r="U970" s="488"/>
      <c r="V970" s="488"/>
      <c r="W970" s="488"/>
      <c r="X970" s="488"/>
      <c r="Y970" s="488"/>
      <c r="Z970" s="488"/>
      <c r="AA970" s="488"/>
      <c r="AB970" s="488"/>
      <c r="AC970" s="488"/>
      <c r="AD970" s="488"/>
      <c r="AE970" s="488"/>
      <c r="AF970" s="488"/>
      <c r="AG970" s="488"/>
      <c r="AH970" s="488"/>
      <c r="AI970" s="488"/>
      <c r="AJ970" s="488"/>
      <c r="AK970" s="488"/>
      <c r="AL970" s="488"/>
      <c r="AM970" s="488"/>
      <c r="AN970" s="488"/>
      <c r="AO970" s="488"/>
      <c r="AP970" s="488"/>
      <c r="AQ970" s="488"/>
      <c r="AR970" s="488"/>
      <c r="AS970" s="488"/>
      <c r="AT970" s="488"/>
      <c r="AU970" s="488"/>
      <c r="AV970" s="488"/>
      <c r="AW970" s="488"/>
      <c r="AX970" s="488"/>
      <c r="AY970" s="488"/>
      <c r="AZ970" s="488"/>
      <c r="BA970" s="488"/>
      <c r="BB970" s="488"/>
      <c r="BC970" s="488"/>
      <c r="BD970" s="488"/>
    </row>
    <row r="971" spans="3:56">
      <c r="C971" s="488"/>
      <c r="D971" s="488"/>
      <c r="E971" s="488"/>
      <c r="F971" s="488"/>
      <c r="G971" s="488"/>
      <c r="H971" s="488"/>
      <c r="I971" s="488"/>
      <c r="J971" s="488"/>
      <c r="K971" s="488"/>
      <c r="L971" s="488"/>
      <c r="M971" s="488"/>
      <c r="N971" s="488"/>
      <c r="O971" s="488"/>
      <c r="P971" s="488"/>
      <c r="Q971" s="488"/>
      <c r="R971" s="488"/>
      <c r="S971" s="488"/>
      <c r="T971" s="488"/>
      <c r="U971" s="488"/>
      <c r="V971" s="488"/>
      <c r="W971" s="488"/>
      <c r="X971" s="488"/>
      <c r="Y971" s="488"/>
      <c r="Z971" s="488"/>
      <c r="AA971" s="488"/>
      <c r="AB971" s="488"/>
      <c r="AC971" s="488"/>
      <c r="AD971" s="488"/>
      <c r="AE971" s="488"/>
      <c r="AF971" s="488"/>
      <c r="AG971" s="488"/>
      <c r="AH971" s="488"/>
      <c r="AI971" s="488"/>
      <c r="AJ971" s="488"/>
      <c r="AK971" s="488"/>
      <c r="AL971" s="488"/>
      <c r="AM971" s="488"/>
      <c r="AN971" s="488"/>
      <c r="AO971" s="488"/>
      <c r="AP971" s="488"/>
      <c r="AQ971" s="488"/>
      <c r="AR971" s="488"/>
      <c r="AS971" s="488"/>
      <c r="AT971" s="488"/>
      <c r="AU971" s="488"/>
      <c r="AV971" s="488"/>
      <c r="AW971" s="488"/>
      <c r="AX971" s="488"/>
      <c r="AY971" s="488"/>
      <c r="AZ971" s="488"/>
      <c r="BA971" s="488"/>
      <c r="BB971" s="488"/>
      <c r="BC971" s="488"/>
      <c r="BD971" s="488"/>
    </row>
    <row r="972" spans="3:56">
      <c r="C972" s="488"/>
      <c r="D972" s="488"/>
      <c r="E972" s="488"/>
      <c r="F972" s="488"/>
      <c r="G972" s="488"/>
      <c r="H972" s="488"/>
      <c r="I972" s="488"/>
      <c r="J972" s="488"/>
      <c r="K972" s="488"/>
      <c r="L972" s="488"/>
      <c r="M972" s="488"/>
      <c r="N972" s="488"/>
      <c r="O972" s="488"/>
      <c r="P972" s="488"/>
      <c r="Q972" s="488"/>
      <c r="R972" s="488"/>
      <c r="S972" s="488"/>
      <c r="T972" s="488"/>
      <c r="U972" s="488"/>
      <c r="V972" s="488"/>
      <c r="W972" s="488"/>
      <c r="X972" s="488"/>
      <c r="Y972" s="488"/>
      <c r="Z972" s="488"/>
      <c r="AA972" s="488"/>
      <c r="AB972" s="488"/>
      <c r="AC972" s="488"/>
      <c r="AD972" s="488"/>
      <c r="AE972" s="488"/>
      <c r="AF972" s="488"/>
      <c r="AG972" s="488"/>
      <c r="AH972" s="488"/>
      <c r="AI972" s="488"/>
      <c r="AJ972" s="488"/>
      <c r="AK972" s="488"/>
      <c r="AL972" s="488"/>
      <c r="AM972" s="488"/>
      <c r="AN972" s="488"/>
      <c r="AO972" s="488"/>
      <c r="AP972" s="488"/>
      <c r="AQ972" s="488"/>
      <c r="AR972" s="488"/>
      <c r="AS972" s="488"/>
      <c r="AT972" s="488"/>
      <c r="AU972" s="488"/>
      <c r="AV972" s="488"/>
      <c r="AW972" s="488"/>
      <c r="AX972" s="488"/>
      <c r="AY972" s="488"/>
      <c r="AZ972" s="488"/>
      <c r="BA972" s="488"/>
      <c r="BB972" s="488"/>
      <c r="BC972" s="488"/>
      <c r="BD972" s="488"/>
    </row>
    <row r="973" spans="3:56">
      <c r="C973" s="488"/>
      <c r="D973" s="488"/>
      <c r="E973" s="488"/>
      <c r="F973" s="488"/>
      <c r="G973" s="488"/>
      <c r="H973" s="488"/>
      <c r="I973" s="488"/>
      <c r="J973" s="488"/>
      <c r="K973" s="488"/>
      <c r="L973" s="488"/>
      <c r="M973" s="488"/>
      <c r="N973" s="488"/>
      <c r="O973" s="488"/>
      <c r="P973" s="488"/>
      <c r="Q973" s="488"/>
      <c r="R973" s="488"/>
      <c r="S973" s="488"/>
      <c r="T973" s="488"/>
      <c r="U973" s="488"/>
      <c r="V973" s="488"/>
      <c r="W973" s="488"/>
      <c r="X973" s="488"/>
      <c r="Y973" s="488"/>
      <c r="Z973" s="488"/>
      <c r="AA973" s="488"/>
      <c r="AB973" s="488"/>
      <c r="AC973" s="488"/>
      <c r="AD973" s="488"/>
      <c r="AE973" s="488"/>
      <c r="AF973" s="488"/>
      <c r="AG973" s="488"/>
      <c r="AH973" s="488"/>
      <c r="AI973" s="488"/>
      <c r="AJ973" s="488"/>
      <c r="AK973" s="488"/>
      <c r="AL973" s="488"/>
      <c r="AM973" s="488"/>
      <c r="AN973" s="488"/>
      <c r="AO973" s="488"/>
      <c r="AP973" s="488"/>
      <c r="AQ973" s="488"/>
      <c r="AR973" s="488"/>
      <c r="AS973" s="488"/>
      <c r="AT973" s="488"/>
      <c r="AU973" s="488"/>
      <c r="AV973" s="488"/>
      <c r="AW973" s="488"/>
      <c r="AX973" s="488"/>
      <c r="AY973" s="488"/>
      <c r="AZ973" s="488"/>
      <c r="BA973" s="488"/>
      <c r="BB973" s="488"/>
      <c r="BC973" s="488"/>
      <c r="BD973" s="488"/>
    </row>
    <row r="974" spans="3:56">
      <c r="C974" s="488"/>
      <c r="D974" s="488"/>
      <c r="E974" s="488"/>
      <c r="F974" s="488"/>
      <c r="G974" s="488"/>
      <c r="H974" s="488"/>
      <c r="I974" s="488"/>
      <c r="J974" s="488"/>
      <c r="K974" s="488"/>
      <c r="L974" s="488"/>
      <c r="M974" s="488"/>
      <c r="N974" s="488"/>
      <c r="O974" s="488"/>
      <c r="P974" s="488"/>
      <c r="Q974" s="488"/>
      <c r="R974" s="488"/>
      <c r="S974" s="488"/>
      <c r="T974" s="488"/>
      <c r="U974" s="488"/>
      <c r="V974" s="488"/>
      <c r="W974" s="488"/>
      <c r="X974" s="488"/>
      <c r="Y974" s="488"/>
      <c r="Z974" s="488"/>
      <c r="AA974" s="488"/>
      <c r="AB974" s="488"/>
      <c r="AC974" s="488"/>
      <c r="AD974" s="488"/>
      <c r="AE974" s="488"/>
      <c r="AF974" s="488"/>
      <c r="AG974" s="488"/>
      <c r="AH974" s="488"/>
      <c r="AI974" s="488"/>
      <c r="AJ974" s="488"/>
      <c r="AK974" s="488"/>
      <c r="AL974" s="488"/>
      <c r="AM974" s="488"/>
      <c r="AN974" s="488"/>
      <c r="AO974" s="488"/>
      <c r="AP974" s="488"/>
      <c r="AQ974" s="488"/>
      <c r="AR974" s="488"/>
      <c r="AS974" s="488"/>
      <c r="AT974" s="488"/>
      <c r="AU974" s="488"/>
      <c r="AV974" s="488"/>
      <c r="AW974" s="488"/>
      <c r="AX974" s="488"/>
      <c r="AY974" s="488"/>
      <c r="AZ974" s="488"/>
      <c r="BA974" s="488"/>
      <c r="BB974" s="488"/>
      <c r="BC974" s="488"/>
      <c r="BD974" s="488"/>
    </row>
    <row r="975" spans="3:56">
      <c r="C975" s="488"/>
      <c r="D975" s="488"/>
      <c r="E975" s="488"/>
      <c r="F975" s="488"/>
      <c r="G975" s="488"/>
      <c r="H975" s="488"/>
      <c r="I975" s="488"/>
      <c r="J975" s="488"/>
      <c r="K975" s="488"/>
      <c r="L975" s="488"/>
      <c r="M975" s="488"/>
      <c r="N975" s="488"/>
      <c r="O975" s="488"/>
      <c r="P975" s="488"/>
      <c r="Q975" s="488"/>
      <c r="R975" s="488"/>
      <c r="S975" s="488"/>
      <c r="T975" s="488"/>
      <c r="U975" s="488"/>
      <c r="V975" s="488"/>
      <c r="W975" s="488"/>
      <c r="X975" s="488"/>
      <c r="Y975" s="488"/>
      <c r="Z975" s="488"/>
      <c r="AA975" s="488"/>
      <c r="AB975" s="488"/>
      <c r="AC975" s="488"/>
      <c r="AD975" s="488"/>
      <c r="AE975" s="488"/>
      <c r="AF975" s="488"/>
      <c r="AG975" s="488"/>
      <c r="AH975" s="488"/>
      <c r="AI975" s="488"/>
      <c r="AJ975" s="488"/>
      <c r="AK975" s="488"/>
      <c r="AL975" s="488"/>
      <c r="AM975" s="488"/>
      <c r="AN975" s="488"/>
      <c r="AO975" s="488"/>
      <c r="AP975" s="488"/>
      <c r="AQ975" s="488"/>
      <c r="AR975" s="488"/>
      <c r="AS975" s="488"/>
      <c r="AT975" s="488"/>
      <c r="AU975" s="488"/>
      <c r="AV975" s="488"/>
      <c r="AW975" s="488"/>
      <c r="AX975" s="488"/>
      <c r="AY975" s="488"/>
      <c r="AZ975" s="488"/>
      <c r="BA975" s="488"/>
      <c r="BB975" s="488"/>
      <c r="BC975" s="488"/>
      <c r="BD975" s="488"/>
    </row>
    <row r="976" spans="3:56">
      <c r="C976" s="488"/>
      <c r="D976" s="488"/>
      <c r="E976" s="488"/>
      <c r="F976" s="488"/>
      <c r="G976" s="488"/>
      <c r="H976" s="488"/>
      <c r="I976" s="488"/>
      <c r="J976" s="488"/>
      <c r="K976" s="488"/>
      <c r="L976" s="488"/>
      <c r="M976" s="488"/>
      <c r="N976" s="488"/>
      <c r="O976" s="488"/>
      <c r="P976" s="488"/>
      <c r="Q976" s="488"/>
      <c r="R976" s="488"/>
      <c r="S976" s="488"/>
      <c r="T976" s="488"/>
      <c r="U976" s="488"/>
      <c r="V976" s="488"/>
      <c r="W976" s="488"/>
      <c r="X976" s="488"/>
      <c r="Y976" s="488"/>
      <c r="Z976" s="488"/>
      <c r="AA976" s="488"/>
      <c r="AB976" s="488"/>
      <c r="AC976" s="488"/>
      <c r="AD976" s="488"/>
      <c r="AE976" s="488"/>
      <c r="AF976" s="488"/>
      <c r="AG976" s="488"/>
      <c r="AH976" s="488"/>
      <c r="AI976" s="488"/>
      <c r="AJ976" s="488"/>
      <c r="AK976" s="488"/>
      <c r="AL976" s="488"/>
      <c r="AM976" s="488"/>
      <c r="AN976" s="488"/>
      <c r="AO976" s="488"/>
      <c r="AP976" s="488"/>
      <c r="AQ976" s="488"/>
      <c r="AR976" s="488"/>
      <c r="AS976" s="488"/>
      <c r="AT976" s="488"/>
      <c r="AU976" s="488"/>
      <c r="AV976" s="488"/>
      <c r="AW976" s="488"/>
      <c r="AX976" s="488"/>
      <c r="AY976" s="488"/>
      <c r="AZ976" s="488"/>
      <c r="BA976" s="488"/>
      <c r="BB976" s="488"/>
      <c r="BC976" s="488"/>
      <c r="BD976" s="488"/>
    </row>
    <row r="977" spans="3:56">
      <c r="C977" s="488"/>
      <c r="D977" s="488"/>
      <c r="E977" s="488"/>
      <c r="F977" s="488"/>
      <c r="G977" s="488"/>
      <c r="H977" s="488"/>
      <c r="I977" s="488"/>
      <c r="J977" s="488"/>
      <c r="K977" s="488"/>
      <c r="L977" s="488"/>
      <c r="M977" s="488"/>
      <c r="N977" s="488"/>
      <c r="O977" s="488"/>
      <c r="P977" s="488"/>
      <c r="Q977" s="488"/>
      <c r="R977" s="488"/>
      <c r="S977" s="488"/>
      <c r="T977" s="488"/>
      <c r="U977" s="488"/>
      <c r="V977" s="488"/>
      <c r="W977" s="488"/>
      <c r="X977" s="488"/>
      <c r="Y977" s="488"/>
      <c r="Z977" s="488"/>
      <c r="AA977" s="488"/>
      <c r="AB977" s="488"/>
      <c r="AC977" s="488"/>
      <c r="AD977" s="488"/>
      <c r="AE977" s="488"/>
      <c r="AF977" s="488"/>
      <c r="AG977" s="488"/>
      <c r="AH977" s="488"/>
      <c r="AI977" s="488"/>
      <c r="AJ977" s="488"/>
      <c r="AK977" s="488"/>
      <c r="AL977" s="488"/>
      <c r="AM977" s="488"/>
      <c r="AN977" s="488"/>
      <c r="AO977" s="488"/>
      <c r="AP977" s="488"/>
      <c r="AQ977" s="488"/>
      <c r="AR977" s="488"/>
      <c r="AS977" s="488"/>
      <c r="AT977" s="488"/>
      <c r="AU977" s="488"/>
      <c r="AV977" s="488"/>
      <c r="AW977" s="488"/>
      <c r="AX977" s="488"/>
      <c r="AY977" s="488"/>
      <c r="AZ977" s="488"/>
      <c r="BA977" s="488"/>
      <c r="BB977" s="488"/>
      <c r="BC977" s="488"/>
      <c r="BD977" s="488"/>
    </row>
    <row r="978" spans="3:56">
      <c r="C978" s="488"/>
      <c r="D978" s="488"/>
      <c r="E978" s="488"/>
      <c r="F978" s="488"/>
      <c r="G978" s="488"/>
      <c r="H978" s="488"/>
      <c r="I978" s="488"/>
      <c r="J978" s="488"/>
      <c r="K978" s="488"/>
      <c r="L978" s="488"/>
      <c r="M978" s="488"/>
      <c r="N978" s="488"/>
      <c r="O978" s="488"/>
      <c r="P978" s="488"/>
      <c r="Q978" s="488"/>
      <c r="R978" s="488"/>
      <c r="S978" s="488"/>
      <c r="T978" s="488"/>
      <c r="U978" s="488"/>
      <c r="V978" s="488"/>
      <c r="W978" s="488"/>
      <c r="X978" s="488"/>
      <c r="Y978" s="488"/>
      <c r="Z978" s="488"/>
      <c r="AA978" s="488"/>
      <c r="AB978" s="488"/>
      <c r="AC978" s="488"/>
      <c r="AD978" s="488"/>
      <c r="AE978" s="488"/>
      <c r="AF978" s="488"/>
      <c r="AG978" s="488"/>
      <c r="AH978" s="488"/>
      <c r="AI978" s="488"/>
      <c r="AJ978" s="488"/>
      <c r="AK978" s="488"/>
      <c r="AL978" s="488"/>
      <c r="AM978" s="488"/>
      <c r="AN978" s="488"/>
      <c r="AO978" s="488"/>
      <c r="AP978" s="488"/>
      <c r="AQ978" s="488"/>
      <c r="AR978" s="488"/>
      <c r="AS978" s="488"/>
      <c r="AT978" s="488"/>
      <c r="AU978" s="488"/>
      <c r="AV978" s="488"/>
      <c r="AW978" s="488"/>
      <c r="AX978" s="488"/>
      <c r="AY978" s="488"/>
      <c r="AZ978" s="488"/>
      <c r="BA978" s="488"/>
      <c r="BB978" s="488"/>
      <c r="BC978" s="488"/>
      <c r="BD978" s="488"/>
    </row>
    <row r="979" spans="3:56">
      <c r="C979" s="488"/>
      <c r="D979" s="488"/>
      <c r="E979" s="488"/>
      <c r="F979" s="488"/>
      <c r="G979" s="488"/>
      <c r="H979" s="488"/>
      <c r="I979" s="488"/>
      <c r="J979" s="488"/>
      <c r="K979" s="488"/>
      <c r="L979" s="488"/>
      <c r="M979" s="488"/>
      <c r="N979" s="488"/>
      <c r="O979" s="488"/>
      <c r="P979" s="488"/>
      <c r="Q979" s="488"/>
      <c r="R979" s="488"/>
      <c r="S979" s="488"/>
      <c r="T979" s="488"/>
      <c r="U979" s="488"/>
      <c r="V979" s="488"/>
      <c r="W979" s="488"/>
      <c r="X979" s="488"/>
      <c r="Y979" s="488"/>
      <c r="Z979" s="488"/>
      <c r="AA979" s="488"/>
      <c r="AB979" s="488"/>
      <c r="AC979" s="488"/>
      <c r="AD979" s="488"/>
      <c r="AE979" s="488"/>
      <c r="AF979" s="488"/>
      <c r="AG979" s="488"/>
      <c r="AH979" s="488"/>
      <c r="AI979" s="488"/>
      <c r="AJ979" s="488"/>
      <c r="AK979" s="488"/>
      <c r="AL979" s="488"/>
      <c r="AM979" s="488"/>
      <c r="AN979" s="488"/>
      <c r="AO979" s="488"/>
      <c r="AP979" s="488"/>
      <c r="AQ979" s="488"/>
      <c r="AR979" s="488"/>
      <c r="AS979" s="488"/>
      <c r="AT979" s="488"/>
      <c r="AU979" s="488"/>
      <c r="AV979" s="488"/>
      <c r="AW979" s="488"/>
      <c r="AX979" s="488"/>
      <c r="AY979" s="488"/>
      <c r="AZ979" s="488"/>
      <c r="BA979" s="488"/>
      <c r="BB979" s="488"/>
      <c r="BC979" s="488"/>
      <c r="BD979" s="488"/>
    </row>
    <row r="980" spans="3:56">
      <c r="C980" s="488"/>
      <c r="D980" s="488"/>
      <c r="E980" s="488"/>
      <c r="F980" s="488"/>
      <c r="G980" s="488"/>
      <c r="H980" s="488"/>
      <c r="I980" s="488"/>
      <c r="J980" s="488"/>
      <c r="K980" s="488"/>
      <c r="L980" s="488"/>
      <c r="M980" s="488"/>
      <c r="N980" s="488"/>
      <c r="O980" s="488"/>
      <c r="P980" s="488"/>
      <c r="Q980" s="488"/>
      <c r="R980" s="488"/>
      <c r="S980" s="488"/>
      <c r="T980" s="488"/>
      <c r="U980" s="488"/>
      <c r="V980" s="488"/>
      <c r="W980" s="488"/>
      <c r="X980" s="488"/>
      <c r="Y980" s="488"/>
      <c r="Z980" s="488"/>
      <c r="AA980" s="488"/>
      <c r="AB980" s="488"/>
      <c r="AC980" s="488"/>
      <c r="AD980" s="488"/>
      <c r="AE980" s="488"/>
      <c r="AF980" s="488"/>
      <c r="AG980" s="488"/>
      <c r="AH980" s="488"/>
      <c r="AI980" s="488"/>
      <c r="AJ980" s="488"/>
      <c r="AK980" s="488"/>
      <c r="AL980" s="488"/>
      <c r="AM980" s="488"/>
      <c r="AN980" s="488"/>
      <c r="AO980" s="488"/>
      <c r="AP980" s="488"/>
      <c r="AQ980" s="488"/>
      <c r="AR980" s="488"/>
      <c r="AS980" s="488"/>
      <c r="AT980" s="488"/>
      <c r="AU980" s="488"/>
      <c r="AV980" s="488"/>
      <c r="AW980" s="488"/>
      <c r="AX980" s="488"/>
      <c r="AY980" s="488"/>
      <c r="AZ980" s="488"/>
      <c r="BA980" s="488"/>
      <c r="BB980" s="488"/>
      <c r="BC980" s="488"/>
      <c r="BD980" s="488"/>
    </row>
    <row r="981" spans="3:56">
      <c r="C981" s="488"/>
      <c r="D981" s="488"/>
      <c r="E981" s="488"/>
      <c r="F981" s="488"/>
      <c r="G981" s="488"/>
      <c r="H981" s="488"/>
      <c r="I981" s="488"/>
      <c r="J981" s="488"/>
      <c r="K981" s="488"/>
      <c r="L981" s="488"/>
      <c r="M981" s="488"/>
      <c r="N981" s="488"/>
      <c r="O981" s="488"/>
      <c r="P981" s="488"/>
      <c r="Q981" s="488"/>
      <c r="R981" s="488"/>
      <c r="S981" s="488"/>
      <c r="T981" s="488"/>
      <c r="U981" s="488"/>
      <c r="V981" s="488"/>
      <c r="W981" s="488"/>
      <c r="X981" s="488"/>
      <c r="Y981" s="488"/>
      <c r="Z981" s="488"/>
      <c r="AA981" s="488"/>
      <c r="AB981" s="488"/>
      <c r="AC981" s="488"/>
      <c r="AD981" s="488"/>
      <c r="AE981" s="488"/>
      <c r="AF981" s="488"/>
      <c r="AG981" s="488"/>
      <c r="AH981" s="488"/>
      <c r="AI981" s="488"/>
      <c r="AJ981" s="488"/>
      <c r="AK981" s="488"/>
      <c r="AL981" s="488"/>
      <c r="AM981" s="488"/>
      <c r="AN981" s="488"/>
      <c r="AO981" s="488"/>
      <c r="AP981" s="488"/>
      <c r="AQ981" s="488"/>
      <c r="AR981" s="488"/>
      <c r="AS981" s="488"/>
      <c r="AT981" s="488"/>
      <c r="AU981" s="488"/>
      <c r="AV981" s="488"/>
      <c r="AW981" s="488"/>
      <c r="AX981" s="488"/>
      <c r="AY981" s="488"/>
      <c r="AZ981" s="488"/>
      <c r="BA981" s="488"/>
      <c r="BB981" s="488"/>
      <c r="BC981" s="488"/>
      <c r="BD981" s="488"/>
    </row>
    <row r="982" spans="3:56">
      <c r="C982" s="488"/>
      <c r="D982" s="488"/>
      <c r="E982" s="488"/>
      <c r="F982" s="488"/>
      <c r="G982" s="488"/>
      <c r="H982" s="488"/>
      <c r="I982" s="488"/>
      <c r="J982" s="488"/>
      <c r="K982" s="488"/>
      <c r="L982" s="488"/>
      <c r="M982" s="488"/>
      <c r="N982" s="488"/>
      <c r="O982" s="488"/>
      <c r="P982" s="488"/>
      <c r="Q982" s="488"/>
      <c r="R982" s="488"/>
      <c r="S982" s="488"/>
      <c r="T982" s="488"/>
      <c r="U982" s="488"/>
      <c r="V982" s="488"/>
      <c r="W982" s="488"/>
      <c r="X982" s="488"/>
      <c r="Y982" s="488"/>
      <c r="Z982" s="488"/>
      <c r="AA982" s="488"/>
      <c r="AB982" s="488"/>
      <c r="AC982" s="488"/>
      <c r="AD982" s="488"/>
      <c r="AE982" s="488"/>
      <c r="AF982" s="488"/>
      <c r="AG982" s="488"/>
      <c r="AH982" s="488"/>
      <c r="AI982" s="488"/>
      <c r="AJ982" s="488"/>
      <c r="AK982" s="488"/>
      <c r="AL982" s="488"/>
      <c r="AM982" s="488"/>
      <c r="AN982" s="488"/>
      <c r="AO982" s="488"/>
      <c r="AP982" s="488"/>
      <c r="AQ982" s="488"/>
      <c r="AR982" s="488"/>
      <c r="AS982" s="488"/>
      <c r="AT982" s="488"/>
      <c r="AU982" s="488"/>
      <c r="AV982" s="488"/>
      <c r="AW982" s="488"/>
      <c r="AX982" s="488"/>
      <c r="AY982" s="488"/>
      <c r="AZ982" s="488"/>
      <c r="BA982" s="488"/>
      <c r="BB982" s="488"/>
      <c r="BC982" s="488"/>
      <c r="BD982" s="488"/>
    </row>
    <row r="983" spans="3:56">
      <c r="C983" s="488"/>
      <c r="D983" s="488"/>
      <c r="E983" s="488"/>
      <c r="F983" s="488"/>
      <c r="G983" s="488"/>
      <c r="H983" s="488"/>
      <c r="I983" s="488"/>
      <c r="J983" s="488"/>
      <c r="K983" s="488"/>
      <c r="L983" s="488"/>
      <c r="M983" s="488"/>
      <c r="N983" s="488"/>
      <c r="O983" s="488"/>
      <c r="P983" s="488"/>
      <c r="Q983" s="488"/>
      <c r="R983" s="488"/>
      <c r="S983" s="488"/>
      <c r="T983" s="488"/>
      <c r="U983" s="488"/>
      <c r="V983" s="488"/>
      <c r="W983" s="488"/>
      <c r="X983" s="488"/>
      <c r="Y983" s="488"/>
      <c r="Z983" s="488"/>
      <c r="AA983" s="488"/>
      <c r="AB983" s="488"/>
      <c r="AC983" s="488"/>
      <c r="AD983" s="488"/>
      <c r="AE983" s="488"/>
      <c r="AF983" s="488"/>
      <c r="AG983" s="488"/>
      <c r="AH983" s="488"/>
      <c r="AI983" s="488"/>
      <c r="AJ983" s="488"/>
      <c r="AK983" s="488"/>
      <c r="AL983" s="488"/>
      <c r="AM983" s="488"/>
      <c r="AN983" s="488"/>
      <c r="AO983" s="488"/>
      <c r="AP983" s="488"/>
      <c r="AQ983" s="488"/>
      <c r="AR983" s="488"/>
      <c r="AS983" s="488"/>
      <c r="AT983" s="488"/>
      <c r="AU983" s="488"/>
      <c r="AV983" s="488"/>
      <c r="AW983" s="488"/>
      <c r="AX983" s="488"/>
      <c r="AY983" s="488"/>
      <c r="AZ983" s="488"/>
      <c r="BA983" s="488"/>
      <c r="BB983" s="488"/>
      <c r="BC983" s="488"/>
      <c r="BD983" s="488"/>
    </row>
    <row r="984" spans="3:56">
      <c r="C984" s="488"/>
      <c r="D984" s="488"/>
      <c r="E984" s="488"/>
      <c r="F984" s="488"/>
      <c r="G984" s="488"/>
      <c r="H984" s="488"/>
      <c r="I984" s="488"/>
      <c r="J984" s="488"/>
      <c r="K984" s="488"/>
      <c r="L984" s="488"/>
      <c r="M984" s="488"/>
      <c r="N984" s="488"/>
      <c r="O984" s="488"/>
      <c r="P984" s="488"/>
      <c r="Q984" s="488"/>
      <c r="R984" s="488"/>
      <c r="S984" s="488"/>
      <c r="T984" s="488"/>
      <c r="U984" s="488"/>
      <c r="V984" s="488"/>
      <c r="W984" s="488"/>
      <c r="X984" s="488"/>
      <c r="Y984" s="488"/>
      <c r="Z984" s="488"/>
      <c r="AA984" s="488"/>
      <c r="AB984" s="488"/>
      <c r="AC984" s="488"/>
      <c r="AD984" s="488"/>
      <c r="AE984" s="488"/>
      <c r="AF984" s="488"/>
      <c r="AG984" s="488"/>
      <c r="AH984" s="488"/>
      <c r="AI984" s="488"/>
      <c r="AJ984" s="488"/>
      <c r="AK984" s="488"/>
      <c r="AL984" s="488"/>
      <c r="AM984" s="488"/>
      <c r="AN984" s="488"/>
      <c r="AO984" s="488"/>
      <c r="AP984" s="488"/>
      <c r="AQ984" s="488"/>
      <c r="AR984" s="488"/>
      <c r="AS984" s="488"/>
      <c r="AT984" s="488"/>
      <c r="AU984" s="488"/>
      <c r="AV984" s="488"/>
      <c r="AW984" s="488"/>
      <c r="AX984" s="488"/>
      <c r="AY984" s="488"/>
      <c r="AZ984" s="488"/>
      <c r="BA984" s="488"/>
      <c r="BB984" s="488"/>
      <c r="BC984" s="488"/>
      <c r="BD984" s="488"/>
    </row>
    <row r="985" spans="3:56">
      <c r="C985" s="488"/>
      <c r="D985" s="488"/>
      <c r="E985" s="488"/>
      <c r="F985" s="488"/>
      <c r="G985" s="488"/>
      <c r="H985" s="488"/>
      <c r="I985" s="488"/>
      <c r="J985" s="488"/>
      <c r="K985" s="488"/>
      <c r="L985" s="488"/>
      <c r="M985" s="488"/>
      <c r="N985" s="488"/>
      <c r="O985" s="488"/>
      <c r="P985" s="488"/>
      <c r="Q985" s="488"/>
      <c r="R985" s="488"/>
      <c r="S985" s="488"/>
      <c r="T985" s="488"/>
      <c r="U985" s="488"/>
      <c r="V985" s="488"/>
      <c r="W985" s="488"/>
      <c r="X985" s="488"/>
      <c r="Y985" s="488"/>
      <c r="Z985" s="488"/>
      <c r="AA985" s="488"/>
      <c r="AB985" s="488"/>
      <c r="AC985" s="488"/>
      <c r="AD985" s="488"/>
      <c r="AE985" s="488"/>
      <c r="AF985" s="488"/>
      <c r="AG985" s="488"/>
      <c r="AH985" s="488"/>
      <c r="AI985" s="488"/>
      <c r="AJ985" s="488"/>
      <c r="AK985" s="488"/>
      <c r="AL985" s="488"/>
      <c r="AM985" s="488"/>
      <c r="AN985" s="488"/>
      <c r="AO985" s="488"/>
      <c r="AP985" s="488"/>
      <c r="AQ985" s="488"/>
      <c r="AR985" s="488"/>
      <c r="AS985" s="488"/>
      <c r="AT985" s="488"/>
      <c r="AU985" s="488"/>
      <c r="AV985" s="488"/>
      <c r="AW985" s="488"/>
      <c r="AX985" s="488"/>
      <c r="AY985" s="488"/>
      <c r="AZ985" s="488"/>
      <c r="BA985" s="488"/>
      <c r="BB985" s="488"/>
      <c r="BC985" s="488"/>
      <c r="BD985" s="488"/>
    </row>
    <row r="986" spans="3:56">
      <c r="C986" s="488"/>
      <c r="D986" s="488"/>
      <c r="E986" s="488"/>
      <c r="F986" s="488"/>
      <c r="G986" s="488"/>
      <c r="H986" s="488"/>
      <c r="I986" s="488"/>
      <c r="J986" s="488"/>
      <c r="K986" s="488"/>
      <c r="L986" s="488"/>
      <c r="M986" s="488"/>
      <c r="N986" s="488"/>
      <c r="O986" s="488"/>
      <c r="P986" s="488"/>
      <c r="Q986" s="488"/>
      <c r="R986" s="488"/>
      <c r="S986" s="488"/>
      <c r="T986" s="488"/>
      <c r="U986" s="488"/>
      <c r="V986" s="488"/>
      <c r="W986" s="488"/>
      <c r="X986" s="488"/>
      <c r="Y986" s="488"/>
      <c r="Z986" s="488"/>
      <c r="AA986" s="488"/>
      <c r="AB986" s="488"/>
      <c r="AC986" s="488"/>
      <c r="AD986" s="488"/>
      <c r="AE986" s="488"/>
      <c r="AF986" s="488"/>
      <c r="AG986" s="488"/>
      <c r="AH986" s="488"/>
      <c r="AI986" s="488"/>
      <c r="AJ986" s="488"/>
      <c r="AK986" s="488"/>
      <c r="AL986" s="488"/>
      <c r="AM986" s="488"/>
      <c r="AN986" s="488"/>
      <c r="AO986" s="488"/>
      <c r="AP986" s="488"/>
      <c r="AQ986" s="488"/>
      <c r="AR986" s="488"/>
      <c r="AS986" s="488"/>
      <c r="AT986" s="488"/>
      <c r="AU986" s="488"/>
      <c r="AV986" s="488"/>
      <c r="AW986" s="488"/>
      <c r="AX986" s="488"/>
      <c r="AY986" s="488"/>
      <c r="AZ986" s="488"/>
      <c r="BA986" s="488"/>
      <c r="BB986" s="488"/>
      <c r="BC986" s="488"/>
      <c r="BD986" s="488"/>
    </row>
    <row r="987" spans="3:56">
      <c r="C987" s="488"/>
      <c r="D987" s="488"/>
      <c r="E987" s="488"/>
      <c r="F987" s="488"/>
      <c r="G987" s="488"/>
      <c r="H987" s="488"/>
      <c r="I987" s="488"/>
      <c r="J987" s="488"/>
      <c r="K987" s="488"/>
      <c r="L987" s="488"/>
      <c r="M987" s="488"/>
      <c r="N987" s="488"/>
      <c r="O987" s="488"/>
      <c r="P987" s="488"/>
      <c r="Q987" s="488"/>
      <c r="R987" s="488"/>
      <c r="S987" s="488"/>
      <c r="T987" s="488"/>
      <c r="U987" s="488"/>
      <c r="V987" s="488"/>
      <c r="W987" s="488"/>
      <c r="X987" s="488"/>
      <c r="Y987" s="488"/>
      <c r="Z987" s="488"/>
      <c r="AA987" s="488"/>
      <c r="AB987" s="488"/>
      <c r="AC987" s="488"/>
      <c r="AD987" s="488"/>
      <c r="AE987" s="488"/>
      <c r="AF987" s="488"/>
      <c r="AG987" s="488"/>
      <c r="AH987" s="488"/>
      <c r="AI987" s="488"/>
      <c r="AJ987" s="488"/>
      <c r="AK987" s="488"/>
      <c r="AL987" s="488"/>
      <c r="AM987" s="488"/>
      <c r="AN987" s="488"/>
      <c r="AO987" s="488"/>
      <c r="AP987" s="488"/>
      <c r="AQ987" s="488"/>
      <c r="AR987" s="488"/>
      <c r="AS987" s="488"/>
      <c r="AT987" s="488"/>
      <c r="AU987" s="488"/>
      <c r="AV987" s="488"/>
      <c r="AW987" s="488"/>
      <c r="AX987" s="488"/>
      <c r="AY987" s="488"/>
      <c r="AZ987" s="488"/>
      <c r="BA987" s="488"/>
      <c r="BB987" s="488"/>
      <c r="BC987" s="488"/>
      <c r="BD987" s="488"/>
    </row>
    <row r="988" spans="3:56">
      <c r="C988" s="488"/>
      <c r="D988" s="488"/>
      <c r="E988" s="488"/>
      <c r="F988" s="488"/>
      <c r="G988" s="488"/>
      <c r="H988" s="488"/>
      <c r="I988" s="488"/>
      <c r="J988" s="488"/>
      <c r="K988" s="488"/>
      <c r="L988" s="488"/>
      <c r="M988" s="488"/>
      <c r="N988" s="488"/>
      <c r="O988" s="488"/>
      <c r="P988" s="488"/>
      <c r="Q988" s="488"/>
      <c r="R988" s="488"/>
      <c r="S988" s="488"/>
      <c r="T988" s="488"/>
      <c r="U988" s="488"/>
      <c r="V988" s="488"/>
      <c r="W988" s="488"/>
      <c r="X988" s="488"/>
      <c r="Y988" s="488"/>
      <c r="Z988" s="488"/>
      <c r="AA988" s="488"/>
      <c r="AB988" s="488"/>
      <c r="AC988" s="488"/>
      <c r="AD988" s="488"/>
      <c r="AE988" s="488"/>
      <c r="AF988" s="488"/>
      <c r="AG988" s="488"/>
      <c r="AH988" s="488"/>
      <c r="AI988" s="488"/>
      <c r="AJ988" s="488"/>
      <c r="AK988" s="488"/>
      <c r="AL988" s="488"/>
      <c r="AM988" s="488"/>
      <c r="AN988" s="488"/>
      <c r="AO988" s="488"/>
      <c r="AP988" s="488"/>
      <c r="AQ988" s="488"/>
      <c r="AR988" s="488"/>
      <c r="AS988" s="488"/>
      <c r="AT988" s="488"/>
      <c r="AU988" s="488"/>
      <c r="AV988" s="488"/>
      <c r="AW988" s="488"/>
      <c r="AX988" s="488"/>
      <c r="AY988" s="488"/>
      <c r="AZ988" s="488"/>
      <c r="BA988" s="488"/>
      <c r="BB988" s="488"/>
      <c r="BC988" s="488"/>
      <c r="BD988" s="488"/>
    </row>
    <row r="989" spans="3:56">
      <c r="C989" s="488"/>
      <c r="D989" s="488"/>
      <c r="E989" s="488"/>
      <c r="F989" s="488"/>
      <c r="G989" s="488"/>
      <c r="H989" s="488"/>
      <c r="I989" s="488"/>
      <c r="J989" s="488"/>
      <c r="K989" s="488"/>
      <c r="L989" s="488"/>
      <c r="M989" s="488"/>
      <c r="N989" s="488"/>
      <c r="O989" s="488"/>
      <c r="P989" s="488"/>
      <c r="Q989" s="488"/>
      <c r="R989" s="488"/>
      <c r="S989" s="488"/>
      <c r="T989" s="488"/>
      <c r="U989" s="488"/>
      <c r="V989" s="488"/>
      <c r="W989" s="488"/>
      <c r="X989" s="488"/>
      <c r="Y989" s="488"/>
      <c r="Z989" s="488"/>
      <c r="AA989" s="488"/>
      <c r="AB989" s="488"/>
      <c r="AC989" s="488"/>
      <c r="AD989" s="488"/>
      <c r="AE989" s="488"/>
      <c r="AF989" s="488"/>
      <c r="AG989" s="488"/>
      <c r="AH989" s="488"/>
      <c r="AI989" s="488"/>
      <c r="AJ989" s="488"/>
      <c r="AK989" s="488"/>
      <c r="AL989" s="488"/>
      <c r="AM989" s="488"/>
      <c r="AN989" s="488"/>
      <c r="AO989" s="488"/>
      <c r="AP989" s="488"/>
      <c r="AQ989" s="488"/>
      <c r="AR989" s="488"/>
      <c r="AS989" s="488"/>
      <c r="AT989" s="488"/>
      <c r="AU989" s="488"/>
      <c r="AV989" s="488"/>
      <c r="AW989" s="488"/>
      <c r="AX989" s="488"/>
      <c r="AY989" s="488"/>
      <c r="AZ989" s="488"/>
      <c r="BA989" s="488"/>
      <c r="BB989" s="488"/>
      <c r="BC989" s="488"/>
      <c r="BD989" s="488"/>
    </row>
    <row r="990" spans="3:56">
      <c r="C990" s="488"/>
      <c r="D990" s="488"/>
      <c r="E990" s="488"/>
      <c r="F990" s="488"/>
      <c r="G990" s="488"/>
      <c r="H990" s="488"/>
      <c r="I990" s="488"/>
      <c r="J990" s="488"/>
      <c r="K990" s="488"/>
      <c r="L990" s="488"/>
      <c r="M990" s="488"/>
      <c r="N990" s="488"/>
      <c r="O990" s="488"/>
      <c r="P990" s="488"/>
      <c r="Q990" s="488"/>
      <c r="R990" s="488"/>
      <c r="S990" s="488"/>
      <c r="T990" s="488"/>
      <c r="U990" s="488"/>
      <c r="V990" s="488"/>
      <c r="W990" s="488"/>
      <c r="X990" s="488"/>
      <c r="Y990" s="488"/>
      <c r="Z990" s="488"/>
      <c r="AA990" s="488"/>
      <c r="AB990" s="488"/>
      <c r="AC990" s="488"/>
      <c r="AD990" s="488"/>
      <c r="AE990" s="488"/>
      <c r="AF990" s="488"/>
      <c r="AG990" s="488"/>
      <c r="AH990" s="488"/>
      <c r="AI990" s="488"/>
      <c r="AJ990" s="488"/>
      <c r="AK990" s="488"/>
      <c r="AL990" s="488"/>
      <c r="AM990" s="488"/>
      <c r="AN990" s="488"/>
      <c r="AO990" s="488"/>
      <c r="AP990" s="488"/>
      <c r="AQ990" s="488"/>
      <c r="AR990" s="488"/>
      <c r="AS990" s="488"/>
      <c r="AT990" s="488"/>
      <c r="AU990" s="488"/>
      <c r="AV990" s="488"/>
      <c r="AW990" s="488"/>
      <c r="AX990" s="488"/>
      <c r="AY990" s="488"/>
      <c r="AZ990" s="488"/>
      <c r="BA990" s="488"/>
      <c r="BB990" s="488"/>
      <c r="BC990" s="488"/>
      <c r="BD990" s="488"/>
    </row>
    <row r="991" spans="3:56">
      <c r="C991" s="488"/>
      <c r="D991" s="488"/>
      <c r="E991" s="488"/>
      <c r="F991" s="488"/>
      <c r="G991" s="488"/>
      <c r="H991" s="488"/>
      <c r="I991" s="488"/>
      <c r="J991" s="488"/>
      <c r="K991" s="488"/>
      <c r="L991" s="488"/>
      <c r="M991" s="488"/>
      <c r="N991" s="488"/>
      <c r="O991" s="488"/>
      <c r="P991" s="488"/>
      <c r="Q991" s="488"/>
      <c r="R991" s="488"/>
      <c r="S991" s="488"/>
      <c r="T991" s="488"/>
      <c r="U991" s="488"/>
      <c r="V991" s="488"/>
      <c r="W991" s="488"/>
      <c r="X991" s="488"/>
      <c r="Y991" s="488"/>
      <c r="Z991" s="488"/>
      <c r="AA991" s="488"/>
      <c r="AB991" s="488"/>
      <c r="AC991" s="488"/>
      <c r="AD991" s="488"/>
      <c r="AE991" s="488"/>
      <c r="AF991" s="488"/>
      <c r="AG991" s="488"/>
      <c r="AH991" s="488"/>
      <c r="AI991" s="488"/>
      <c r="AJ991" s="488"/>
      <c r="AK991" s="488"/>
      <c r="AL991" s="488"/>
      <c r="AM991" s="488"/>
      <c r="AN991" s="488"/>
      <c r="AO991" s="488"/>
      <c r="AP991" s="488"/>
      <c r="AQ991" s="488"/>
      <c r="AR991" s="488"/>
      <c r="AS991" s="488"/>
      <c r="AT991" s="488"/>
      <c r="AU991" s="488"/>
      <c r="AV991" s="488"/>
      <c r="AW991" s="488"/>
      <c r="AX991" s="488"/>
      <c r="AY991" s="488"/>
      <c r="AZ991" s="488"/>
      <c r="BA991" s="488"/>
      <c r="BB991" s="488"/>
      <c r="BC991" s="488"/>
      <c r="BD991" s="488"/>
    </row>
    <row r="992" spans="3:56">
      <c r="C992" s="488"/>
      <c r="D992" s="488"/>
      <c r="E992" s="488"/>
      <c r="F992" s="488"/>
      <c r="G992" s="488"/>
      <c r="H992" s="488"/>
      <c r="I992" s="488"/>
      <c r="J992" s="488"/>
      <c r="K992" s="488"/>
      <c r="L992" s="488"/>
      <c r="M992" s="488"/>
      <c r="N992" s="488"/>
      <c r="O992" s="488"/>
      <c r="P992" s="488"/>
      <c r="Q992" s="488"/>
      <c r="R992" s="488"/>
      <c r="S992" s="488"/>
      <c r="T992" s="488"/>
      <c r="U992" s="488"/>
      <c r="V992" s="488"/>
      <c r="W992" s="488"/>
      <c r="X992" s="488"/>
      <c r="Y992" s="488"/>
      <c r="Z992" s="488"/>
      <c r="AA992" s="488"/>
      <c r="AB992" s="488"/>
      <c r="AC992" s="488"/>
      <c r="AD992" s="488"/>
      <c r="AE992" s="488"/>
      <c r="AF992" s="488"/>
      <c r="AG992" s="488"/>
      <c r="AH992" s="488"/>
      <c r="AI992" s="488"/>
      <c r="AJ992" s="488"/>
      <c r="AK992" s="488"/>
      <c r="AL992" s="488"/>
      <c r="AM992" s="488"/>
      <c r="AN992" s="488"/>
      <c r="AO992" s="488"/>
      <c r="AP992" s="488"/>
      <c r="AQ992" s="488"/>
      <c r="AR992" s="488"/>
      <c r="AS992" s="488"/>
      <c r="AT992" s="488"/>
      <c r="AU992" s="488"/>
      <c r="AV992" s="488"/>
      <c r="AW992" s="488"/>
      <c r="AX992" s="488"/>
      <c r="AY992" s="488"/>
      <c r="AZ992" s="488"/>
      <c r="BA992" s="488"/>
      <c r="BB992" s="488"/>
      <c r="BC992" s="488"/>
      <c r="BD992" s="488"/>
    </row>
    <row r="993" spans="3:56">
      <c r="C993" s="488"/>
      <c r="D993" s="488"/>
      <c r="E993" s="488"/>
      <c r="F993" s="488"/>
      <c r="G993" s="488"/>
      <c r="H993" s="488"/>
      <c r="I993" s="488"/>
      <c r="J993" s="488"/>
      <c r="K993" s="488"/>
      <c r="L993" s="488"/>
      <c r="M993" s="488"/>
      <c r="N993" s="488"/>
      <c r="O993" s="488"/>
      <c r="P993" s="488"/>
      <c r="Q993" s="488"/>
      <c r="R993" s="488"/>
      <c r="S993" s="488"/>
      <c r="T993" s="488"/>
      <c r="U993" s="488"/>
      <c r="V993" s="488"/>
      <c r="W993" s="488"/>
      <c r="X993" s="488"/>
      <c r="Y993" s="488"/>
      <c r="Z993" s="488"/>
      <c r="AA993" s="488"/>
      <c r="AB993" s="488"/>
      <c r="AC993" s="488"/>
      <c r="AD993" s="488"/>
      <c r="AE993" s="488"/>
      <c r="AF993" s="488"/>
      <c r="AG993" s="488"/>
      <c r="AH993" s="488"/>
      <c r="AI993" s="488"/>
      <c r="AJ993" s="488"/>
      <c r="AK993" s="488"/>
      <c r="AL993" s="488"/>
      <c r="AM993" s="488"/>
      <c r="AN993" s="488"/>
      <c r="AO993" s="488"/>
      <c r="AP993" s="488"/>
      <c r="AQ993" s="488"/>
      <c r="AR993" s="488"/>
      <c r="AS993" s="488"/>
      <c r="AT993" s="488"/>
      <c r="AU993" s="488"/>
      <c r="AV993" s="488"/>
      <c r="AW993" s="488"/>
      <c r="AX993" s="488"/>
      <c r="AY993" s="488"/>
      <c r="AZ993" s="488"/>
      <c r="BA993" s="488"/>
      <c r="BB993" s="488"/>
      <c r="BC993" s="488"/>
      <c r="BD993" s="488"/>
    </row>
    <row r="994" spans="3:56">
      <c r="C994" s="488"/>
      <c r="D994" s="488"/>
      <c r="E994" s="488"/>
      <c r="F994" s="488"/>
      <c r="G994" s="488"/>
      <c r="H994" s="488"/>
      <c r="I994" s="488"/>
      <c r="J994" s="488"/>
      <c r="K994" s="488"/>
      <c r="L994" s="488"/>
      <c r="M994" s="488"/>
      <c r="N994" s="488"/>
      <c r="O994" s="488"/>
      <c r="P994" s="488"/>
      <c r="Q994" s="488"/>
      <c r="R994" s="488"/>
      <c r="S994" s="488"/>
      <c r="T994" s="488"/>
      <c r="U994" s="488"/>
      <c r="V994" s="488"/>
      <c r="W994" s="488"/>
      <c r="X994" s="488"/>
      <c r="Y994" s="488"/>
      <c r="Z994" s="488"/>
      <c r="AA994" s="488"/>
      <c r="AB994" s="488"/>
      <c r="AC994" s="488"/>
      <c r="AD994" s="488"/>
      <c r="AE994" s="488"/>
      <c r="AF994" s="488"/>
      <c r="AG994" s="488"/>
      <c r="AH994" s="488"/>
      <c r="AI994" s="488"/>
      <c r="AJ994" s="488"/>
      <c r="AK994" s="488"/>
      <c r="AL994" s="488"/>
      <c r="AM994" s="488"/>
      <c r="AN994" s="488"/>
      <c r="AO994" s="488"/>
      <c r="AP994" s="488"/>
      <c r="AQ994" s="488"/>
      <c r="AR994" s="488"/>
      <c r="AS994" s="488"/>
      <c r="AT994" s="488"/>
      <c r="AU994" s="488"/>
      <c r="AV994" s="488"/>
      <c r="AW994" s="488"/>
      <c r="AX994" s="488"/>
      <c r="AY994" s="488"/>
      <c r="AZ994" s="488"/>
      <c r="BA994" s="488"/>
      <c r="BB994" s="488"/>
      <c r="BC994" s="488"/>
      <c r="BD994" s="488"/>
    </row>
    <row r="995" spans="3:56">
      <c r="C995" s="488"/>
      <c r="D995" s="488"/>
      <c r="E995" s="488"/>
      <c r="F995" s="488"/>
      <c r="G995" s="488"/>
      <c r="H995" s="488"/>
      <c r="I995" s="488"/>
      <c r="J995" s="488"/>
      <c r="K995" s="488"/>
      <c r="L995" s="488"/>
      <c r="M995" s="488"/>
      <c r="N995" s="488"/>
      <c r="O995" s="488"/>
      <c r="P995" s="488"/>
      <c r="Q995" s="488"/>
      <c r="R995" s="488"/>
      <c r="S995" s="488"/>
      <c r="T995" s="488"/>
      <c r="U995" s="488"/>
      <c r="V995" s="488"/>
      <c r="W995" s="488"/>
      <c r="X995" s="488"/>
      <c r="Y995" s="488"/>
      <c r="Z995" s="488"/>
      <c r="AA995" s="488"/>
      <c r="AB995" s="488"/>
      <c r="AC995" s="488"/>
      <c r="AD995" s="488"/>
      <c r="AE995" s="488"/>
      <c r="AF995" s="488"/>
      <c r="AG995" s="488"/>
      <c r="AH995" s="488"/>
      <c r="AI995" s="488"/>
      <c r="AJ995" s="488"/>
      <c r="AK995" s="488"/>
      <c r="AL995" s="488"/>
      <c r="AM995" s="488"/>
      <c r="AN995" s="488"/>
      <c r="AO995" s="488"/>
      <c r="AP995" s="488"/>
      <c r="AQ995" s="488"/>
      <c r="AR995" s="488"/>
      <c r="AS995" s="488"/>
      <c r="AT995" s="488"/>
      <c r="AU995" s="488"/>
      <c r="AV995" s="488"/>
      <c r="AW995" s="488"/>
      <c r="AX995" s="488"/>
      <c r="AY995" s="488"/>
      <c r="AZ995" s="488"/>
      <c r="BA995" s="488"/>
      <c r="BB995" s="488"/>
      <c r="BC995" s="488"/>
      <c r="BD995" s="488"/>
    </row>
    <row r="996" spans="3:56">
      <c r="C996" s="488"/>
      <c r="D996" s="488"/>
      <c r="E996" s="488"/>
      <c r="F996" s="488"/>
      <c r="G996" s="488"/>
      <c r="H996" s="488"/>
      <c r="I996" s="488"/>
      <c r="J996" s="488"/>
      <c r="K996" s="488"/>
      <c r="L996" s="488"/>
      <c r="M996" s="488"/>
      <c r="N996" s="488"/>
      <c r="O996" s="488"/>
      <c r="P996" s="488"/>
      <c r="Q996" s="488"/>
      <c r="R996" s="488"/>
      <c r="S996" s="488"/>
      <c r="T996" s="488"/>
      <c r="U996" s="488"/>
      <c r="V996" s="488"/>
      <c r="W996" s="488"/>
      <c r="X996" s="488"/>
      <c r="Y996" s="488"/>
      <c r="Z996" s="488"/>
      <c r="AA996" s="488"/>
      <c r="AB996" s="488"/>
      <c r="AC996" s="488"/>
      <c r="AD996" s="488"/>
      <c r="AE996" s="488"/>
      <c r="AF996" s="488"/>
      <c r="AG996" s="488"/>
      <c r="AH996" s="488"/>
      <c r="AI996" s="488"/>
      <c r="AJ996" s="488"/>
      <c r="AK996" s="488"/>
      <c r="AL996" s="488"/>
      <c r="AM996" s="488"/>
      <c r="AN996" s="488"/>
      <c r="AO996" s="488"/>
      <c r="AP996" s="488"/>
      <c r="AQ996" s="488"/>
      <c r="AR996" s="488"/>
      <c r="AS996" s="488"/>
      <c r="AT996" s="488"/>
      <c r="AU996" s="488"/>
      <c r="AV996" s="488"/>
      <c r="AW996" s="488"/>
      <c r="AX996" s="488"/>
      <c r="AY996" s="488"/>
      <c r="AZ996" s="488"/>
      <c r="BA996" s="488"/>
      <c r="BB996" s="488"/>
      <c r="BC996" s="488"/>
      <c r="BD996" s="488"/>
    </row>
    <row r="997" spans="3:56">
      <c r="C997" s="488"/>
      <c r="D997" s="488"/>
      <c r="E997" s="488"/>
      <c r="F997" s="488"/>
      <c r="G997" s="488"/>
      <c r="H997" s="488"/>
      <c r="I997" s="488"/>
      <c r="J997" s="488"/>
      <c r="K997" s="488"/>
      <c r="L997" s="488"/>
      <c r="M997" s="488"/>
      <c r="N997" s="488"/>
      <c r="O997" s="488"/>
      <c r="P997" s="488"/>
      <c r="Q997" s="488"/>
      <c r="R997" s="488"/>
      <c r="S997" s="488"/>
      <c r="T997" s="488"/>
      <c r="U997" s="488"/>
      <c r="V997" s="488"/>
      <c r="W997" s="488"/>
      <c r="X997" s="488"/>
      <c r="Y997" s="488"/>
      <c r="Z997" s="488"/>
      <c r="AA997" s="488"/>
      <c r="AB997" s="488"/>
      <c r="AC997" s="488"/>
      <c r="AD997" s="488"/>
      <c r="AE997" s="488"/>
      <c r="AF997" s="488"/>
      <c r="AG997" s="488"/>
      <c r="AH997" s="488"/>
      <c r="AI997" s="488"/>
      <c r="AJ997" s="488"/>
      <c r="AK997" s="488"/>
      <c r="AL997" s="488"/>
      <c r="AM997" s="488"/>
      <c r="AN997" s="488"/>
      <c r="AO997" s="488"/>
      <c r="AP997" s="488"/>
      <c r="AQ997" s="488"/>
      <c r="AR997" s="488"/>
      <c r="AS997" s="488"/>
      <c r="AT997" s="488"/>
      <c r="AU997" s="488"/>
      <c r="AV997" s="488"/>
      <c r="AW997" s="488"/>
      <c r="AX997" s="488"/>
      <c r="AY997" s="488"/>
      <c r="AZ997" s="488"/>
      <c r="BA997" s="488"/>
      <c r="BB997" s="488"/>
      <c r="BC997" s="488"/>
      <c r="BD997" s="488"/>
    </row>
    <row r="998" spans="3:56">
      <c r="C998" s="488"/>
      <c r="D998" s="488"/>
      <c r="E998" s="488"/>
      <c r="F998" s="488"/>
      <c r="G998" s="488"/>
      <c r="H998" s="488"/>
      <c r="I998" s="488"/>
      <c r="J998" s="488"/>
      <c r="K998" s="488"/>
      <c r="L998" s="488"/>
      <c r="M998" s="488"/>
      <c r="N998" s="488"/>
      <c r="O998" s="488"/>
      <c r="P998" s="488"/>
      <c r="Q998" s="488"/>
      <c r="R998" s="488"/>
      <c r="S998" s="488"/>
      <c r="T998" s="488"/>
      <c r="U998" s="488"/>
      <c r="V998" s="488"/>
      <c r="W998" s="488"/>
      <c r="X998" s="488"/>
      <c r="Y998" s="488"/>
      <c r="Z998" s="488"/>
      <c r="AA998" s="488"/>
      <c r="AB998" s="488"/>
      <c r="AC998" s="488"/>
      <c r="AD998" s="488"/>
      <c r="AE998" s="488"/>
      <c r="AF998" s="488"/>
      <c r="AG998" s="488"/>
      <c r="AH998" s="488"/>
      <c r="AI998" s="488"/>
      <c r="AJ998" s="488"/>
      <c r="AK998" s="488"/>
      <c r="AL998" s="488"/>
      <c r="AM998" s="488"/>
      <c r="AN998" s="488"/>
      <c r="AO998" s="488"/>
      <c r="AP998" s="488"/>
      <c r="AQ998" s="488"/>
      <c r="AR998" s="488"/>
      <c r="AS998" s="488"/>
      <c r="AT998" s="488"/>
      <c r="AU998" s="488"/>
      <c r="AV998" s="488"/>
      <c r="AW998" s="488"/>
      <c r="AX998" s="488"/>
      <c r="AY998" s="488"/>
      <c r="AZ998" s="488"/>
      <c r="BA998" s="488"/>
      <c r="BB998" s="488"/>
      <c r="BC998" s="488"/>
      <c r="BD998" s="488"/>
    </row>
    <row r="999" spans="3:56">
      <c r="C999" s="488"/>
      <c r="D999" s="488"/>
      <c r="E999" s="488"/>
      <c r="F999" s="488"/>
      <c r="G999" s="488"/>
      <c r="H999" s="488"/>
      <c r="I999" s="488"/>
      <c r="J999" s="488"/>
      <c r="K999" s="488"/>
      <c r="L999" s="488"/>
      <c r="M999" s="488"/>
      <c r="N999" s="488"/>
      <c r="O999" s="488"/>
      <c r="P999" s="488"/>
      <c r="Q999" s="488"/>
      <c r="R999" s="488"/>
      <c r="S999" s="488"/>
      <c r="T999" s="488"/>
      <c r="U999" s="488"/>
      <c r="V999" s="488"/>
      <c r="W999" s="488"/>
      <c r="X999" s="488"/>
      <c r="Y999" s="488"/>
      <c r="Z999" s="488"/>
      <c r="AA999" s="488"/>
      <c r="AB999" s="488"/>
      <c r="AC999" s="488"/>
      <c r="AD999" s="488"/>
      <c r="AE999" s="488"/>
      <c r="AF999" s="488"/>
      <c r="AG999" s="488"/>
      <c r="AH999" s="488"/>
      <c r="AI999" s="488"/>
      <c r="AJ999" s="488"/>
      <c r="AK999" s="488"/>
      <c r="AL999" s="488"/>
      <c r="AM999" s="488"/>
      <c r="AN999" s="488"/>
      <c r="AO999" s="488"/>
      <c r="AP999" s="488"/>
      <c r="AQ999" s="488"/>
      <c r="AR999" s="488"/>
      <c r="AS999" s="488"/>
      <c r="AT999" s="488"/>
      <c r="AU999" s="488"/>
      <c r="AV999" s="488"/>
      <c r="AW999" s="488"/>
      <c r="AX999" s="488"/>
      <c r="AY999" s="488"/>
      <c r="AZ999" s="488"/>
      <c r="BA999" s="488"/>
      <c r="BB999" s="488"/>
      <c r="BC999" s="488"/>
      <c r="BD999" s="488"/>
    </row>
    <row r="1000" spans="3:56">
      <c r="C1000" s="488"/>
      <c r="D1000" s="488"/>
      <c r="E1000" s="488"/>
      <c r="F1000" s="488"/>
      <c r="G1000" s="488"/>
      <c r="H1000" s="488"/>
      <c r="I1000" s="488"/>
      <c r="J1000" s="488"/>
      <c r="K1000" s="488"/>
      <c r="L1000" s="488"/>
      <c r="M1000" s="488"/>
      <c r="N1000" s="488"/>
      <c r="O1000" s="488"/>
      <c r="P1000" s="488"/>
      <c r="Q1000" s="488"/>
      <c r="R1000" s="488"/>
      <c r="S1000" s="488"/>
      <c r="T1000" s="488"/>
      <c r="U1000" s="488"/>
      <c r="V1000" s="488"/>
      <c r="W1000" s="488"/>
      <c r="X1000" s="488"/>
      <c r="Y1000" s="488"/>
      <c r="Z1000" s="488"/>
      <c r="AA1000" s="488"/>
      <c r="AB1000" s="488"/>
      <c r="AC1000" s="488"/>
      <c r="AD1000" s="488"/>
      <c r="AE1000" s="488"/>
      <c r="AF1000" s="488"/>
      <c r="AG1000" s="488"/>
      <c r="AH1000" s="488"/>
      <c r="AI1000" s="488"/>
      <c r="AJ1000" s="488"/>
      <c r="AK1000" s="488"/>
      <c r="AL1000" s="488"/>
      <c r="AM1000" s="488"/>
      <c r="AN1000" s="488"/>
      <c r="AO1000" s="488"/>
      <c r="AP1000" s="488"/>
      <c r="AQ1000" s="488"/>
      <c r="AR1000" s="488"/>
      <c r="AS1000" s="488"/>
      <c r="AT1000" s="488"/>
      <c r="AU1000" s="488"/>
      <c r="AV1000" s="488"/>
      <c r="AW1000" s="488"/>
      <c r="AX1000" s="488"/>
      <c r="AY1000" s="488"/>
      <c r="AZ1000" s="488"/>
      <c r="BA1000" s="488"/>
      <c r="BB1000" s="488"/>
      <c r="BC1000" s="488"/>
      <c r="BD1000" s="488"/>
    </row>
    <row r="1001" spans="3:56">
      <c r="C1001" s="488"/>
      <c r="D1001" s="488"/>
      <c r="E1001" s="488"/>
      <c r="F1001" s="488"/>
      <c r="G1001" s="488"/>
      <c r="H1001" s="488"/>
      <c r="I1001" s="488"/>
      <c r="J1001" s="488"/>
      <c r="K1001" s="488"/>
      <c r="L1001" s="488"/>
      <c r="M1001" s="488"/>
      <c r="N1001" s="488"/>
      <c r="O1001" s="488"/>
      <c r="P1001" s="488"/>
      <c r="Q1001" s="488"/>
      <c r="R1001" s="488"/>
      <c r="S1001" s="488"/>
      <c r="T1001" s="488"/>
      <c r="U1001" s="488"/>
      <c r="V1001" s="488"/>
      <c r="W1001" s="488"/>
      <c r="X1001" s="488"/>
      <c r="Y1001" s="488"/>
      <c r="Z1001" s="488"/>
      <c r="AA1001" s="488"/>
      <c r="AB1001" s="488"/>
      <c r="AC1001" s="488"/>
      <c r="AD1001" s="488"/>
      <c r="AE1001" s="488"/>
      <c r="AF1001" s="488"/>
      <c r="AG1001" s="488"/>
      <c r="AH1001" s="488"/>
      <c r="AI1001" s="488"/>
      <c r="AJ1001" s="488"/>
      <c r="AK1001" s="488"/>
      <c r="AL1001" s="488"/>
      <c r="AM1001" s="488"/>
      <c r="AN1001" s="488"/>
      <c r="AO1001" s="488"/>
      <c r="AP1001" s="488"/>
      <c r="AQ1001" s="488"/>
      <c r="AR1001" s="488"/>
      <c r="AS1001" s="488"/>
      <c r="AT1001" s="488"/>
      <c r="AU1001" s="488"/>
      <c r="AV1001" s="488"/>
      <c r="AW1001" s="488"/>
      <c r="AX1001" s="488"/>
      <c r="AY1001" s="488"/>
      <c r="AZ1001" s="488"/>
      <c r="BA1001" s="488"/>
      <c r="BB1001" s="488"/>
      <c r="BC1001" s="488"/>
      <c r="BD1001" s="488"/>
    </row>
    <row r="1002" spans="3:56">
      <c r="C1002" s="488"/>
      <c r="D1002" s="488"/>
      <c r="E1002" s="488"/>
      <c r="F1002" s="488"/>
      <c r="G1002" s="488"/>
      <c r="H1002" s="488"/>
      <c r="I1002" s="488"/>
      <c r="J1002" s="488"/>
      <c r="K1002" s="488"/>
      <c r="L1002" s="488"/>
      <c r="M1002" s="488"/>
      <c r="N1002" s="488"/>
      <c r="O1002" s="488"/>
      <c r="P1002" s="488"/>
      <c r="Q1002" s="488"/>
      <c r="R1002" s="488"/>
      <c r="S1002" s="488"/>
      <c r="T1002" s="488"/>
      <c r="U1002" s="488"/>
      <c r="V1002" s="488"/>
      <c r="W1002" s="488"/>
      <c r="X1002" s="488"/>
      <c r="Y1002" s="488"/>
      <c r="Z1002" s="488"/>
      <c r="AA1002" s="488"/>
      <c r="AB1002" s="488"/>
      <c r="AC1002" s="488"/>
      <c r="AD1002" s="488"/>
      <c r="AE1002" s="488"/>
      <c r="AF1002" s="488"/>
      <c r="AG1002" s="488"/>
      <c r="AH1002" s="488"/>
      <c r="AI1002" s="488"/>
      <c r="AJ1002" s="488"/>
      <c r="AK1002" s="488"/>
      <c r="AL1002" s="488"/>
      <c r="AM1002" s="488"/>
      <c r="AN1002" s="488"/>
      <c r="AO1002" s="488"/>
      <c r="AP1002" s="488"/>
      <c r="AQ1002" s="488"/>
      <c r="AR1002" s="488"/>
      <c r="AS1002" s="488"/>
      <c r="AT1002" s="488"/>
      <c r="AU1002" s="488"/>
      <c r="AV1002" s="488"/>
      <c r="AW1002" s="488"/>
      <c r="AX1002" s="488"/>
      <c r="AY1002" s="488"/>
      <c r="AZ1002" s="488"/>
      <c r="BA1002" s="488"/>
      <c r="BB1002" s="488"/>
      <c r="BC1002" s="488"/>
      <c r="BD1002" s="488"/>
    </row>
    <row r="1003" spans="3:56">
      <c r="C1003" s="488"/>
      <c r="D1003" s="488"/>
      <c r="E1003" s="488"/>
      <c r="F1003" s="488"/>
      <c r="G1003" s="488"/>
      <c r="H1003" s="488"/>
      <c r="I1003" s="488"/>
      <c r="J1003" s="488"/>
      <c r="K1003" s="488"/>
      <c r="L1003" s="488"/>
      <c r="M1003" s="488"/>
      <c r="N1003" s="488"/>
      <c r="O1003" s="488"/>
      <c r="P1003" s="488"/>
      <c r="Q1003" s="488"/>
      <c r="R1003" s="488"/>
      <c r="S1003" s="488"/>
      <c r="T1003" s="488"/>
      <c r="U1003" s="488"/>
      <c r="V1003" s="488"/>
      <c r="W1003" s="488"/>
      <c r="X1003" s="488"/>
      <c r="Y1003" s="488"/>
      <c r="Z1003" s="488"/>
      <c r="AA1003" s="488"/>
      <c r="AB1003" s="488"/>
      <c r="AC1003" s="488"/>
      <c r="AD1003" s="488"/>
      <c r="AE1003" s="488"/>
      <c r="AF1003" s="488"/>
      <c r="AG1003" s="488"/>
      <c r="AH1003" s="488"/>
      <c r="AI1003" s="488"/>
      <c r="AJ1003" s="488"/>
      <c r="AK1003" s="488"/>
      <c r="AL1003" s="488"/>
      <c r="AM1003" s="488"/>
      <c r="AN1003" s="488"/>
      <c r="AO1003" s="488"/>
      <c r="AP1003" s="488"/>
      <c r="AQ1003" s="488"/>
      <c r="AR1003" s="488"/>
      <c r="AS1003" s="488"/>
      <c r="AT1003" s="488"/>
      <c r="AU1003" s="488"/>
      <c r="AV1003" s="488"/>
      <c r="AW1003" s="488"/>
      <c r="AX1003" s="488"/>
      <c r="AY1003" s="488"/>
      <c r="AZ1003" s="488"/>
      <c r="BA1003" s="488"/>
      <c r="BB1003" s="488"/>
      <c r="BC1003" s="488"/>
      <c r="BD1003" s="488"/>
    </row>
    <row r="1004" spans="3:56">
      <c r="C1004" s="488"/>
      <c r="D1004" s="488"/>
      <c r="E1004" s="488"/>
      <c r="F1004" s="488"/>
      <c r="G1004" s="488"/>
      <c r="H1004" s="488"/>
      <c r="I1004" s="488"/>
      <c r="J1004" s="488"/>
      <c r="K1004" s="488"/>
      <c r="L1004" s="488"/>
      <c r="M1004" s="488"/>
      <c r="N1004" s="488"/>
      <c r="O1004" s="488"/>
      <c r="P1004" s="488"/>
      <c r="Q1004" s="488"/>
      <c r="R1004" s="488"/>
      <c r="S1004" s="488"/>
      <c r="T1004" s="488"/>
      <c r="U1004" s="488"/>
      <c r="V1004" s="488"/>
      <c r="W1004" s="488"/>
      <c r="X1004" s="488"/>
      <c r="Y1004" s="488"/>
      <c r="Z1004" s="488"/>
      <c r="AA1004" s="488"/>
      <c r="AB1004" s="488"/>
      <c r="AC1004" s="488"/>
      <c r="AD1004" s="488"/>
      <c r="AE1004" s="488"/>
      <c r="AF1004" s="488"/>
      <c r="AG1004" s="488"/>
      <c r="AH1004" s="488"/>
      <c r="AI1004" s="488"/>
      <c r="AJ1004" s="488"/>
      <c r="AK1004" s="488"/>
      <c r="AL1004" s="488"/>
      <c r="AM1004" s="488"/>
      <c r="AN1004" s="488"/>
      <c r="AO1004" s="488"/>
      <c r="AP1004" s="488"/>
      <c r="AQ1004" s="488"/>
      <c r="AR1004" s="488"/>
      <c r="AS1004" s="488"/>
      <c r="AT1004" s="488"/>
      <c r="AU1004" s="488"/>
      <c r="AV1004" s="488"/>
      <c r="AW1004" s="488"/>
      <c r="AX1004" s="488"/>
      <c r="AY1004" s="488"/>
      <c r="AZ1004" s="488"/>
      <c r="BA1004" s="488"/>
      <c r="BB1004" s="488"/>
      <c r="BC1004" s="488"/>
      <c r="BD1004" s="488"/>
    </row>
    <row r="1005" spans="3:56">
      <c r="C1005" s="488"/>
      <c r="D1005" s="488"/>
      <c r="E1005" s="488"/>
      <c r="F1005" s="488"/>
      <c r="G1005" s="488"/>
      <c r="H1005" s="488"/>
      <c r="I1005" s="488"/>
      <c r="J1005" s="488"/>
      <c r="K1005" s="488"/>
      <c r="L1005" s="488"/>
      <c r="M1005" s="488"/>
      <c r="N1005" s="488"/>
      <c r="O1005" s="488"/>
      <c r="P1005" s="488"/>
      <c r="Q1005" s="488"/>
      <c r="R1005" s="488"/>
      <c r="S1005" s="488"/>
      <c r="T1005" s="488"/>
      <c r="U1005" s="488"/>
      <c r="V1005" s="488"/>
      <c r="W1005" s="488"/>
      <c r="X1005" s="488"/>
      <c r="Y1005" s="488"/>
      <c r="Z1005" s="488"/>
      <c r="AA1005" s="488"/>
      <c r="AB1005" s="488"/>
      <c r="AC1005" s="488"/>
      <c r="AD1005" s="488"/>
      <c r="AE1005" s="488"/>
      <c r="AF1005" s="488"/>
      <c r="AG1005" s="488"/>
      <c r="AH1005" s="488"/>
      <c r="AI1005" s="488"/>
      <c r="AJ1005" s="488"/>
      <c r="AK1005" s="488"/>
      <c r="AL1005" s="488"/>
      <c r="AM1005" s="488"/>
      <c r="AN1005" s="488"/>
      <c r="AO1005" s="488"/>
      <c r="AP1005" s="488"/>
      <c r="AQ1005" s="488"/>
      <c r="AR1005" s="488"/>
      <c r="AS1005" s="488"/>
      <c r="AT1005" s="488"/>
      <c r="AU1005" s="488"/>
      <c r="AV1005" s="488"/>
      <c r="AW1005" s="488"/>
      <c r="AX1005" s="488"/>
      <c r="AY1005" s="488"/>
      <c r="AZ1005" s="488"/>
      <c r="BA1005" s="488"/>
      <c r="BB1005" s="488"/>
      <c r="BC1005" s="488"/>
      <c r="BD1005" s="488"/>
    </row>
    <row r="1006" spans="3:56">
      <c r="C1006" s="488"/>
      <c r="D1006" s="488"/>
      <c r="E1006" s="488"/>
      <c r="F1006" s="488"/>
      <c r="G1006" s="488"/>
      <c r="H1006" s="488"/>
      <c r="I1006" s="488"/>
      <c r="J1006" s="488"/>
      <c r="K1006" s="488"/>
      <c r="L1006" s="488"/>
      <c r="M1006" s="488"/>
      <c r="N1006" s="488"/>
      <c r="O1006" s="488"/>
      <c r="P1006" s="488"/>
      <c r="Q1006" s="488"/>
      <c r="R1006" s="488"/>
      <c r="S1006" s="488"/>
      <c r="T1006" s="488"/>
      <c r="U1006" s="488"/>
      <c r="V1006" s="488"/>
      <c r="W1006" s="488"/>
      <c r="X1006" s="488"/>
      <c r="Y1006" s="488"/>
      <c r="Z1006" s="488"/>
      <c r="AA1006" s="488"/>
      <c r="AB1006" s="488"/>
      <c r="AC1006" s="488"/>
      <c r="AD1006" s="488"/>
      <c r="AE1006" s="488"/>
      <c r="AF1006" s="488"/>
      <c r="AG1006" s="488"/>
      <c r="AH1006" s="488"/>
      <c r="AI1006" s="488"/>
      <c r="AJ1006" s="488"/>
      <c r="AK1006" s="488"/>
      <c r="AL1006" s="488"/>
      <c r="AM1006" s="488"/>
      <c r="AN1006" s="488"/>
      <c r="AO1006" s="488"/>
      <c r="AP1006" s="488"/>
      <c r="AQ1006" s="488"/>
      <c r="AR1006" s="488"/>
      <c r="AS1006" s="488"/>
      <c r="AT1006" s="488"/>
      <c r="AU1006" s="488"/>
      <c r="AV1006" s="488"/>
      <c r="AW1006" s="488"/>
      <c r="AX1006" s="488"/>
      <c r="AY1006" s="488"/>
      <c r="AZ1006" s="488"/>
      <c r="BA1006" s="488"/>
      <c r="BB1006" s="488"/>
      <c r="BC1006" s="488"/>
      <c r="BD1006" s="488"/>
    </row>
    <row r="1007" spans="3:56">
      <c r="C1007" s="488"/>
      <c r="D1007" s="488"/>
      <c r="E1007" s="488"/>
      <c r="F1007" s="488"/>
      <c r="G1007" s="488"/>
      <c r="H1007" s="488"/>
      <c r="I1007" s="488"/>
      <c r="J1007" s="488"/>
      <c r="K1007" s="488"/>
      <c r="L1007" s="488"/>
      <c r="M1007" s="488"/>
      <c r="N1007" s="488"/>
      <c r="O1007" s="488"/>
      <c r="P1007" s="488"/>
      <c r="Q1007" s="488"/>
      <c r="R1007" s="488"/>
      <c r="S1007" s="488"/>
      <c r="T1007" s="488"/>
      <c r="U1007" s="488"/>
      <c r="V1007" s="488"/>
      <c r="W1007" s="488"/>
      <c r="X1007" s="488"/>
      <c r="Y1007" s="488"/>
      <c r="Z1007" s="488"/>
      <c r="AA1007" s="488"/>
      <c r="AB1007" s="488"/>
      <c r="AC1007" s="488"/>
      <c r="AD1007" s="488"/>
      <c r="AE1007" s="488"/>
      <c r="AF1007" s="488"/>
      <c r="AG1007" s="488"/>
      <c r="AH1007" s="488"/>
      <c r="AI1007" s="488"/>
      <c r="AJ1007" s="488"/>
      <c r="AK1007" s="488"/>
      <c r="AL1007" s="488"/>
      <c r="AM1007" s="488"/>
      <c r="AN1007" s="488"/>
      <c r="AO1007" s="488"/>
      <c r="AP1007" s="488"/>
      <c r="AQ1007" s="488"/>
      <c r="AR1007" s="488"/>
      <c r="AS1007" s="488"/>
      <c r="AT1007" s="488"/>
      <c r="AU1007" s="488"/>
      <c r="AV1007" s="488"/>
      <c r="AW1007" s="488"/>
      <c r="AX1007" s="488"/>
      <c r="AY1007" s="488"/>
      <c r="AZ1007" s="488"/>
      <c r="BA1007" s="488"/>
      <c r="BB1007" s="488"/>
      <c r="BC1007" s="488"/>
      <c r="BD1007" s="488"/>
    </row>
    <row r="1008" spans="3:56">
      <c r="C1008" s="488"/>
      <c r="D1008" s="488"/>
      <c r="E1008" s="488"/>
      <c r="F1008" s="488"/>
      <c r="G1008" s="488"/>
      <c r="H1008" s="488"/>
      <c r="I1008" s="488"/>
      <c r="J1008" s="488"/>
      <c r="K1008" s="488"/>
      <c r="L1008" s="488"/>
      <c r="M1008" s="488"/>
      <c r="N1008" s="488"/>
      <c r="O1008" s="488"/>
      <c r="P1008" s="488"/>
      <c r="Q1008" s="488"/>
      <c r="R1008" s="488"/>
      <c r="S1008" s="488"/>
      <c r="T1008" s="488"/>
      <c r="U1008" s="488"/>
      <c r="V1008" s="488"/>
      <c r="W1008" s="488"/>
      <c r="X1008" s="488"/>
      <c r="Y1008" s="488"/>
      <c r="Z1008" s="488"/>
      <c r="AA1008" s="488"/>
      <c r="AB1008" s="488"/>
      <c r="AC1008" s="488"/>
      <c r="AD1008" s="488"/>
      <c r="AE1008" s="488"/>
      <c r="AF1008" s="488"/>
      <c r="AG1008" s="488"/>
      <c r="AH1008" s="488"/>
      <c r="AI1008" s="488"/>
      <c r="AJ1008" s="488"/>
      <c r="AK1008" s="488"/>
      <c r="AL1008" s="488"/>
      <c r="AM1008" s="488"/>
      <c r="AN1008" s="488"/>
      <c r="AO1008" s="488"/>
      <c r="AP1008" s="488"/>
      <c r="AQ1008" s="488"/>
      <c r="AR1008" s="488"/>
      <c r="AS1008" s="488"/>
      <c r="AT1008" s="488"/>
      <c r="AU1008" s="488"/>
      <c r="AV1008" s="488"/>
      <c r="AW1008" s="488"/>
      <c r="AX1008" s="488"/>
      <c r="AY1008" s="488"/>
      <c r="AZ1008" s="488"/>
      <c r="BA1008" s="488"/>
      <c r="BB1008" s="488"/>
      <c r="BC1008" s="488"/>
      <c r="BD1008" s="488"/>
    </row>
    <row r="1009" spans="3:56">
      <c r="C1009" s="488"/>
      <c r="D1009" s="488"/>
      <c r="E1009" s="488"/>
      <c r="F1009" s="488"/>
      <c r="G1009" s="488"/>
      <c r="H1009" s="488"/>
      <c r="I1009" s="488"/>
      <c r="J1009" s="488"/>
      <c r="K1009" s="488"/>
      <c r="L1009" s="488"/>
      <c r="M1009" s="488"/>
      <c r="N1009" s="488"/>
      <c r="O1009" s="488"/>
      <c r="P1009" s="488"/>
      <c r="Q1009" s="488"/>
      <c r="R1009" s="488"/>
      <c r="S1009" s="488"/>
      <c r="T1009" s="488"/>
      <c r="U1009" s="488"/>
      <c r="V1009" s="488"/>
      <c r="W1009" s="488"/>
      <c r="X1009" s="488"/>
      <c r="Y1009" s="488"/>
      <c r="Z1009" s="488"/>
      <c r="AA1009" s="488"/>
      <c r="AB1009" s="488"/>
      <c r="AC1009" s="488"/>
      <c r="AD1009" s="488"/>
      <c r="AE1009" s="488"/>
      <c r="AF1009" s="488"/>
      <c r="AG1009" s="488"/>
      <c r="AH1009" s="488"/>
      <c r="AI1009" s="488"/>
      <c r="AJ1009" s="488"/>
      <c r="AK1009" s="488"/>
      <c r="AL1009" s="488"/>
      <c r="AM1009" s="488"/>
      <c r="AN1009" s="488"/>
      <c r="AO1009" s="488"/>
      <c r="AP1009" s="488"/>
      <c r="AQ1009" s="488"/>
      <c r="AR1009" s="488"/>
      <c r="AS1009" s="488"/>
      <c r="AT1009" s="488"/>
      <c r="AU1009" s="488"/>
      <c r="AV1009" s="488"/>
      <c r="AW1009" s="488"/>
      <c r="AX1009" s="488"/>
      <c r="AY1009" s="488"/>
      <c r="AZ1009" s="488"/>
      <c r="BA1009" s="488"/>
      <c r="BB1009" s="488"/>
      <c r="BC1009" s="488"/>
      <c r="BD1009" s="488"/>
    </row>
    <row r="1010" spans="3:56">
      <c r="C1010" s="488"/>
      <c r="D1010" s="488"/>
      <c r="E1010" s="488"/>
      <c r="F1010" s="488"/>
      <c r="G1010" s="488"/>
      <c r="H1010" s="488"/>
      <c r="I1010" s="488"/>
      <c r="J1010" s="488"/>
      <c r="K1010" s="488"/>
      <c r="L1010" s="488"/>
      <c r="M1010" s="488"/>
      <c r="N1010" s="488"/>
      <c r="O1010" s="488"/>
      <c r="P1010" s="488"/>
      <c r="Q1010" s="488"/>
      <c r="R1010" s="488"/>
      <c r="S1010" s="488"/>
      <c r="T1010" s="488"/>
      <c r="U1010" s="488"/>
      <c r="V1010" s="488"/>
      <c r="W1010" s="488"/>
      <c r="X1010" s="488"/>
      <c r="Y1010" s="488"/>
      <c r="Z1010" s="488"/>
      <c r="AA1010" s="488"/>
      <c r="AB1010" s="488"/>
      <c r="AC1010" s="488"/>
      <c r="AD1010" s="488"/>
      <c r="AE1010" s="488"/>
      <c r="AF1010" s="488"/>
      <c r="AG1010" s="488"/>
      <c r="AH1010" s="488"/>
      <c r="AI1010" s="488"/>
      <c r="AJ1010" s="488"/>
      <c r="AK1010" s="488"/>
      <c r="AL1010" s="488"/>
      <c r="AM1010" s="488"/>
      <c r="AN1010" s="488"/>
      <c r="AO1010" s="488"/>
      <c r="AP1010" s="488"/>
      <c r="AQ1010" s="488"/>
      <c r="AR1010" s="488"/>
      <c r="AS1010" s="488"/>
      <c r="AT1010" s="488"/>
      <c r="AU1010" s="488"/>
      <c r="AV1010" s="488"/>
      <c r="AW1010" s="488"/>
      <c r="AX1010" s="488"/>
      <c r="AY1010" s="488"/>
      <c r="AZ1010" s="488"/>
      <c r="BA1010" s="488"/>
      <c r="BB1010" s="488"/>
      <c r="BC1010" s="488"/>
      <c r="BD1010" s="488"/>
    </row>
    <row r="1011" spans="3:56">
      <c r="C1011" s="488"/>
      <c r="D1011" s="488"/>
      <c r="E1011" s="488"/>
      <c r="F1011" s="488"/>
      <c r="G1011" s="488"/>
      <c r="H1011" s="488"/>
      <c r="I1011" s="488"/>
      <c r="J1011" s="488"/>
      <c r="K1011" s="488"/>
      <c r="L1011" s="488"/>
      <c r="M1011" s="488"/>
      <c r="N1011" s="488"/>
      <c r="O1011" s="488"/>
      <c r="P1011" s="488"/>
      <c r="Q1011" s="488"/>
      <c r="R1011" s="488"/>
      <c r="S1011" s="488"/>
      <c r="T1011" s="488"/>
      <c r="U1011" s="488"/>
      <c r="V1011" s="488"/>
      <c r="W1011" s="488"/>
      <c r="X1011" s="488"/>
      <c r="Y1011" s="488"/>
      <c r="Z1011" s="488"/>
      <c r="AA1011" s="488"/>
      <c r="AB1011" s="488"/>
      <c r="AC1011" s="488"/>
      <c r="AD1011" s="488"/>
      <c r="AE1011" s="488"/>
      <c r="AF1011" s="488"/>
      <c r="AG1011" s="488"/>
      <c r="AH1011" s="488"/>
      <c r="AI1011" s="488"/>
      <c r="AJ1011" s="488"/>
      <c r="AK1011" s="488"/>
      <c r="AL1011" s="488"/>
      <c r="AM1011" s="488"/>
      <c r="AN1011" s="488"/>
      <c r="AO1011" s="488"/>
      <c r="AP1011" s="488"/>
      <c r="AQ1011" s="488"/>
      <c r="AR1011" s="488"/>
      <c r="AS1011" s="488"/>
      <c r="AT1011" s="488"/>
      <c r="AU1011" s="488"/>
      <c r="AV1011" s="488"/>
      <c r="AW1011" s="488"/>
      <c r="AX1011" s="488"/>
      <c r="AY1011" s="488"/>
      <c r="AZ1011" s="488"/>
      <c r="BA1011" s="488"/>
      <c r="BB1011" s="488"/>
      <c r="BC1011" s="488"/>
      <c r="BD1011" s="488"/>
    </row>
    <row r="1012" spans="3:56">
      <c r="C1012" s="488"/>
      <c r="D1012" s="488"/>
      <c r="E1012" s="488"/>
      <c r="F1012" s="488"/>
      <c r="G1012" s="488"/>
      <c r="H1012" s="488"/>
      <c r="I1012" s="488"/>
      <c r="J1012" s="488"/>
      <c r="K1012" s="488"/>
      <c r="L1012" s="488"/>
      <c r="M1012" s="488"/>
      <c r="N1012" s="488"/>
      <c r="O1012" s="488"/>
      <c r="P1012" s="488"/>
      <c r="Q1012" s="488"/>
      <c r="R1012" s="488"/>
      <c r="S1012" s="488"/>
      <c r="T1012" s="488"/>
      <c r="U1012" s="488"/>
      <c r="V1012" s="488"/>
      <c r="W1012" s="488"/>
      <c r="X1012" s="488"/>
      <c r="Y1012" s="488"/>
      <c r="Z1012" s="488"/>
      <c r="AA1012" s="488"/>
      <c r="AB1012" s="488"/>
      <c r="AC1012" s="488"/>
      <c r="AD1012" s="488"/>
      <c r="AE1012" s="488"/>
      <c r="AF1012" s="488"/>
      <c r="AG1012" s="488"/>
      <c r="AH1012" s="488"/>
      <c r="AI1012" s="488"/>
      <c r="AJ1012" s="488"/>
      <c r="AK1012" s="488"/>
      <c r="AL1012" s="488"/>
      <c r="AM1012" s="488"/>
      <c r="AN1012" s="488"/>
      <c r="AO1012" s="488"/>
      <c r="AP1012" s="488"/>
      <c r="AQ1012" s="488"/>
      <c r="AR1012" s="488"/>
      <c r="AS1012" s="488"/>
      <c r="AT1012" s="488"/>
      <c r="AU1012" s="488"/>
      <c r="AV1012" s="488"/>
      <c r="AW1012" s="488"/>
      <c r="AX1012" s="488"/>
      <c r="AY1012" s="488"/>
      <c r="AZ1012" s="488"/>
      <c r="BA1012" s="488"/>
      <c r="BB1012" s="488"/>
      <c r="BC1012" s="488"/>
      <c r="BD1012" s="488"/>
    </row>
  </sheetData>
  <mergeCells count="6">
    <mergeCell ref="B26:G27"/>
    <mergeCell ref="B28:G29"/>
    <mergeCell ref="A4:G4"/>
    <mergeCell ref="A5:G5"/>
    <mergeCell ref="C7:D7"/>
    <mergeCell ref="F7:G7"/>
  </mergeCells>
  <printOptions horizontalCentered="1"/>
  <pageMargins left="1" right="1" top="1" bottom="1" header="0.5" footer="0.5"/>
  <pageSetup scale="96" fitToHeight="0" orientation="landscape" r:id="rId1"/>
  <headerFooter>
    <oddHeader>&amp;C&amp;"-,Bold"&amp;12Pacific Gas and Electric Company
Formula Rate Model
Schedule 15-LossFactors</oddHeader>
  </headerFooter>
  <rowBreaks count="1" manualBreakCount="1">
    <brk id="29" max="16383" man="1"/>
  </row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37"/>
  <sheetViews>
    <sheetView view="pageBreakPreview" topLeftCell="A4" zoomScale="115" zoomScaleNormal="100" zoomScaleSheetLayoutView="115" workbookViewId="0">
      <selection activeCell="G13" sqref="G13"/>
    </sheetView>
  </sheetViews>
  <sheetFormatPr defaultRowHeight="15"/>
  <cols>
    <col min="1" max="1" width="30.28515625" bestFit="1" customWidth="1"/>
    <col min="2" max="2" width="100.5703125" bestFit="1" customWidth="1"/>
  </cols>
  <sheetData>
    <row r="1" spans="1:2">
      <c r="A1" s="958" t="s">
        <v>108</v>
      </c>
      <c r="B1" s="958"/>
    </row>
    <row r="2" spans="1:2">
      <c r="A2" s="958" t="s">
        <v>944</v>
      </c>
      <c r="B2" s="958"/>
    </row>
    <row r="3" spans="1:2">
      <c r="A3" s="958" t="s">
        <v>1412</v>
      </c>
      <c r="B3" s="958"/>
    </row>
    <row r="4" spans="1:2">
      <c r="A4" s="958" t="s">
        <v>138</v>
      </c>
      <c r="B4" s="958"/>
    </row>
    <row r="6" spans="1:2">
      <c r="A6" s="958" t="s">
        <v>639</v>
      </c>
      <c r="B6" s="958"/>
    </row>
    <row r="8" spans="1:2">
      <c r="A8" s="5" t="s">
        <v>640</v>
      </c>
      <c r="B8" s="5" t="s">
        <v>91</v>
      </c>
    </row>
    <row r="9" spans="1:2">
      <c r="A9" s="163" t="s">
        <v>1217</v>
      </c>
      <c r="B9" t="s">
        <v>1058</v>
      </c>
    </row>
    <row r="10" spans="1:2">
      <c r="A10" s="163" t="s">
        <v>1236</v>
      </c>
      <c r="B10" t="s">
        <v>1036</v>
      </c>
    </row>
    <row r="11" spans="1:2">
      <c r="A11" s="163" t="s">
        <v>1218</v>
      </c>
      <c r="B11" t="s">
        <v>1056</v>
      </c>
    </row>
    <row r="12" spans="1:2">
      <c r="A12" s="163" t="s">
        <v>1219</v>
      </c>
      <c r="B12" t="s">
        <v>1220</v>
      </c>
    </row>
    <row r="13" spans="1:2">
      <c r="A13" s="163" t="s">
        <v>641</v>
      </c>
      <c r="B13" t="s">
        <v>139</v>
      </c>
    </row>
    <row r="14" spans="1:2">
      <c r="A14" s="163" t="s">
        <v>642</v>
      </c>
      <c r="B14" t="s">
        <v>140</v>
      </c>
    </row>
    <row r="15" spans="1:2">
      <c r="A15" s="163" t="s">
        <v>643</v>
      </c>
      <c r="B15" t="s">
        <v>31</v>
      </c>
    </row>
    <row r="16" spans="1:2">
      <c r="A16" s="163" t="s">
        <v>644</v>
      </c>
      <c r="B16" t="s">
        <v>25</v>
      </c>
    </row>
    <row r="17" spans="1:2">
      <c r="A17" s="163" t="s">
        <v>645</v>
      </c>
      <c r="B17" t="s">
        <v>1221</v>
      </c>
    </row>
    <row r="18" spans="1:2">
      <c r="A18" s="163" t="s">
        <v>213</v>
      </c>
      <c r="B18" t="s">
        <v>1456</v>
      </c>
    </row>
    <row r="19" spans="1:2">
      <c r="A19" s="163" t="s">
        <v>1222</v>
      </c>
      <c r="B19" t="s">
        <v>1283</v>
      </c>
    </row>
    <row r="20" spans="1:2">
      <c r="A20" s="163" t="s">
        <v>1223</v>
      </c>
      <c r="B20" t="s">
        <v>891</v>
      </c>
    </row>
    <row r="21" spans="1:2">
      <c r="A21" s="163" t="s">
        <v>646</v>
      </c>
      <c r="B21" t="s">
        <v>1224</v>
      </c>
    </row>
    <row r="22" spans="1:2">
      <c r="A22" s="163" t="s">
        <v>647</v>
      </c>
      <c r="B22" t="s">
        <v>1457</v>
      </c>
    </row>
    <row r="23" spans="1:2">
      <c r="A23" s="163" t="s">
        <v>648</v>
      </c>
      <c r="B23" t="s">
        <v>656</v>
      </c>
    </row>
    <row r="24" spans="1:2">
      <c r="A24" s="163" t="s">
        <v>649</v>
      </c>
      <c r="B24" t="s">
        <v>308</v>
      </c>
    </row>
    <row r="25" spans="1:2">
      <c r="A25" s="163" t="s">
        <v>650</v>
      </c>
      <c r="B25" t="s">
        <v>341</v>
      </c>
    </row>
    <row r="26" spans="1:2">
      <c r="A26" s="163" t="s">
        <v>1225</v>
      </c>
      <c r="B26" t="s">
        <v>1282</v>
      </c>
    </row>
    <row r="27" spans="1:2">
      <c r="A27" s="163" t="s">
        <v>1280</v>
      </c>
      <c r="B27" t="s">
        <v>1281</v>
      </c>
    </row>
    <row r="28" spans="1:2">
      <c r="A28" s="163" t="s">
        <v>877</v>
      </c>
      <c r="B28" t="s">
        <v>436</v>
      </c>
    </row>
    <row r="29" spans="1:2">
      <c r="A29" s="163" t="s">
        <v>878</v>
      </c>
      <c r="B29" t="s">
        <v>843</v>
      </c>
    </row>
    <row r="30" spans="1:2">
      <c r="A30" s="163" t="s">
        <v>651</v>
      </c>
      <c r="B30" t="s">
        <v>453</v>
      </c>
    </row>
    <row r="31" spans="1:2">
      <c r="A31" s="163" t="s">
        <v>652</v>
      </c>
      <c r="B31" t="s">
        <v>519</v>
      </c>
    </row>
    <row r="32" spans="1:2">
      <c r="A32" s="163" t="s">
        <v>653</v>
      </c>
      <c r="B32" t="s">
        <v>53</v>
      </c>
    </row>
    <row r="33" spans="1:2">
      <c r="A33" s="163" t="s">
        <v>1226</v>
      </c>
      <c r="B33" t="s">
        <v>1458</v>
      </c>
    </row>
    <row r="34" spans="1:2">
      <c r="A34" s="163" t="s">
        <v>654</v>
      </c>
      <c r="B34" t="s">
        <v>570</v>
      </c>
    </row>
    <row r="35" spans="1:2">
      <c r="A35" s="163" t="s">
        <v>1227</v>
      </c>
      <c r="B35" t="s">
        <v>1279</v>
      </c>
    </row>
    <row r="36" spans="1:2">
      <c r="A36" s="163" t="s">
        <v>655</v>
      </c>
      <c r="B36" t="s">
        <v>589</v>
      </c>
    </row>
    <row r="37" spans="1:2">
      <c r="A37" s="163" t="s">
        <v>1228</v>
      </c>
      <c r="B37" t="s">
        <v>1278</v>
      </c>
    </row>
  </sheetData>
  <mergeCells count="5">
    <mergeCell ref="A6:B6"/>
    <mergeCell ref="A1:B1"/>
    <mergeCell ref="A2:B2"/>
    <mergeCell ref="A3:B3"/>
    <mergeCell ref="A4:B4"/>
  </mergeCells>
  <printOptions horizontalCentered="1"/>
  <pageMargins left="1" right="1" top="1" bottom="1" header="0.5" footer="0.5"/>
  <pageSetup scale="73" fitToHeight="0" orientation="portrait" r:id="rId1"/>
  <headerFooter>
    <oddFooter>&amp;C&amp;1#&amp;"Calibri"&amp;12&amp;K000000Internal</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97179-1BB0-41B7-9A41-5192C70E42E6}">
  <sheetPr>
    <pageSetUpPr fitToPage="1"/>
  </sheetPr>
  <dimension ref="A1:J109"/>
  <sheetViews>
    <sheetView view="pageBreakPreview" topLeftCell="A66" zoomScale="70" zoomScaleNormal="85" zoomScaleSheetLayoutView="70" workbookViewId="0">
      <selection activeCell="G13" sqref="G13"/>
    </sheetView>
  </sheetViews>
  <sheetFormatPr defaultColWidth="9.140625" defaultRowHeight="15"/>
  <cols>
    <col min="1" max="1" width="6.7109375" style="317" bestFit="1" customWidth="1"/>
    <col min="2" max="2" width="47.140625" style="317" customWidth="1"/>
    <col min="3" max="3" width="7" style="317" bestFit="1" customWidth="1"/>
    <col min="4" max="4" width="22.7109375" style="317" customWidth="1"/>
    <col min="5" max="5" width="21.42578125" style="317" customWidth="1"/>
    <col min="6" max="6" width="57.28515625" style="317" bestFit="1" customWidth="1"/>
    <col min="7" max="7" width="7" style="317" bestFit="1" customWidth="1"/>
    <col min="8" max="9" width="9.140625" style="317"/>
    <col min="10" max="10" width="13.7109375" style="317" bestFit="1" customWidth="1"/>
    <col min="11" max="16384" width="9.140625" style="317"/>
  </cols>
  <sheetData>
    <row r="1" spans="1:7">
      <c r="B1" s="184" t="s">
        <v>1550</v>
      </c>
      <c r="F1" s="8" t="str">
        <f>CONCATENATE("Prior Year: ",'1-DRR'!$K$2)</f>
        <v>Prior Year: 2021</v>
      </c>
    </row>
    <row r="2" spans="1:7">
      <c r="B2" s="106" t="s">
        <v>122</v>
      </c>
      <c r="F2" s="327"/>
    </row>
    <row r="3" spans="1:7">
      <c r="B3" s="168"/>
      <c r="F3" s="327"/>
    </row>
    <row r="4" spans="1:7" ht="15" customHeight="1">
      <c r="B4" s="968" t="s">
        <v>1574</v>
      </c>
      <c r="C4" s="968"/>
      <c r="D4" s="968"/>
      <c r="E4" s="968"/>
      <c r="F4" s="968"/>
    </row>
    <row r="5" spans="1:7" ht="15" customHeight="1">
      <c r="B5" s="968"/>
      <c r="C5" s="968"/>
      <c r="D5" s="968"/>
      <c r="E5" s="968"/>
      <c r="F5" s="968"/>
    </row>
    <row r="6" spans="1:7" ht="15" customHeight="1">
      <c r="B6" s="968"/>
      <c r="C6" s="968"/>
      <c r="D6" s="968"/>
      <c r="E6" s="968"/>
      <c r="F6" s="968"/>
    </row>
    <row r="7" spans="1:7" ht="15" customHeight="1">
      <c r="B7" s="968"/>
      <c r="C7" s="968"/>
      <c r="D7" s="968"/>
      <c r="E7" s="968"/>
      <c r="F7" s="968"/>
    </row>
    <row r="8" spans="1:7" ht="15" customHeight="1">
      <c r="B8" s="968"/>
      <c r="C8" s="968"/>
      <c r="D8" s="968"/>
      <c r="E8" s="968"/>
      <c r="F8" s="968"/>
    </row>
    <row r="9" spans="1:7" ht="15" customHeight="1">
      <c r="B9" s="968"/>
      <c r="C9" s="968"/>
      <c r="D9" s="968"/>
      <c r="E9" s="968"/>
      <c r="F9" s="968"/>
    </row>
    <row r="10" spans="1:7" ht="15" customHeight="1">
      <c r="B10" s="184"/>
      <c r="D10" s="320"/>
      <c r="E10" s="320" t="s">
        <v>63</v>
      </c>
      <c r="F10" s="324" t="s">
        <v>38</v>
      </c>
    </row>
    <row r="11" spans="1:7">
      <c r="A11" s="324" t="s">
        <v>86</v>
      </c>
      <c r="B11" s="136" t="s">
        <v>1551</v>
      </c>
      <c r="C11" s="138"/>
      <c r="D11" s="138"/>
      <c r="E11" s="138"/>
      <c r="F11" s="138"/>
      <c r="G11" s="324" t="str">
        <f>A11</f>
        <v>Line</v>
      </c>
    </row>
    <row r="12" spans="1:7">
      <c r="A12" s="320">
        <v>100</v>
      </c>
      <c r="B12" s="589" t="s">
        <v>1560</v>
      </c>
      <c r="E12" s="873">
        <f>E19+E47</f>
        <v>-124034270.15149625</v>
      </c>
      <c r="F12" s="951" t="s">
        <v>1807</v>
      </c>
      <c r="G12" s="320">
        <f>A12</f>
        <v>100</v>
      </c>
    </row>
    <row r="13" spans="1:7">
      <c r="A13" s="320">
        <f>A12+1</f>
        <v>101</v>
      </c>
      <c r="B13" s="589" t="s">
        <v>1552</v>
      </c>
      <c r="E13" s="873">
        <f>D19+D47</f>
        <v>-123575038.625315</v>
      </c>
      <c r="F13" s="951" t="s">
        <v>1808</v>
      </c>
      <c r="G13" s="320">
        <f>A13</f>
        <v>101</v>
      </c>
    </row>
    <row r="14" spans="1:7">
      <c r="B14" s="184"/>
    </row>
    <row r="15" spans="1:7">
      <c r="B15" s="136" t="s">
        <v>1553</v>
      </c>
      <c r="C15" s="138"/>
      <c r="D15" s="138"/>
      <c r="E15" s="138"/>
      <c r="F15" s="138"/>
    </row>
    <row r="16" spans="1:7">
      <c r="B16" s="184" t="s">
        <v>1667</v>
      </c>
    </row>
    <row r="17" spans="1:10">
      <c r="D17" s="324" t="s">
        <v>62</v>
      </c>
      <c r="E17" s="324" t="s">
        <v>63</v>
      </c>
      <c r="F17" s="318"/>
    </row>
    <row r="18" spans="1:10">
      <c r="D18" s="324" t="s">
        <v>419</v>
      </c>
      <c r="E18" s="324" t="s">
        <v>197</v>
      </c>
      <c r="F18" s="318"/>
    </row>
    <row r="19" spans="1:10">
      <c r="A19" s="320">
        <v>200</v>
      </c>
      <c r="B19" s="184" t="s">
        <v>405</v>
      </c>
      <c r="D19" s="874">
        <f>D40</f>
        <v>-106670888.0435195</v>
      </c>
      <c r="E19" s="873">
        <f>E40</f>
        <v>-109947478</v>
      </c>
      <c r="F19" s="589" t="str">
        <f>CONCATENATE(" Line ",A40)</f>
        <v xml:space="preserve"> Line 219</v>
      </c>
      <c r="G19" s="320">
        <f>A19</f>
        <v>200</v>
      </c>
    </row>
    <row r="20" spans="1:10">
      <c r="A20" s="320"/>
      <c r="B20" s="184"/>
      <c r="D20" s="874"/>
      <c r="E20" s="873"/>
      <c r="F20" s="589"/>
      <c r="G20" s="320"/>
    </row>
    <row r="21" spans="1:10" ht="24" customHeight="1">
      <c r="A21" s="324" t="s">
        <v>86</v>
      </c>
      <c r="B21" s="324" t="s">
        <v>1561</v>
      </c>
      <c r="C21" s="324"/>
      <c r="D21" s="193" t="s">
        <v>1562</v>
      </c>
      <c r="E21" s="324" t="s">
        <v>197</v>
      </c>
      <c r="F21" s="324" t="s">
        <v>38</v>
      </c>
      <c r="G21" s="324" t="str">
        <f t="shared" ref="G21:G40" si="0">A21</f>
        <v>Line</v>
      </c>
    </row>
    <row r="22" spans="1:10" ht="18" customHeight="1">
      <c r="A22" s="320">
        <f>A19+1</f>
        <v>201</v>
      </c>
      <c r="B22" s="317" t="s">
        <v>75</v>
      </c>
      <c r="C22" s="324"/>
      <c r="D22" s="875">
        <v>-337183744.5</v>
      </c>
      <c r="E22" s="324"/>
      <c r="F22" s="324"/>
      <c r="G22" s="320">
        <f t="shared" si="0"/>
        <v>201</v>
      </c>
      <c r="J22" s="364"/>
    </row>
    <row r="23" spans="1:10" ht="18" customHeight="1">
      <c r="A23" s="320">
        <f>A22+1</f>
        <v>202</v>
      </c>
      <c r="B23" s="317" t="s">
        <v>76</v>
      </c>
      <c r="C23" s="324"/>
      <c r="D23" s="875">
        <v>-378373007.83999997</v>
      </c>
      <c r="E23" s="324"/>
      <c r="F23" s="324"/>
      <c r="G23" s="320">
        <f t="shared" si="0"/>
        <v>202</v>
      </c>
      <c r="J23" s="364"/>
    </row>
    <row r="24" spans="1:10" ht="18" customHeight="1">
      <c r="A24" s="320">
        <f t="shared" ref="A24:A40" si="1">A23+1</f>
        <v>203</v>
      </c>
      <c r="B24" s="317" t="s">
        <v>77</v>
      </c>
      <c r="C24" s="324"/>
      <c r="D24" s="875">
        <v>-368992607.38</v>
      </c>
      <c r="E24" s="324"/>
      <c r="F24" s="324"/>
      <c r="G24" s="320">
        <f t="shared" si="0"/>
        <v>203</v>
      </c>
      <c r="J24" s="364"/>
    </row>
    <row r="25" spans="1:10" ht="18" customHeight="1">
      <c r="A25" s="320">
        <f t="shared" si="1"/>
        <v>204</v>
      </c>
      <c r="B25" s="317" t="s">
        <v>78</v>
      </c>
      <c r="C25" s="324"/>
      <c r="D25" s="875">
        <v>-382342760.67000002</v>
      </c>
      <c r="E25" s="324"/>
      <c r="F25" s="324"/>
      <c r="G25" s="320">
        <f t="shared" si="0"/>
        <v>204</v>
      </c>
      <c r="J25" s="364"/>
    </row>
    <row r="26" spans="1:10" ht="18" customHeight="1">
      <c r="A26" s="320">
        <f t="shared" si="1"/>
        <v>205</v>
      </c>
      <c r="B26" s="317" t="s">
        <v>79</v>
      </c>
      <c r="C26" s="324"/>
      <c r="D26" s="875">
        <v>-383291814.51999998</v>
      </c>
      <c r="E26" s="324"/>
      <c r="F26" s="324"/>
      <c r="G26" s="320">
        <f t="shared" si="0"/>
        <v>205</v>
      </c>
      <c r="J26" s="364"/>
    </row>
    <row r="27" spans="1:10" ht="18" customHeight="1">
      <c r="A27" s="320">
        <f t="shared" si="1"/>
        <v>206</v>
      </c>
      <c r="B27" s="317" t="s">
        <v>61</v>
      </c>
      <c r="C27" s="324"/>
      <c r="D27" s="875">
        <v>-387523992.58999997</v>
      </c>
      <c r="E27" s="324"/>
      <c r="F27" s="324"/>
      <c r="G27" s="320">
        <f t="shared" si="0"/>
        <v>206</v>
      </c>
      <c r="J27" s="364"/>
    </row>
    <row r="28" spans="1:10" ht="18" customHeight="1">
      <c r="A28" s="320">
        <f t="shared" si="1"/>
        <v>207</v>
      </c>
      <c r="B28" s="317" t="s">
        <v>146</v>
      </c>
      <c r="C28" s="324"/>
      <c r="D28" s="875">
        <v>-384578075.75</v>
      </c>
      <c r="E28" s="324"/>
      <c r="F28" s="324"/>
      <c r="G28" s="320">
        <f t="shared" si="0"/>
        <v>207</v>
      </c>
      <c r="J28" s="364"/>
    </row>
    <row r="29" spans="1:10" ht="18" customHeight="1">
      <c r="A29" s="320">
        <f t="shared" si="1"/>
        <v>208</v>
      </c>
      <c r="B29" s="317" t="s">
        <v>81</v>
      </c>
      <c r="C29" s="324"/>
      <c r="D29" s="875">
        <v>-378121086.11000001</v>
      </c>
      <c r="E29" s="324"/>
      <c r="F29" s="324"/>
      <c r="G29" s="320">
        <f t="shared" si="0"/>
        <v>208</v>
      </c>
      <c r="J29" s="364"/>
    </row>
    <row r="30" spans="1:10" ht="18" customHeight="1">
      <c r="A30" s="320">
        <f t="shared" si="1"/>
        <v>209</v>
      </c>
      <c r="B30" s="317" t="s">
        <v>82</v>
      </c>
      <c r="C30" s="324"/>
      <c r="D30" s="875">
        <v>-372201538.99000001</v>
      </c>
      <c r="E30" s="324"/>
      <c r="F30" s="324"/>
      <c r="G30" s="320">
        <f t="shared" si="0"/>
        <v>209</v>
      </c>
      <c r="J30" s="364"/>
    </row>
    <row r="31" spans="1:10" ht="18" customHeight="1">
      <c r="A31" s="320">
        <f t="shared" si="1"/>
        <v>210</v>
      </c>
      <c r="B31" s="317" t="s">
        <v>83</v>
      </c>
      <c r="C31" s="324"/>
      <c r="D31" s="875">
        <v>-369904606.11000001</v>
      </c>
      <c r="E31" s="324"/>
      <c r="F31" s="324"/>
      <c r="G31" s="320">
        <f t="shared" si="0"/>
        <v>210</v>
      </c>
      <c r="J31" s="364"/>
    </row>
    <row r="32" spans="1:10" ht="18" customHeight="1">
      <c r="A32" s="320">
        <f t="shared" si="1"/>
        <v>211</v>
      </c>
      <c r="B32" s="317" t="s">
        <v>84</v>
      </c>
      <c r="C32" s="324"/>
      <c r="D32" s="875">
        <v>-366690046.22000003</v>
      </c>
      <c r="E32" s="324"/>
      <c r="F32" s="324"/>
      <c r="G32" s="320">
        <f t="shared" si="0"/>
        <v>211</v>
      </c>
      <c r="J32" s="364"/>
    </row>
    <row r="33" spans="1:10" ht="18" customHeight="1">
      <c r="A33" s="320">
        <f t="shared" si="1"/>
        <v>212</v>
      </c>
      <c r="B33" s="317" t="s">
        <v>85</v>
      </c>
      <c r="C33" s="324"/>
      <c r="D33" s="875">
        <v>-366397701.58999997</v>
      </c>
      <c r="E33" s="324"/>
      <c r="F33" s="324"/>
      <c r="G33" s="320">
        <f t="shared" si="0"/>
        <v>212</v>
      </c>
      <c r="J33" s="364"/>
    </row>
    <row r="34" spans="1:10" ht="18" customHeight="1">
      <c r="A34" s="320">
        <f t="shared" si="1"/>
        <v>213</v>
      </c>
      <c r="B34" s="317" t="s">
        <v>75</v>
      </c>
      <c r="C34" s="324"/>
      <c r="D34" s="875">
        <v>-361396927.81</v>
      </c>
      <c r="E34" s="324"/>
      <c r="F34" s="324"/>
      <c r="G34" s="320">
        <f t="shared" si="0"/>
        <v>213</v>
      </c>
      <c r="J34" s="364"/>
    </row>
    <row r="35" spans="1:10" ht="18" customHeight="1">
      <c r="A35" s="320">
        <f t="shared" si="1"/>
        <v>214</v>
      </c>
      <c r="B35" s="317" t="s">
        <v>1569</v>
      </c>
      <c r="E35" s="375">
        <f>AVERAGE(D22:D34)</f>
        <v>-372076762.31384623</v>
      </c>
      <c r="F35" s="589" t="s">
        <v>87</v>
      </c>
      <c r="G35" s="320">
        <f t="shared" si="0"/>
        <v>214</v>
      </c>
      <c r="J35" s="364"/>
    </row>
    <row r="36" spans="1:10" ht="18" customHeight="1">
      <c r="A36" s="320">
        <f t="shared" si="1"/>
        <v>215</v>
      </c>
      <c r="B36" s="317" t="s">
        <v>1645</v>
      </c>
      <c r="D36" s="876">
        <f>45700000*0.3</f>
        <v>13710000</v>
      </c>
      <c r="E36" s="876">
        <f>45700000*0.3</f>
        <v>13710000</v>
      </c>
      <c r="F36" s="589" t="s">
        <v>88</v>
      </c>
      <c r="G36" s="320">
        <f t="shared" si="0"/>
        <v>215</v>
      </c>
    </row>
    <row r="37" spans="1:10" ht="18" customHeight="1">
      <c r="A37" s="320">
        <f t="shared" si="1"/>
        <v>216</v>
      </c>
      <c r="B37" s="317" t="s">
        <v>1647</v>
      </c>
      <c r="D37" s="364"/>
      <c r="E37" s="375">
        <f>+E36+E35</f>
        <v>-358366762.31384623</v>
      </c>
      <c r="F37" s="589" t="str">
        <f>"Line "&amp;A35&amp;" + Line "&amp;A36&amp;""</f>
        <v>Line 214 + Line 215</v>
      </c>
      <c r="G37" s="320">
        <f t="shared" si="0"/>
        <v>216</v>
      </c>
    </row>
    <row r="38" spans="1:10" ht="18" customHeight="1">
      <c r="A38" s="320">
        <f t="shared" si="1"/>
        <v>217</v>
      </c>
      <c r="B38" s="317" t="s">
        <v>1648</v>
      </c>
      <c r="D38" s="364">
        <f>D36+D34</f>
        <v>-347686927.81</v>
      </c>
      <c r="E38" s="375"/>
      <c r="F38" s="589" t="str">
        <f>"Line "&amp;A34&amp;" + Line "&amp;A36&amp;""</f>
        <v>Line 213 + Line 215</v>
      </c>
      <c r="G38" s="320"/>
    </row>
    <row r="39" spans="1:10" ht="18" customHeight="1">
      <c r="A39" s="320">
        <f t="shared" si="1"/>
        <v>218</v>
      </c>
      <c r="B39" s="317" t="s">
        <v>406</v>
      </c>
      <c r="D39" s="838">
        <f>E39</f>
        <v>0.30680154907006396</v>
      </c>
      <c r="E39" s="838">
        <f>'24-Allocators'!C24</f>
        <v>0.30680154907006396</v>
      </c>
      <c r="F39" s="589" t="s">
        <v>1563</v>
      </c>
      <c r="G39" s="320">
        <f t="shared" si="0"/>
        <v>218</v>
      </c>
    </row>
    <row r="40" spans="1:10" ht="18" customHeight="1">
      <c r="A40" s="320">
        <f t="shared" si="1"/>
        <v>219</v>
      </c>
      <c r="B40" s="184" t="s">
        <v>405</v>
      </c>
      <c r="C40" s="335" t="s">
        <v>1564</v>
      </c>
      <c r="D40" s="842">
        <f>D38*D39</f>
        <v>-106670888.0435195</v>
      </c>
      <c r="E40" s="873">
        <f>ROUND(E37*E39,0)</f>
        <v>-109947478</v>
      </c>
      <c r="F40" s="589" t="str">
        <f>"Line "&amp;A37&amp;" * Line "&amp;A39&amp;""</f>
        <v>Line 216 * Line 218</v>
      </c>
      <c r="G40" s="320">
        <f t="shared" si="0"/>
        <v>219</v>
      </c>
    </row>
    <row r="41" spans="1:10" ht="18" customHeight="1">
      <c r="A41" s="320"/>
      <c r="D41" s="376"/>
      <c r="E41" s="376"/>
      <c r="F41" s="589"/>
      <c r="G41" s="320"/>
    </row>
    <row r="42" spans="1:10" ht="18" customHeight="1">
      <c r="A42" s="320"/>
      <c r="D42" s="327"/>
      <c r="E42" s="381"/>
      <c r="F42" s="318"/>
      <c r="G42" s="320"/>
    </row>
    <row r="43" spans="1:10" ht="18" customHeight="1">
      <c r="B43" s="136" t="s">
        <v>1565</v>
      </c>
      <c r="C43" s="138"/>
      <c r="D43" s="138"/>
      <c r="E43" s="138"/>
      <c r="F43" s="137"/>
    </row>
    <row r="44" spans="1:10">
      <c r="B44" s="184" t="s">
        <v>1667</v>
      </c>
    </row>
    <row r="45" spans="1:10" ht="18" customHeight="1">
      <c r="B45" s="184"/>
      <c r="D45" s="320" t="s">
        <v>62</v>
      </c>
      <c r="E45" s="320" t="s">
        <v>63</v>
      </c>
      <c r="F45" s="318"/>
    </row>
    <row r="46" spans="1:10" ht="18" customHeight="1">
      <c r="B46" s="184"/>
      <c r="D46" s="324" t="s">
        <v>419</v>
      </c>
      <c r="E46" s="324" t="s">
        <v>197</v>
      </c>
      <c r="F46" s="318"/>
    </row>
    <row r="47" spans="1:10" ht="18" customHeight="1">
      <c r="A47" s="320">
        <v>300</v>
      </c>
      <c r="B47" s="184" t="s">
        <v>1568</v>
      </c>
      <c r="D47" s="874">
        <f>D65</f>
        <v>-16904150.581795499</v>
      </c>
      <c r="E47" s="873">
        <f>E65</f>
        <v>-14086792.15149625</v>
      </c>
      <c r="F47" s="589" t="str">
        <f>CONCATENATE("Line ",A65)</f>
        <v>Line 316</v>
      </c>
      <c r="G47" s="320">
        <f t="shared" ref="G47" si="2">A47</f>
        <v>300</v>
      </c>
    </row>
    <row r="48" spans="1:10" ht="18" customHeight="1">
      <c r="B48" s="184"/>
      <c r="D48" s="320"/>
      <c r="E48" s="320"/>
      <c r="F48" s="318"/>
    </row>
    <row r="49" spans="1:7" ht="18" customHeight="1">
      <c r="A49" s="324" t="s">
        <v>86</v>
      </c>
      <c r="B49" s="324" t="s">
        <v>1561</v>
      </c>
      <c r="C49" s="324"/>
      <c r="D49" s="193" t="s">
        <v>1562</v>
      </c>
      <c r="E49" s="324" t="s">
        <v>197</v>
      </c>
      <c r="F49" s="324" t="s">
        <v>38</v>
      </c>
      <c r="G49" s="324" t="str">
        <f t="shared" ref="G49:G65" si="3">A49</f>
        <v>Line</v>
      </c>
    </row>
    <row r="50" spans="1:7" ht="18" customHeight="1">
      <c r="A50" s="320">
        <f>A47+1</f>
        <v>301</v>
      </c>
      <c r="B50" s="317" t="s">
        <v>75</v>
      </c>
      <c r="C50" s="324"/>
      <c r="D50" s="875">
        <f>-13916317.265*2</f>
        <v>-27832634.530000001</v>
      </c>
      <c r="E50" s="324"/>
      <c r="F50" s="324"/>
      <c r="G50" s="320">
        <f t="shared" si="3"/>
        <v>301</v>
      </c>
    </row>
    <row r="51" spans="1:7" ht="18" customHeight="1">
      <c r="A51" s="320">
        <f>A50+1</f>
        <v>302</v>
      </c>
      <c r="B51" s="317" t="s">
        <v>76</v>
      </c>
      <c r="C51" s="324"/>
      <c r="D51" s="875">
        <f>-13916317.265*(2+((A51-A$50)/12))</f>
        <v>-28992327.635416672</v>
      </c>
      <c r="E51" s="324"/>
      <c r="F51" s="942"/>
      <c r="G51" s="320">
        <f t="shared" si="3"/>
        <v>302</v>
      </c>
    </row>
    <row r="52" spans="1:7" ht="18" customHeight="1">
      <c r="A52" s="320">
        <f t="shared" ref="A52:A65" si="4">A51+1</f>
        <v>303</v>
      </c>
      <c r="B52" s="317" t="s">
        <v>77</v>
      </c>
      <c r="C52" s="324"/>
      <c r="D52" s="875">
        <f t="shared" ref="D52:D61" si="5">-13916317.265*(2+((A52-A$50)/12))</f>
        <v>-30152020.740833331</v>
      </c>
      <c r="E52" s="324"/>
      <c r="F52" s="942"/>
      <c r="G52" s="320">
        <f t="shared" si="3"/>
        <v>303</v>
      </c>
    </row>
    <row r="53" spans="1:7" ht="18" customHeight="1">
      <c r="A53" s="320">
        <f t="shared" si="4"/>
        <v>304</v>
      </c>
      <c r="B53" s="317" t="s">
        <v>78</v>
      </c>
      <c r="C53" s="324"/>
      <c r="D53" s="875">
        <f t="shared" si="5"/>
        <v>-31311713.846250001</v>
      </c>
      <c r="E53" s="324"/>
      <c r="F53" s="942"/>
      <c r="G53" s="320">
        <f t="shared" si="3"/>
        <v>304</v>
      </c>
    </row>
    <row r="54" spans="1:7" ht="18" customHeight="1">
      <c r="A54" s="320">
        <f t="shared" si="4"/>
        <v>305</v>
      </c>
      <c r="B54" s="317" t="s">
        <v>79</v>
      </c>
      <c r="C54" s="324"/>
      <c r="D54" s="875">
        <f t="shared" si="5"/>
        <v>-32471406.951666672</v>
      </c>
      <c r="E54" s="324"/>
      <c r="F54" s="942"/>
      <c r="G54" s="320">
        <f t="shared" si="3"/>
        <v>305</v>
      </c>
    </row>
    <row r="55" spans="1:7" ht="18" customHeight="1">
      <c r="A55" s="320">
        <f t="shared" si="4"/>
        <v>306</v>
      </c>
      <c r="B55" s="317" t="s">
        <v>61</v>
      </c>
      <c r="C55" s="324"/>
      <c r="D55" s="875">
        <f t="shared" si="5"/>
        <v>-33631100.057083331</v>
      </c>
      <c r="E55" s="324"/>
      <c r="F55" s="942"/>
      <c r="G55" s="320">
        <f t="shared" si="3"/>
        <v>306</v>
      </c>
    </row>
    <row r="56" spans="1:7" ht="18" customHeight="1">
      <c r="A56" s="320">
        <f t="shared" si="4"/>
        <v>307</v>
      </c>
      <c r="B56" s="317" t="s">
        <v>146</v>
      </c>
      <c r="C56" s="324"/>
      <c r="D56" s="875">
        <f t="shared" si="5"/>
        <v>-34790793.162500001</v>
      </c>
      <c r="E56" s="324"/>
      <c r="F56" s="942"/>
      <c r="G56" s="320">
        <f t="shared" si="3"/>
        <v>307</v>
      </c>
    </row>
    <row r="57" spans="1:7" ht="18" customHeight="1">
      <c r="A57" s="320">
        <f t="shared" si="4"/>
        <v>308</v>
      </c>
      <c r="B57" s="317" t="s">
        <v>81</v>
      </c>
      <c r="C57" s="324"/>
      <c r="D57" s="875">
        <f t="shared" si="5"/>
        <v>-35950486.267916672</v>
      </c>
      <c r="E57" s="324"/>
      <c r="F57" s="942"/>
      <c r="G57" s="320">
        <f t="shared" si="3"/>
        <v>308</v>
      </c>
    </row>
    <row r="58" spans="1:7" ht="18" customHeight="1">
      <c r="A58" s="320">
        <f t="shared" si="4"/>
        <v>309</v>
      </c>
      <c r="B58" s="317" t="s">
        <v>82</v>
      </c>
      <c r="C58" s="324"/>
      <c r="D58" s="875">
        <f t="shared" si="5"/>
        <v>-37110179.373333335</v>
      </c>
      <c r="E58" s="324"/>
      <c r="F58" s="942"/>
      <c r="G58" s="320">
        <f t="shared" si="3"/>
        <v>309</v>
      </c>
    </row>
    <row r="59" spans="1:7" ht="18" customHeight="1">
      <c r="A59" s="320">
        <f t="shared" si="4"/>
        <v>310</v>
      </c>
      <c r="B59" s="317" t="s">
        <v>83</v>
      </c>
      <c r="C59" s="324"/>
      <c r="D59" s="875">
        <f t="shared" si="5"/>
        <v>-38269872.478750005</v>
      </c>
      <c r="E59" s="324"/>
      <c r="F59" s="942"/>
      <c r="G59" s="320">
        <f t="shared" si="3"/>
        <v>310</v>
      </c>
    </row>
    <row r="60" spans="1:7" ht="18" customHeight="1">
      <c r="A60" s="320">
        <f t="shared" si="4"/>
        <v>311</v>
      </c>
      <c r="B60" s="317" t="s">
        <v>84</v>
      </c>
      <c r="C60" s="324"/>
      <c r="D60" s="875">
        <f t="shared" si="5"/>
        <v>-39429565.584166668</v>
      </c>
      <c r="E60" s="324"/>
      <c r="F60" s="942"/>
      <c r="G60" s="320">
        <f t="shared" si="3"/>
        <v>311</v>
      </c>
    </row>
    <row r="61" spans="1:7" ht="18" customHeight="1">
      <c r="A61" s="320">
        <f t="shared" si="4"/>
        <v>312</v>
      </c>
      <c r="B61" s="317" t="s">
        <v>85</v>
      </c>
      <c r="C61" s="324"/>
      <c r="D61" s="875">
        <f t="shared" si="5"/>
        <v>-40589258.689583331</v>
      </c>
      <c r="E61" s="324"/>
      <c r="F61" s="942"/>
      <c r="G61" s="320">
        <f t="shared" si="3"/>
        <v>312</v>
      </c>
    </row>
    <row r="62" spans="1:7" ht="18" customHeight="1">
      <c r="A62" s="320">
        <f t="shared" si="4"/>
        <v>313</v>
      </c>
      <c r="B62" s="317" t="s">
        <v>75</v>
      </c>
      <c r="C62" s="324"/>
      <c r="D62" s="875">
        <f>-13916317.265*3</f>
        <v>-41748951.795000002</v>
      </c>
      <c r="E62" s="324"/>
      <c r="F62" s="942"/>
      <c r="G62" s="320">
        <f t="shared" si="3"/>
        <v>313</v>
      </c>
    </row>
    <row r="63" spans="1:7" ht="18" customHeight="1">
      <c r="A63" s="320">
        <f t="shared" si="4"/>
        <v>314</v>
      </c>
      <c r="B63" s="317" t="s">
        <v>1570</v>
      </c>
      <c r="E63" s="375">
        <f>AVERAGE(D50:D62)</f>
        <v>-34790793.162500001</v>
      </c>
      <c r="F63" s="877" t="s">
        <v>112</v>
      </c>
      <c r="G63" s="320">
        <f t="shared" si="3"/>
        <v>314</v>
      </c>
    </row>
    <row r="64" spans="1:7" ht="18" customHeight="1">
      <c r="A64" s="320">
        <f t="shared" si="4"/>
        <v>315</v>
      </c>
      <c r="B64" s="317" t="s">
        <v>1566</v>
      </c>
      <c r="D64" s="838">
        <f>E64</f>
        <v>0.40489999999999998</v>
      </c>
      <c r="E64" s="878">
        <v>0.40489999999999998</v>
      </c>
      <c r="F64" s="589" t="s">
        <v>1567</v>
      </c>
      <c r="G64" s="320">
        <f t="shared" si="3"/>
        <v>315</v>
      </c>
    </row>
    <row r="65" spans="1:7" ht="18" customHeight="1">
      <c r="A65" s="320">
        <f t="shared" si="4"/>
        <v>316</v>
      </c>
      <c r="B65" s="184" t="s">
        <v>1568</v>
      </c>
      <c r="C65" s="335" t="s">
        <v>1564</v>
      </c>
      <c r="D65" s="842">
        <f>D62*D64</f>
        <v>-16904150.581795499</v>
      </c>
      <c r="E65" s="879">
        <f>+E64*E63</f>
        <v>-14086792.15149625</v>
      </c>
      <c r="F65" s="589" t="str">
        <f>"Line "&amp;A63&amp;" * Line "&amp;A64&amp;" (see Note 3)"</f>
        <v>Line 314 * Line 315 (see Note 3)</v>
      </c>
      <c r="G65" s="320">
        <f t="shared" si="3"/>
        <v>316</v>
      </c>
    </row>
    <row r="66" spans="1:7" ht="18" customHeight="1">
      <c r="A66" s="320"/>
      <c r="E66" s="184"/>
      <c r="F66" s="589"/>
    </row>
    <row r="67" spans="1:7" ht="18" customHeight="1">
      <c r="B67" s="136" t="s">
        <v>1571</v>
      </c>
      <c r="C67" s="138"/>
      <c r="D67" s="138"/>
      <c r="E67" s="138"/>
      <c r="F67" s="137"/>
    </row>
    <row r="68" spans="1:7" ht="18" customHeight="1">
      <c r="B68" s="168" t="s">
        <v>1575</v>
      </c>
      <c r="F68" s="318"/>
    </row>
    <row r="69" spans="1:7" ht="18" customHeight="1">
      <c r="F69" s="318"/>
    </row>
    <row r="70" spans="1:7" ht="18" customHeight="1">
      <c r="B70" s="184"/>
      <c r="D70" s="320" t="s">
        <v>62</v>
      </c>
      <c r="E70" s="320" t="s">
        <v>63</v>
      </c>
      <c r="F70" s="318"/>
    </row>
    <row r="71" spans="1:7" ht="18" customHeight="1">
      <c r="B71" s="184"/>
      <c r="C71" s="319"/>
      <c r="D71" s="324" t="s">
        <v>419</v>
      </c>
      <c r="E71" s="324" t="s">
        <v>197</v>
      </c>
      <c r="F71" s="318"/>
    </row>
    <row r="72" spans="1:7" ht="18" customHeight="1">
      <c r="A72" s="320">
        <v>400</v>
      </c>
      <c r="B72" s="880" t="s">
        <v>1577</v>
      </c>
      <c r="C72" s="319"/>
      <c r="D72" s="874">
        <f>D92</f>
        <v>0</v>
      </c>
      <c r="E72" s="873">
        <f>E92</f>
        <v>0</v>
      </c>
      <c r="F72" s="589" t="str">
        <f>CONCATENATE("Line ",A92)</f>
        <v>Line 417</v>
      </c>
      <c r="G72" s="320">
        <f t="shared" ref="G72" si="6">A72</f>
        <v>400</v>
      </c>
    </row>
    <row r="73" spans="1:7" ht="18" customHeight="1">
      <c r="B73" s="184"/>
      <c r="C73" s="319"/>
      <c r="D73" s="320"/>
      <c r="E73" s="320"/>
      <c r="F73" s="318"/>
    </row>
    <row r="74" spans="1:7" ht="18" customHeight="1">
      <c r="A74" s="324" t="s">
        <v>86</v>
      </c>
      <c r="B74" s="324" t="s">
        <v>1561</v>
      </c>
      <c r="C74" s="145"/>
      <c r="D74" s="193" t="s">
        <v>1562</v>
      </c>
      <c r="E74" s="324" t="s">
        <v>197</v>
      </c>
      <c r="F74" s="324" t="s">
        <v>38</v>
      </c>
      <c r="G74" s="324" t="str">
        <f t="shared" ref="G74:G92" si="7">A74</f>
        <v>Line</v>
      </c>
    </row>
    <row r="75" spans="1:7" ht="18" customHeight="1">
      <c r="A75" s="881">
        <f>A72+1</f>
        <v>401</v>
      </c>
      <c r="B75" s="882" t="s">
        <v>75</v>
      </c>
      <c r="C75" s="145"/>
      <c r="D75" s="875"/>
      <c r="E75" s="883"/>
      <c r="F75" s="883"/>
      <c r="G75" s="320">
        <f t="shared" si="7"/>
        <v>401</v>
      </c>
    </row>
    <row r="76" spans="1:7" ht="18" customHeight="1">
      <c r="A76" s="881">
        <f>A75+1</f>
        <v>402</v>
      </c>
      <c r="B76" s="882" t="s">
        <v>76</v>
      </c>
      <c r="C76" s="145"/>
      <c r="D76" s="875"/>
      <c r="E76" s="883"/>
      <c r="F76" s="883"/>
      <c r="G76" s="320">
        <f t="shared" si="7"/>
        <v>402</v>
      </c>
    </row>
    <row r="77" spans="1:7" ht="18" customHeight="1">
      <c r="A77" s="881">
        <f t="shared" ref="A77:A90" si="8">A76+1</f>
        <v>403</v>
      </c>
      <c r="B77" s="882" t="s">
        <v>77</v>
      </c>
      <c r="C77" s="145"/>
      <c r="D77" s="875"/>
      <c r="E77" s="883"/>
      <c r="F77" s="883"/>
      <c r="G77" s="320">
        <f t="shared" si="7"/>
        <v>403</v>
      </c>
    </row>
    <row r="78" spans="1:7" ht="18" customHeight="1">
      <c r="A78" s="881">
        <f t="shared" si="8"/>
        <v>404</v>
      </c>
      <c r="B78" s="882" t="s">
        <v>78</v>
      </c>
      <c r="C78" s="145"/>
      <c r="D78" s="875"/>
      <c r="E78" s="883"/>
      <c r="F78" s="883"/>
      <c r="G78" s="320">
        <f t="shared" si="7"/>
        <v>404</v>
      </c>
    </row>
    <row r="79" spans="1:7" ht="18" customHeight="1">
      <c r="A79" s="881">
        <f t="shared" si="8"/>
        <v>405</v>
      </c>
      <c r="B79" s="882" t="s">
        <v>79</v>
      </c>
      <c r="C79" s="145"/>
      <c r="D79" s="875"/>
      <c r="E79" s="883"/>
      <c r="F79" s="883"/>
      <c r="G79" s="320">
        <f t="shared" si="7"/>
        <v>405</v>
      </c>
    </row>
    <row r="80" spans="1:7" ht="18" customHeight="1">
      <c r="A80" s="881">
        <f t="shared" si="8"/>
        <v>406</v>
      </c>
      <c r="B80" s="882" t="s">
        <v>61</v>
      </c>
      <c r="C80" s="145"/>
      <c r="D80" s="875"/>
      <c r="E80" s="883"/>
      <c r="F80" s="883"/>
      <c r="G80" s="320">
        <f t="shared" si="7"/>
        <v>406</v>
      </c>
    </row>
    <row r="81" spans="1:7" ht="18" customHeight="1">
      <c r="A81" s="881">
        <f t="shared" si="8"/>
        <v>407</v>
      </c>
      <c r="B81" s="882" t="s">
        <v>146</v>
      </c>
      <c r="C81" s="145"/>
      <c r="D81" s="875"/>
      <c r="E81" s="883"/>
      <c r="F81" s="883"/>
      <c r="G81" s="320">
        <f t="shared" si="7"/>
        <v>407</v>
      </c>
    </row>
    <row r="82" spans="1:7" ht="18" customHeight="1">
      <c r="A82" s="881">
        <f t="shared" si="8"/>
        <v>408</v>
      </c>
      <c r="B82" s="882" t="s">
        <v>81</v>
      </c>
      <c r="C82" s="145"/>
      <c r="D82" s="875"/>
      <c r="E82" s="883"/>
      <c r="F82" s="883"/>
      <c r="G82" s="320">
        <f t="shared" si="7"/>
        <v>408</v>
      </c>
    </row>
    <row r="83" spans="1:7" ht="18" customHeight="1">
      <c r="A83" s="881">
        <f t="shared" si="8"/>
        <v>409</v>
      </c>
      <c r="B83" s="882" t="s">
        <v>82</v>
      </c>
      <c r="C83" s="145"/>
      <c r="D83" s="875"/>
      <c r="E83" s="883"/>
      <c r="F83" s="883"/>
      <c r="G83" s="320">
        <f t="shared" si="7"/>
        <v>409</v>
      </c>
    </row>
    <row r="84" spans="1:7" ht="18" customHeight="1">
      <c r="A84" s="881">
        <f t="shared" si="8"/>
        <v>410</v>
      </c>
      <c r="B84" s="882" t="s">
        <v>83</v>
      </c>
      <c r="C84" s="145"/>
      <c r="D84" s="875"/>
      <c r="E84" s="883"/>
      <c r="F84" s="883"/>
      <c r="G84" s="320">
        <f t="shared" si="7"/>
        <v>410</v>
      </c>
    </row>
    <row r="85" spans="1:7" ht="18" customHeight="1">
      <c r="A85" s="881">
        <f t="shared" si="8"/>
        <v>411</v>
      </c>
      <c r="B85" s="882" t="s">
        <v>84</v>
      </c>
      <c r="C85" s="145"/>
      <c r="D85" s="875"/>
      <c r="E85" s="883"/>
      <c r="F85" s="883"/>
      <c r="G85" s="320">
        <f t="shared" si="7"/>
        <v>411</v>
      </c>
    </row>
    <row r="86" spans="1:7" ht="18" customHeight="1">
      <c r="A86" s="881">
        <f t="shared" si="8"/>
        <v>412</v>
      </c>
      <c r="B86" s="882" t="s">
        <v>85</v>
      </c>
      <c r="C86" s="145"/>
      <c r="D86" s="875"/>
      <c r="E86" s="883"/>
      <c r="F86" s="883"/>
      <c r="G86" s="320">
        <f t="shared" si="7"/>
        <v>412</v>
      </c>
    </row>
    <row r="87" spans="1:7" ht="18" customHeight="1">
      <c r="A87" s="881">
        <f t="shared" si="8"/>
        <v>413</v>
      </c>
      <c r="B87" s="882" t="s">
        <v>75</v>
      </c>
      <c r="C87" s="145"/>
      <c r="D87" s="875"/>
      <c r="E87" s="883"/>
      <c r="F87" s="883"/>
      <c r="G87" s="320">
        <f t="shared" si="7"/>
        <v>413</v>
      </c>
    </row>
    <row r="88" spans="1:7" ht="18" customHeight="1">
      <c r="A88" s="881">
        <f t="shared" si="8"/>
        <v>414</v>
      </c>
      <c r="B88" s="882" t="s">
        <v>197</v>
      </c>
      <c r="C88" s="319"/>
      <c r="D88" s="882"/>
      <c r="E88" s="875"/>
      <c r="F88" s="884"/>
      <c r="G88" s="320">
        <f t="shared" si="7"/>
        <v>414</v>
      </c>
    </row>
    <row r="89" spans="1:7" ht="18" customHeight="1">
      <c r="A89" s="881">
        <f t="shared" si="8"/>
        <v>415</v>
      </c>
      <c r="B89" s="882" t="s">
        <v>189</v>
      </c>
      <c r="C89" s="319"/>
      <c r="D89" s="882"/>
      <c r="E89" s="875"/>
      <c r="F89" s="884"/>
      <c r="G89" s="320">
        <f t="shared" si="7"/>
        <v>415</v>
      </c>
    </row>
    <row r="90" spans="1:7" ht="18" customHeight="1">
      <c r="A90" s="881">
        <f t="shared" si="8"/>
        <v>416</v>
      </c>
      <c r="B90" s="882" t="s">
        <v>1576</v>
      </c>
      <c r="C90" s="319"/>
      <c r="D90" s="885"/>
      <c r="E90" s="886"/>
      <c r="F90" s="887"/>
      <c r="G90" s="320">
        <f t="shared" si="7"/>
        <v>416</v>
      </c>
    </row>
    <row r="91" spans="1:7" ht="18" customHeight="1">
      <c r="A91" s="881"/>
      <c r="B91" s="882"/>
      <c r="C91" s="319"/>
      <c r="D91" s="888"/>
      <c r="E91" s="889"/>
      <c r="F91" s="887"/>
      <c r="G91" s="320"/>
    </row>
    <row r="92" spans="1:7" ht="18" customHeight="1">
      <c r="A92" s="881">
        <f>A90+1</f>
        <v>417</v>
      </c>
      <c r="B92" s="880" t="s">
        <v>196</v>
      </c>
      <c r="C92" s="325" t="s">
        <v>1564</v>
      </c>
      <c r="D92" s="890"/>
      <c r="E92" s="891"/>
      <c r="F92" s="887"/>
      <c r="G92" s="320">
        <f t="shared" si="7"/>
        <v>417</v>
      </c>
    </row>
    <row r="93" spans="1:7" ht="18" customHeight="1">
      <c r="B93" s="319"/>
      <c r="C93" s="319"/>
      <c r="F93" s="318"/>
    </row>
    <row r="94" spans="1:7" ht="18" customHeight="1">
      <c r="B94" s="880" t="s">
        <v>370</v>
      </c>
      <c r="C94" s="319"/>
      <c r="F94" s="318"/>
    </row>
    <row r="95" spans="1:7" ht="18" customHeight="1">
      <c r="C95" s="319"/>
      <c r="F95" s="318"/>
    </row>
    <row r="96" spans="1:7" ht="18" customHeight="1">
      <c r="A96" s="324" t="s">
        <v>86</v>
      </c>
      <c r="B96" s="324" t="s">
        <v>1561</v>
      </c>
      <c r="C96" s="145"/>
      <c r="D96" s="193" t="s">
        <v>1562</v>
      </c>
      <c r="E96" s="324" t="s">
        <v>197</v>
      </c>
      <c r="F96" s="324" t="s">
        <v>38</v>
      </c>
      <c r="G96" s="324" t="str">
        <f t="shared" ref="G96:G97" si="9">A96</f>
        <v>Line</v>
      </c>
    </row>
    <row r="97" spans="1:7" ht="18" customHeight="1">
      <c r="A97" s="881" t="s">
        <v>370</v>
      </c>
      <c r="B97" s="882" t="s">
        <v>370</v>
      </c>
      <c r="C97" s="145"/>
      <c r="D97" s="875" t="s">
        <v>370</v>
      </c>
      <c r="E97" s="883" t="s">
        <v>370</v>
      </c>
      <c r="F97" s="883" t="s">
        <v>370</v>
      </c>
      <c r="G97" s="320" t="str">
        <f t="shared" si="9"/>
        <v>…</v>
      </c>
    </row>
    <row r="98" spans="1:7" ht="18" customHeight="1">
      <c r="F98" s="318"/>
    </row>
    <row r="99" spans="1:7">
      <c r="A99" s="320"/>
      <c r="D99" s="327"/>
      <c r="E99" s="840"/>
      <c r="F99" s="589"/>
      <c r="G99" s="320"/>
    </row>
    <row r="100" spans="1:7" ht="15" customHeight="1">
      <c r="B100" s="980" t="s">
        <v>1668</v>
      </c>
      <c r="C100" s="980"/>
      <c r="D100" s="980"/>
      <c r="E100" s="980"/>
      <c r="F100" s="980"/>
    </row>
    <row r="101" spans="1:7">
      <c r="B101" s="980"/>
      <c r="C101" s="980"/>
      <c r="D101" s="980"/>
      <c r="E101" s="980"/>
      <c r="F101" s="980"/>
    </row>
    <row r="102" spans="1:7" ht="15" customHeight="1">
      <c r="B102" s="965" t="s">
        <v>1670</v>
      </c>
      <c r="C102" s="965"/>
      <c r="D102" s="965"/>
      <c r="E102" s="965"/>
      <c r="F102" s="965"/>
    </row>
    <row r="103" spans="1:7">
      <c r="B103" s="965"/>
      <c r="C103" s="965"/>
      <c r="D103" s="965"/>
      <c r="E103" s="965"/>
      <c r="F103" s="965"/>
    </row>
    <row r="104" spans="1:7">
      <c r="B104" s="965"/>
      <c r="C104" s="965"/>
      <c r="D104" s="965"/>
      <c r="E104" s="965"/>
      <c r="F104" s="965"/>
    </row>
    <row r="105" spans="1:7">
      <c r="B105" s="965"/>
      <c r="C105" s="965"/>
      <c r="D105" s="965"/>
      <c r="E105" s="965"/>
      <c r="F105" s="965"/>
    </row>
    <row r="106" spans="1:7" ht="15" customHeight="1">
      <c r="B106" s="981" t="s">
        <v>1669</v>
      </c>
      <c r="C106" s="981"/>
      <c r="D106" s="981"/>
      <c r="E106" s="981"/>
      <c r="F106" s="981"/>
    </row>
    <row r="107" spans="1:7">
      <c r="B107" s="981"/>
      <c r="C107" s="981"/>
      <c r="D107" s="981"/>
      <c r="E107" s="981"/>
      <c r="F107" s="981"/>
    </row>
    <row r="108" spans="1:7">
      <c r="B108" s="783"/>
      <c r="C108" s="783"/>
      <c r="D108" s="783"/>
      <c r="E108" s="783"/>
      <c r="F108" s="783"/>
    </row>
    <row r="109" spans="1:7">
      <c r="B109" s="783"/>
      <c r="C109" s="783"/>
      <c r="D109" s="783"/>
      <c r="E109" s="783"/>
      <c r="F109" s="783"/>
    </row>
  </sheetData>
  <mergeCells count="4">
    <mergeCell ref="B100:F101"/>
    <mergeCell ref="B106:F107"/>
    <mergeCell ref="B4:F9"/>
    <mergeCell ref="B102:F105"/>
  </mergeCells>
  <printOptions horizontalCentered="1"/>
  <pageMargins left="1" right="1" top="1" bottom="1" header="0.5" footer="0.5"/>
  <pageSetup scale="49" fitToHeight="0" orientation="portrait" r:id="rId1"/>
  <headerFooter>
    <oddHeader xml:space="preserve">&amp;C&amp;"-,Bold"&amp;12Pacific Gas and Electric Company
Formula Rate Model
Schedule 16-UnfundedReserves
</oddHeader>
  </headerFooter>
  <rowBreaks count="1" manualBreakCount="1">
    <brk id="66" max="6" man="1"/>
  </rowBreaks>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T72"/>
  <sheetViews>
    <sheetView view="pageBreakPreview" topLeftCell="A36" zoomScaleNormal="85" zoomScaleSheetLayoutView="100" zoomScalePageLayoutView="70" workbookViewId="0">
      <selection activeCell="G13" sqref="G13"/>
    </sheetView>
  </sheetViews>
  <sheetFormatPr defaultColWidth="9.140625" defaultRowHeight="15"/>
  <cols>
    <col min="1" max="1" width="5.5703125" style="12" customWidth="1"/>
    <col min="2" max="2" width="54.28515625" style="12" customWidth="1"/>
    <col min="3" max="3" width="24.42578125" style="12" customWidth="1"/>
    <col min="4" max="4" width="19" style="12" customWidth="1"/>
    <col min="5" max="5" width="18.85546875" style="12" bestFit="1" customWidth="1"/>
    <col min="6" max="6" width="24.5703125" style="12" customWidth="1"/>
    <col min="7" max="7" width="24.85546875" style="45" customWidth="1"/>
    <col min="8" max="8" width="15.140625" style="12" bestFit="1" customWidth="1"/>
    <col min="9" max="9" width="16.5703125" style="12" customWidth="1"/>
    <col min="10" max="10" width="23" style="12" bestFit="1" customWidth="1"/>
    <col min="11" max="11" width="6.7109375" style="12" bestFit="1" customWidth="1"/>
    <col min="12" max="16384" width="9.140625" style="12"/>
  </cols>
  <sheetData>
    <row r="1" spans="1:20">
      <c r="B1" s="288" t="s">
        <v>436</v>
      </c>
      <c r="C1" s="282"/>
      <c r="D1" s="282"/>
      <c r="E1" s="6"/>
      <c r="G1" s="8"/>
      <c r="H1" s="24"/>
      <c r="I1" s="24"/>
      <c r="J1" s="8" t="str">
        <f>CONCATENATE("Prior Year: ",'1-DRR'!$K$2)</f>
        <v>Prior Year: 2021</v>
      </c>
    </row>
    <row r="2" spans="1:20">
      <c r="B2" s="106" t="s">
        <v>122</v>
      </c>
      <c r="C2" s="282"/>
      <c r="D2" s="282"/>
      <c r="E2" s="6"/>
      <c r="F2" s="8"/>
      <c r="G2" s="8"/>
      <c r="H2" s="24"/>
      <c r="I2" s="24"/>
    </row>
    <row r="3" spans="1:20">
      <c r="B3" s="282"/>
      <c r="C3" s="282"/>
      <c r="D3" s="282"/>
      <c r="E3" s="282"/>
      <c r="F3" s="282"/>
      <c r="G3" s="282"/>
      <c r="H3" s="24"/>
      <c r="I3" s="24"/>
    </row>
    <row r="4" spans="1:20" ht="15.75" customHeight="1">
      <c r="A4" s="271"/>
      <c r="B4" s="282" t="s">
        <v>435</v>
      </c>
      <c r="C4" s="282"/>
      <c r="D4" s="282"/>
      <c r="E4" s="282"/>
      <c r="F4" s="282"/>
      <c r="G4" s="282"/>
      <c r="H4" s="24"/>
      <c r="I4" s="24"/>
      <c r="N4" s="982"/>
      <c r="O4" s="983"/>
      <c r="P4" s="983"/>
      <c r="Q4" s="983"/>
      <c r="R4" s="983"/>
      <c r="S4" s="983"/>
      <c r="T4" s="983"/>
    </row>
    <row r="5" spans="1:20">
      <c r="A5" s="271"/>
      <c r="B5" s="282" t="s">
        <v>434</v>
      </c>
      <c r="C5" s="282"/>
      <c r="D5" s="282"/>
      <c r="E5" s="282"/>
      <c r="F5" s="282"/>
      <c r="G5" s="282"/>
      <c r="H5" s="24"/>
      <c r="I5" s="24"/>
    </row>
    <row r="6" spans="1:20">
      <c r="A6" s="271"/>
      <c r="B6" s="282" t="s">
        <v>433</v>
      </c>
      <c r="C6" s="282"/>
      <c r="D6" s="282"/>
      <c r="E6" s="282"/>
      <c r="F6" s="282"/>
      <c r="G6" s="282"/>
      <c r="H6" s="24"/>
      <c r="I6" s="24"/>
    </row>
    <row r="7" spans="1:20">
      <c r="A7" s="271"/>
      <c r="B7" s="282"/>
      <c r="C7" s="282"/>
      <c r="D7" s="282"/>
      <c r="E7" s="282"/>
      <c r="F7" s="282"/>
      <c r="G7" s="282"/>
      <c r="H7" s="24"/>
      <c r="I7" s="24"/>
    </row>
    <row r="8" spans="1:20">
      <c r="A8" s="271"/>
      <c r="B8" s="282" t="s">
        <v>432</v>
      </c>
      <c r="C8" s="282"/>
      <c r="D8" s="282"/>
      <c r="E8" s="282"/>
      <c r="F8" s="282"/>
      <c r="G8" s="282"/>
      <c r="H8" s="24"/>
      <c r="I8" s="24"/>
    </row>
    <row r="9" spans="1:20">
      <c r="A9" s="271"/>
      <c r="B9" s="282" t="s">
        <v>431</v>
      </c>
      <c r="C9" s="282"/>
      <c r="D9" s="282"/>
      <c r="E9" s="282"/>
      <c r="F9" s="282"/>
      <c r="G9" s="282"/>
      <c r="H9" s="24"/>
      <c r="I9" s="24"/>
    </row>
    <row r="10" spans="1:20">
      <c r="A10" s="271"/>
      <c r="B10" s="282"/>
      <c r="C10" s="282"/>
      <c r="D10" s="282"/>
      <c r="E10" s="282"/>
      <c r="F10" s="282"/>
      <c r="G10" s="282"/>
      <c r="H10" s="24"/>
      <c r="I10" s="24"/>
    </row>
    <row r="11" spans="1:20">
      <c r="A11" s="271"/>
      <c r="B11" s="282" t="s">
        <v>430</v>
      </c>
      <c r="C11" s="282"/>
      <c r="D11" s="282"/>
      <c r="E11" s="282"/>
      <c r="F11" s="282"/>
      <c r="G11" s="282"/>
      <c r="H11" s="24"/>
      <c r="I11" s="24"/>
    </row>
    <row r="12" spans="1:20">
      <c r="A12" s="271"/>
      <c r="B12" s="282" t="s">
        <v>1411</v>
      </c>
      <c r="C12" s="282"/>
      <c r="D12" s="282"/>
      <c r="E12" s="282"/>
      <c r="F12" s="282"/>
      <c r="G12" s="282"/>
      <c r="H12" s="24"/>
      <c r="I12" s="24"/>
    </row>
    <row r="13" spans="1:20">
      <c r="A13" s="271"/>
      <c r="B13" s="282" t="s">
        <v>1409</v>
      </c>
      <c r="C13" s="282"/>
      <c r="D13" s="282"/>
      <c r="E13" s="282"/>
      <c r="F13" s="282"/>
      <c r="G13" s="282"/>
      <c r="H13" s="24"/>
      <c r="I13" s="24"/>
    </row>
    <row r="14" spans="1:20">
      <c r="A14" s="271"/>
      <c r="B14" s="282"/>
      <c r="C14" s="282"/>
      <c r="D14" s="282"/>
      <c r="E14" s="282"/>
      <c r="F14" s="282"/>
      <c r="G14" s="282"/>
      <c r="H14" s="24"/>
      <c r="I14" s="24"/>
    </row>
    <row r="15" spans="1:20">
      <c r="A15" s="271"/>
      <c r="B15" s="65" t="s">
        <v>876</v>
      </c>
      <c r="C15" s="62"/>
      <c r="D15" s="62"/>
      <c r="E15" s="62"/>
      <c r="F15" s="62"/>
      <c r="G15" s="307"/>
      <c r="H15" s="24"/>
      <c r="I15" s="24"/>
    </row>
    <row r="16" spans="1:20">
      <c r="A16" s="270"/>
      <c r="B16" s="287" t="s">
        <v>93</v>
      </c>
      <c r="C16" s="269"/>
      <c r="D16" s="269"/>
      <c r="E16" s="269"/>
      <c r="F16" s="269"/>
      <c r="G16" s="269"/>
    </row>
    <row r="17" spans="1:11">
      <c r="A17" s="270"/>
      <c r="B17" s="282" t="s">
        <v>429</v>
      </c>
      <c r="C17" s="282"/>
      <c r="D17" s="282"/>
      <c r="E17" s="282"/>
      <c r="F17" s="282"/>
      <c r="G17" s="282"/>
      <c r="H17" s="24"/>
    </row>
    <row r="18" spans="1:11">
      <c r="A18" s="270"/>
      <c r="B18" s="282" t="s">
        <v>1401</v>
      </c>
      <c r="C18" s="24"/>
      <c r="D18" s="24"/>
      <c r="E18" s="24"/>
      <c r="F18" s="24"/>
      <c r="G18" s="46"/>
      <c r="H18" s="24"/>
    </row>
    <row r="19" spans="1:11">
      <c r="A19" s="270"/>
      <c r="B19" s="286" t="s">
        <v>428</v>
      </c>
      <c r="C19" s="24"/>
      <c r="D19" s="24"/>
      <c r="E19" s="24"/>
      <c r="F19" s="24"/>
      <c r="G19" s="46"/>
      <c r="H19" s="24"/>
    </row>
    <row r="20" spans="1:11">
      <c r="A20" s="270"/>
      <c r="B20" s="286" t="s">
        <v>427</v>
      </c>
      <c r="C20" s="24"/>
      <c r="D20" s="24"/>
      <c r="E20" s="143"/>
      <c r="F20" s="24"/>
      <c r="G20" s="46"/>
      <c r="H20" s="24"/>
    </row>
    <row r="21" spans="1:11">
      <c r="A21" s="270"/>
      <c r="B21" s="282" t="s">
        <v>426</v>
      </c>
      <c r="C21" s="24"/>
      <c r="D21" s="24"/>
      <c r="E21" s="24"/>
      <c r="F21" s="24"/>
      <c r="G21" s="46"/>
      <c r="H21" s="24"/>
    </row>
    <row r="22" spans="1:11">
      <c r="A22" s="270"/>
      <c r="B22" s="282"/>
      <c r="C22" s="24"/>
      <c r="D22" s="24"/>
      <c r="E22" s="24"/>
      <c r="F22" s="24"/>
      <c r="G22" s="46"/>
      <c r="H22" s="24"/>
    </row>
    <row r="23" spans="1:11">
      <c r="A23" s="271"/>
      <c r="B23" s="282"/>
      <c r="C23" s="282"/>
      <c r="D23" s="282"/>
      <c r="E23" s="271" t="s">
        <v>92</v>
      </c>
      <c r="F23" s="282"/>
      <c r="G23" s="282"/>
      <c r="H23" s="24"/>
      <c r="I23" s="24"/>
    </row>
    <row r="24" spans="1:11">
      <c r="A24" s="276" t="s">
        <v>86</v>
      </c>
      <c r="B24" s="282"/>
      <c r="C24" s="282"/>
      <c r="D24" s="282"/>
      <c r="E24" s="276" t="s">
        <v>157</v>
      </c>
      <c r="F24" s="285" t="s">
        <v>425</v>
      </c>
      <c r="G24" s="285"/>
      <c r="I24" s="24"/>
      <c r="K24" s="276" t="str">
        <f>A24</f>
        <v>Line</v>
      </c>
    </row>
    <row r="25" spans="1:11">
      <c r="A25" s="271">
        <v>100</v>
      </c>
      <c r="B25" s="282" t="s">
        <v>424</v>
      </c>
      <c r="C25" s="282"/>
      <c r="D25" s="282"/>
      <c r="E25" s="457">
        <f>+D34</f>
        <v>0</v>
      </c>
      <c r="F25" s="282" t="s">
        <v>857</v>
      </c>
      <c r="G25" s="282"/>
      <c r="I25" s="24"/>
      <c r="K25" s="271">
        <f>A25</f>
        <v>100</v>
      </c>
    </row>
    <row r="26" spans="1:11">
      <c r="A26" s="271">
        <f>A25+1</f>
        <v>101</v>
      </c>
      <c r="B26" s="282" t="s">
        <v>423</v>
      </c>
      <c r="C26" s="282"/>
      <c r="D26" s="282"/>
      <c r="E26" s="457">
        <f>AVERAGE(C34:D34)</f>
        <v>0</v>
      </c>
      <c r="F26" s="282" t="s">
        <v>612</v>
      </c>
      <c r="G26" s="282"/>
      <c r="I26" s="24"/>
      <c r="K26" s="271">
        <f>A26</f>
        <v>101</v>
      </c>
    </row>
    <row r="27" spans="1:11">
      <c r="A27" s="271">
        <f>A26+1</f>
        <v>102</v>
      </c>
      <c r="B27" s="282" t="s">
        <v>422</v>
      </c>
      <c r="C27" s="282"/>
      <c r="D27" s="282"/>
      <c r="E27" s="457">
        <f>+E34</f>
        <v>0</v>
      </c>
      <c r="F27" s="282" t="s">
        <v>613</v>
      </c>
      <c r="G27" s="282"/>
      <c r="I27" s="24"/>
      <c r="K27" s="271">
        <f>A27</f>
        <v>102</v>
      </c>
    </row>
    <row r="28" spans="1:11">
      <c r="A28" s="271"/>
      <c r="B28" s="282"/>
      <c r="C28" s="282"/>
      <c r="D28" s="282"/>
      <c r="E28" s="284"/>
      <c r="F28" s="282"/>
      <c r="G28" s="282"/>
      <c r="I28" s="24"/>
      <c r="K28" s="271"/>
    </row>
    <row r="29" spans="1:11">
      <c r="A29" s="271"/>
      <c r="B29" s="282"/>
      <c r="C29" s="283" t="s">
        <v>316</v>
      </c>
      <c r="D29" s="283" t="s">
        <v>317</v>
      </c>
      <c r="E29" s="283" t="s">
        <v>318</v>
      </c>
      <c r="F29" s="282"/>
      <c r="G29" s="282"/>
      <c r="I29" s="24"/>
      <c r="K29" s="271"/>
    </row>
    <row r="30" spans="1:11">
      <c r="A30" s="271"/>
      <c r="B30" s="282"/>
      <c r="C30" s="271" t="s">
        <v>92</v>
      </c>
      <c r="D30" s="271" t="s">
        <v>92</v>
      </c>
      <c r="E30" s="271" t="s">
        <v>92</v>
      </c>
      <c r="F30" s="282"/>
      <c r="G30" s="282"/>
      <c r="I30" s="24"/>
      <c r="K30" s="271"/>
    </row>
    <row r="31" spans="1:11">
      <c r="A31" s="271"/>
      <c r="B31" s="271" t="s">
        <v>421</v>
      </c>
      <c r="C31" s="271" t="s">
        <v>420</v>
      </c>
      <c r="D31" s="271" t="s">
        <v>419</v>
      </c>
      <c r="E31" s="7" t="s">
        <v>418</v>
      </c>
      <c r="F31" s="281" t="s">
        <v>417</v>
      </c>
      <c r="G31" s="281"/>
      <c r="I31" s="24"/>
      <c r="K31" s="271"/>
    </row>
    <row r="32" spans="1:11">
      <c r="A32" s="276"/>
      <c r="B32" s="271" t="s">
        <v>416</v>
      </c>
      <c r="C32" s="271" t="s">
        <v>415</v>
      </c>
      <c r="D32" s="271" t="s">
        <v>415</v>
      </c>
      <c r="E32" s="271" t="s">
        <v>414</v>
      </c>
      <c r="F32" s="281" t="s">
        <v>413</v>
      </c>
      <c r="G32" s="281"/>
      <c r="I32" s="24"/>
      <c r="K32" s="271"/>
    </row>
    <row r="33" spans="1:11">
      <c r="A33" s="276" t="s">
        <v>86</v>
      </c>
      <c r="B33" s="276" t="s">
        <v>412</v>
      </c>
      <c r="C33" s="276" t="s">
        <v>412</v>
      </c>
      <c r="D33" s="276" t="s">
        <v>412</v>
      </c>
      <c r="E33" s="276" t="s">
        <v>411</v>
      </c>
      <c r="F33" s="280" t="s">
        <v>410</v>
      </c>
      <c r="G33" s="276" t="s">
        <v>38</v>
      </c>
      <c r="I33" s="24"/>
      <c r="K33" s="276" t="str">
        <f>A33</f>
        <v>Line</v>
      </c>
    </row>
    <row r="34" spans="1:11" ht="15.75" thickBot="1">
      <c r="A34" s="279">
        <f>A27+1</f>
        <v>103</v>
      </c>
      <c r="B34" s="278" t="s">
        <v>409</v>
      </c>
      <c r="C34" s="892">
        <f>SUM(C36:C39)</f>
        <v>0</v>
      </c>
      <c r="D34" s="892">
        <f>SUM(D36:D39)</f>
        <v>0</v>
      </c>
      <c r="E34" s="893">
        <f>SUM(E36:E39)</f>
        <v>0</v>
      </c>
      <c r="F34" s="278"/>
      <c r="G34" s="278"/>
      <c r="I34" s="24"/>
      <c r="K34" s="271">
        <f>A34</f>
        <v>103</v>
      </c>
    </row>
    <row r="35" spans="1:11" ht="15.75" thickTop="1">
      <c r="A35" s="270"/>
      <c r="B35" s="269"/>
      <c r="C35" s="277"/>
      <c r="D35" s="277"/>
      <c r="E35" s="277"/>
      <c r="F35" s="269"/>
      <c r="G35" s="269"/>
      <c r="I35" s="24"/>
      <c r="K35" s="276"/>
    </row>
    <row r="36" spans="1:11">
      <c r="A36" s="270">
        <f>A34+1</f>
        <v>104</v>
      </c>
      <c r="B36" s="272" t="s">
        <v>849</v>
      </c>
      <c r="C36" s="455"/>
      <c r="D36" s="455"/>
      <c r="E36" s="274"/>
      <c r="F36" s="272"/>
      <c r="G36" s="272"/>
      <c r="K36" s="271">
        <f>A36</f>
        <v>104</v>
      </c>
    </row>
    <row r="37" spans="1:11">
      <c r="A37" s="270">
        <f>A36+1</f>
        <v>105</v>
      </c>
      <c r="B37" s="272" t="s">
        <v>408</v>
      </c>
      <c r="C37" s="455"/>
      <c r="D37" s="455"/>
      <c r="E37" s="274"/>
      <c r="F37" s="272"/>
      <c r="G37" s="272"/>
      <c r="K37" s="271">
        <f>A37</f>
        <v>105</v>
      </c>
    </row>
    <row r="38" spans="1:11">
      <c r="A38" s="270">
        <f t="shared" ref="A38:A39" si="0">A37+1</f>
        <v>106</v>
      </c>
      <c r="B38" s="272" t="s">
        <v>407</v>
      </c>
      <c r="C38" s="456"/>
      <c r="D38" s="455"/>
      <c r="E38" s="273"/>
      <c r="F38" s="272"/>
      <c r="G38" s="272"/>
      <c r="K38" s="271">
        <f>A38</f>
        <v>106</v>
      </c>
    </row>
    <row r="39" spans="1:11">
      <c r="A39" s="270">
        <f t="shared" si="0"/>
        <v>107</v>
      </c>
      <c r="B39" s="275" t="s">
        <v>183</v>
      </c>
      <c r="C39" s="456"/>
      <c r="D39" s="455"/>
      <c r="E39" s="273"/>
      <c r="F39" s="272"/>
      <c r="G39" s="272"/>
      <c r="K39" s="271">
        <f>A39</f>
        <v>107</v>
      </c>
    </row>
    <row r="40" spans="1:11">
      <c r="A40" s="270"/>
      <c r="B40" s="269"/>
      <c r="C40" s="269"/>
      <c r="D40" s="269"/>
      <c r="E40" s="269"/>
      <c r="F40" s="269"/>
      <c r="G40" s="269"/>
      <c r="H40" s="271"/>
    </row>
    <row r="41" spans="1:11">
      <c r="A41" s="270"/>
    </row>
    <row r="42" spans="1:11">
      <c r="A42" s="270"/>
      <c r="B42" s="269"/>
    </row>
    <row r="43" spans="1:11">
      <c r="A43" s="321"/>
      <c r="B43" s="136" t="s">
        <v>853</v>
      </c>
      <c r="C43" s="159"/>
      <c r="D43" s="258"/>
      <c r="E43" s="258"/>
      <c r="F43" s="249"/>
      <c r="G43" s="249"/>
      <c r="H43" s="249"/>
      <c r="I43" s="259"/>
      <c r="J43" s="138"/>
    </row>
    <row r="44" spans="1:11" s="45" customFormat="1">
      <c r="A44" s="321"/>
      <c r="B44" s="168"/>
      <c r="C44" s="157"/>
      <c r="D44" s="308"/>
      <c r="E44" s="308"/>
      <c r="F44" s="235"/>
      <c r="G44" s="235"/>
      <c r="H44" s="235"/>
      <c r="I44" s="14"/>
      <c r="J44" s="319"/>
    </row>
    <row r="45" spans="1:11" s="45" customFormat="1">
      <c r="A45" s="145" t="s">
        <v>86</v>
      </c>
      <c r="B45" s="3" t="s">
        <v>91</v>
      </c>
      <c r="C45" s="3" t="s">
        <v>569</v>
      </c>
      <c r="D45" s="161" t="s">
        <v>38</v>
      </c>
      <c r="E45" s="308"/>
      <c r="F45" s="235"/>
      <c r="G45" s="235"/>
      <c r="H45" s="235"/>
      <c r="I45" s="14"/>
      <c r="J45" s="319"/>
      <c r="K45" s="145" t="s">
        <v>86</v>
      </c>
    </row>
    <row r="46" spans="1:11" s="45" customFormat="1" ht="45">
      <c r="A46" s="321">
        <v>200</v>
      </c>
      <c r="B46" s="461" t="s">
        <v>850</v>
      </c>
      <c r="C46" s="464">
        <f>'17-RegAssets-2'!AP22</f>
        <v>-1476888347.1662529</v>
      </c>
      <c r="D46" s="462" t="s">
        <v>1661</v>
      </c>
      <c r="E46" s="308"/>
      <c r="F46" s="235"/>
      <c r="G46" s="235"/>
      <c r="H46" s="235"/>
      <c r="I46" s="14"/>
      <c r="J46" s="319"/>
      <c r="K46" s="321">
        <f>A46</f>
        <v>200</v>
      </c>
    </row>
    <row r="47" spans="1:11" s="45" customFormat="1" ht="30">
      <c r="A47" s="321">
        <f>A46+1</f>
        <v>201</v>
      </c>
      <c r="B47" s="461" t="s">
        <v>851</v>
      </c>
      <c r="C47" s="458">
        <f>'17-RegAssets-2'!BD22</f>
        <v>-1442365131.1236477</v>
      </c>
      <c r="D47" s="462" t="s">
        <v>1662</v>
      </c>
      <c r="E47" s="308"/>
      <c r="F47" s="235"/>
      <c r="G47" s="235"/>
      <c r="H47" s="235"/>
      <c r="I47" s="14"/>
      <c r="J47" s="319"/>
      <c r="K47" s="321">
        <f t="shared" ref="K47:K48" si="1">A47</f>
        <v>201</v>
      </c>
    </row>
    <row r="48" spans="1:11" s="45" customFormat="1">
      <c r="A48" s="321">
        <f>A47+1</f>
        <v>202</v>
      </c>
      <c r="B48" s="325" t="s">
        <v>848</v>
      </c>
      <c r="C48" s="459">
        <f>J69</f>
        <v>-1460895743.2049639</v>
      </c>
      <c r="D48" s="460" t="s">
        <v>858</v>
      </c>
      <c r="E48" s="308"/>
      <c r="F48" s="235"/>
      <c r="G48" s="235"/>
      <c r="H48" s="235"/>
      <c r="I48" s="14"/>
      <c r="J48" s="319"/>
      <c r="K48" s="321">
        <f t="shared" si="1"/>
        <v>202</v>
      </c>
    </row>
    <row r="49" spans="1:11" s="45" customFormat="1">
      <c r="A49" s="321"/>
      <c r="B49" s="168"/>
      <c r="C49" s="157"/>
      <c r="D49" s="308"/>
      <c r="E49" s="308"/>
      <c r="F49" s="235"/>
      <c r="G49" s="235"/>
      <c r="H49" s="235"/>
      <c r="I49" s="14"/>
      <c r="J49" s="319"/>
      <c r="K49" s="321"/>
    </row>
    <row r="50" spans="1:11">
      <c r="A50" s="321"/>
      <c r="B50" s="317"/>
      <c r="C50" s="146" t="s">
        <v>62</v>
      </c>
      <c r="D50" s="146" t="s">
        <v>63</v>
      </c>
      <c r="E50" s="146" t="s">
        <v>64</v>
      </c>
      <c r="F50" s="146" t="s">
        <v>65</v>
      </c>
      <c r="G50" s="146" t="s">
        <v>66</v>
      </c>
      <c r="H50" s="146" t="s">
        <v>67</v>
      </c>
      <c r="I50" s="146" t="s">
        <v>68</v>
      </c>
      <c r="J50" s="146" t="s">
        <v>69</v>
      </c>
      <c r="K50" s="321"/>
    </row>
    <row r="51" spans="1:11">
      <c r="A51" s="321"/>
      <c r="B51" s="317"/>
      <c r="C51" s="155"/>
      <c r="D51" s="260" t="s">
        <v>385</v>
      </c>
      <c r="E51" s="260" t="s">
        <v>386</v>
      </c>
      <c r="F51" s="236"/>
      <c r="G51" s="236"/>
      <c r="H51" s="260" t="s">
        <v>387</v>
      </c>
      <c r="I51" s="115" t="s">
        <v>388</v>
      </c>
      <c r="J51" s="260" t="s">
        <v>784</v>
      </c>
      <c r="K51" s="321"/>
    </row>
    <row r="52" spans="1:11">
      <c r="A52" s="321"/>
      <c r="B52" s="317"/>
      <c r="C52" s="155"/>
      <c r="D52" s="241"/>
      <c r="E52" s="241"/>
      <c r="F52" s="236"/>
      <c r="G52" s="236"/>
      <c r="H52" s="236"/>
      <c r="I52" s="144"/>
      <c r="J52" s="317"/>
      <c r="K52" s="321"/>
    </row>
    <row r="53" spans="1:11">
      <c r="A53" s="321"/>
      <c r="B53" s="317"/>
      <c r="C53" s="160"/>
      <c r="D53" s="260" t="s">
        <v>389</v>
      </c>
      <c r="E53" s="260" t="s">
        <v>390</v>
      </c>
      <c r="F53" s="260"/>
      <c r="G53" s="260" t="s">
        <v>391</v>
      </c>
      <c r="H53" s="260" t="s">
        <v>392</v>
      </c>
      <c r="I53" s="320" t="s">
        <v>393</v>
      </c>
      <c r="J53" s="320" t="s">
        <v>394</v>
      </c>
      <c r="K53" s="321"/>
    </row>
    <row r="54" spans="1:11">
      <c r="A54" s="145" t="s">
        <v>86</v>
      </c>
      <c r="B54" s="145" t="s">
        <v>73</v>
      </c>
      <c r="C54" s="160" t="s">
        <v>395</v>
      </c>
      <c r="D54" s="262" t="s">
        <v>396</v>
      </c>
      <c r="E54" s="262" t="s">
        <v>397</v>
      </c>
      <c r="F54" s="262" t="s">
        <v>398</v>
      </c>
      <c r="G54" s="262" t="s">
        <v>399</v>
      </c>
      <c r="H54" s="262" t="s">
        <v>400</v>
      </c>
      <c r="I54" s="324" t="s">
        <v>401</v>
      </c>
      <c r="J54" s="324" t="s">
        <v>402</v>
      </c>
      <c r="K54" s="145" t="str">
        <f t="shared" ref="K54:K69" si="2">A54</f>
        <v>Line</v>
      </c>
    </row>
    <row r="55" spans="1:11" ht="30">
      <c r="A55" s="321">
        <f>A48+1</f>
        <v>203</v>
      </c>
      <c r="B55" s="319"/>
      <c r="C55" s="263" t="s">
        <v>859</v>
      </c>
      <c r="D55" s="356"/>
      <c r="E55" s="169">
        <f>+C46</f>
        <v>-1476888347.1662529</v>
      </c>
      <c r="F55" s="236"/>
      <c r="G55" s="266">
        <f>+G56+F56-G67</f>
        <v>365</v>
      </c>
      <c r="H55" s="264">
        <f>1</f>
        <v>1</v>
      </c>
      <c r="I55" s="265"/>
      <c r="J55" s="359">
        <f>+E55</f>
        <v>-1476888347.1662529</v>
      </c>
      <c r="K55" s="321">
        <f t="shared" si="2"/>
        <v>203</v>
      </c>
    </row>
    <row r="56" spans="1:11">
      <c r="A56" s="321">
        <f t="shared" ref="A56:A69" si="3">A55+1</f>
        <v>204</v>
      </c>
      <c r="B56" s="323">
        <f>'1-DRR'!$K$2</f>
        <v>2021</v>
      </c>
      <c r="C56" s="263" t="s">
        <v>76</v>
      </c>
      <c r="D56" s="357">
        <f>(-$C$46+$C$47)/12</f>
        <v>2876934.6702170968</v>
      </c>
      <c r="E56" s="357">
        <f t="shared" ref="E56:E67" si="4">E55+D56</f>
        <v>-1474011412.4960358</v>
      </c>
      <c r="F56" s="266">
        <v>31</v>
      </c>
      <c r="G56" s="266">
        <f t="shared" ref="G56:G65" si="5">+G57+F57</f>
        <v>335</v>
      </c>
      <c r="H56" s="264">
        <f>G56/G55</f>
        <v>0.9178082191780822</v>
      </c>
      <c r="I56" s="358">
        <f t="shared" ref="I56:I67" si="6">D56*H56</f>
        <v>2640474.2863636366</v>
      </c>
      <c r="J56" s="181">
        <f t="shared" ref="J56:J67" si="7">J55+I56</f>
        <v>-1474247872.8798892</v>
      </c>
      <c r="K56" s="321">
        <f t="shared" si="2"/>
        <v>204</v>
      </c>
    </row>
    <row r="57" spans="1:11">
      <c r="A57" s="321">
        <f t="shared" si="3"/>
        <v>205</v>
      </c>
      <c r="B57" s="323">
        <f>'1-DRR'!$K$2</f>
        <v>2021</v>
      </c>
      <c r="C57" s="263" t="s">
        <v>77</v>
      </c>
      <c r="D57" s="357">
        <f t="shared" ref="D57:D67" si="8">(-$C$46+$C$47)/12</f>
        <v>2876934.6702170968</v>
      </c>
      <c r="E57" s="357">
        <f t="shared" si="4"/>
        <v>-1471134477.8258188</v>
      </c>
      <c r="F57" s="263">
        <f>IF(OR(MOD(RIGHT($J$1,4),400)=0,AND(MOD(RIGHT($J$1,4),4)=0,MOD(RIGHT($J$1,4),100)&lt;&gt;0)),29,28)</f>
        <v>28</v>
      </c>
      <c r="G57" s="266">
        <f t="shared" si="5"/>
        <v>307</v>
      </c>
      <c r="H57" s="264">
        <f>G57/G55</f>
        <v>0.84109589041095889</v>
      </c>
      <c r="I57" s="358">
        <f t="shared" si="6"/>
        <v>2419777.9281004076</v>
      </c>
      <c r="J57" s="181">
        <f t="shared" si="7"/>
        <v>-1471828094.9517889</v>
      </c>
      <c r="K57" s="321">
        <f t="shared" si="2"/>
        <v>205</v>
      </c>
    </row>
    <row r="58" spans="1:11">
      <c r="A58" s="321">
        <f t="shared" si="3"/>
        <v>206</v>
      </c>
      <c r="B58" s="323">
        <f>'1-DRR'!$K$2</f>
        <v>2021</v>
      </c>
      <c r="C58" s="263" t="s">
        <v>78</v>
      </c>
      <c r="D58" s="357">
        <f t="shared" si="8"/>
        <v>2876934.6702170968</v>
      </c>
      <c r="E58" s="357">
        <f t="shared" si="4"/>
        <v>-1468257543.1556017</v>
      </c>
      <c r="F58" s="266">
        <v>31</v>
      </c>
      <c r="G58" s="266">
        <f t="shared" si="5"/>
        <v>276</v>
      </c>
      <c r="H58" s="264">
        <f>G58/G55</f>
        <v>0.75616438356164384</v>
      </c>
      <c r="I58" s="358">
        <f t="shared" si="6"/>
        <v>2175435.531451832</v>
      </c>
      <c r="J58" s="181">
        <f t="shared" si="7"/>
        <v>-1469652659.420337</v>
      </c>
      <c r="K58" s="321">
        <f t="shared" si="2"/>
        <v>206</v>
      </c>
    </row>
    <row r="59" spans="1:11">
      <c r="A59" s="321">
        <f t="shared" si="3"/>
        <v>207</v>
      </c>
      <c r="B59" s="323">
        <f>'1-DRR'!$K$2</f>
        <v>2021</v>
      </c>
      <c r="C59" s="263" t="s">
        <v>79</v>
      </c>
      <c r="D59" s="357">
        <f t="shared" si="8"/>
        <v>2876934.6702170968</v>
      </c>
      <c r="E59" s="357">
        <f t="shared" si="4"/>
        <v>-1465380608.4853847</v>
      </c>
      <c r="F59" s="266">
        <v>30</v>
      </c>
      <c r="G59" s="266">
        <f t="shared" si="5"/>
        <v>246</v>
      </c>
      <c r="H59" s="264">
        <f>G59/G55</f>
        <v>0.67397260273972603</v>
      </c>
      <c r="I59" s="358">
        <f t="shared" si="6"/>
        <v>1938975.1475983721</v>
      </c>
      <c r="J59" s="181">
        <f t="shared" si="7"/>
        <v>-1467713684.2727387</v>
      </c>
      <c r="K59" s="321">
        <f t="shared" si="2"/>
        <v>207</v>
      </c>
    </row>
    <row r="60" spans="1:11">
      <c r="A60" s="321">
        <f t="shared" si="3"/>
        <v>208</v>
      </c>
      <c r="B60" s="323">
        <f>'1-DRR'!$K$2</f>
        <v>2021</v>
      </c>
      <c r="C60" s="263" t="s">
        <v>61</v>
      </c>
      <c r="D60" s="357">
        <f t="shared" si="8"/>
        <v>2876934.6702170968</v>
      </c>
      <c r="E60" s="357">
        <f t="shared" si="4"/>
        <v>-1462503673.8151677</v>
      </c>
      <c r="F60" s="266">
        <v>31</v>
      </c>
      <c r="G60" s="266">
        <f t="shared" si="5"/>
        <v>215</v>
      </c>
      <c r="H60" s="264">
        <f>G60/G55</f>
        <v>0.58904109589041098</v>
      </c>
      <c r="I60" s="358">
        <f t="shared" si="6"/>
        <v>1694632.7509497968</v>
      </c>
      <c r="J60" s="181">
        <f t="shared" si="7"/>
        <v>-1466019051.5217888</v>
      </c>
      <c r="K60" s="321">
        <f t="shared" si="2"/>
        <v>208</v>
      </c>
    </row>
    <row r="61" spans="1:11">
      <c r="A61" s="321">
        <f t="shared" si="3"/>
        <v>209</v>
      </c>
      <c r="B61" s="323">
        <f>'1-DRR'!$K$2</f>
        <v>2021</v>
      </c>
      <c r="C61" s="263" t="s">
        <v>146</v>
      </c>
      <c r="D61" s="357">
        <f t="shared" si="8"/>
        <v>2876934.6702170968</v>
      </c>
      <c r="E61" s="357">
        <f t="shared" si="4"/>
        <v>-1459626739.1449506</v>
      </c>
      <c r="F61" s="266">
        <v>30</v>
      </c>
      <c r="G61" s="266">
        <f t="shared" si="5"/>
        <v>185</v>
      </c>
      <c r="H61" s="264">
        <f>G61/G55</f>
        <v>0.50684931506849318</v>
      </c>
      <c r="I61" s="358">
        <f t="shared" si="6"/>
        <v>1458172.3670963368</v>
      </c>
      <c r="J61" s="181">
        <f t="shared" si="7"/>
        <v>-1464560879.1546924</v>
      </c>
      <c r="K61" s="321">
        <f t="shared" si="2"/>
        <v>209</v>
      </c>
    </row>
    <row r="62" spans="1:11">
      <c r="A62" s="321">
        <f t="shared" si="3"/>
        <v>210</v>
      </c>
      <c r="B62" s="323">
        <f>'1-DRR'!$K$2</f>
        <v>2021</v>
      </c>
      <c r="C62" s="263" t="s">
        <v>81</v>
      </c>
      <c r="D62" s="357">
        <f t="shared" si="8"/>
        <v>2876934.6702170968</v>
      </c>
      <c r="E62" s="357">
        <f t="shared" si="4"/>
        <v>-1456749804.4747336</v>
      </c>
      <c r="F62" s="266">
        <v>31</v>
      </c>
      <c r="G62" s="266">
        <f t="shared" si="5"/>
        <v>154</v>
      </c>
      <c r="H62" s="264">
        <f>G62/G55</f>
        <v>0.42191780821917807</v>
      </c>
      <c r="I62" s="358">
        <f t="shared" si="6"/>
        <v>1213829.9704477615</v>
      </c>
      <c r="J62" s="181">
        <f t="shared" si="7"/>
        <v>-1463347049.1842446</v>
      </c>
      <c r="K62" s="321">
        <f t="shared" si="2"/>
        <v>210</v>
      </c>
    </row>
    <row r="63" spans="1:11">
      <c r="A63" s="321">
        <f t="shared" si="3"/>
        <v>211</v>
      </c>
      <c r="B63" s="323">
        <f>'1-DRR'!$K$2</f>
        <v>2021</v>
      </c>
      <c r="C63" s="263" t="s">
        <v>82</v>
      </c>
      <c r="D63" s="357">
        <f t="shared" si="8"/>
        <v>2876934.6702170968</v>
      </c>
      <c r="E63" s="357">
        <f t="shared" si="4"/>
        <v>-1453872869.8045166</v>
      </c>
      <c r="F63" s="266">
        <v>31</v>
      </c>
      <c r="G63" s="266">
        <f t="shared" si="5"/>
        <v>123</v>
      </c>
      <c r="H63" s="264">
        <f>G63/G55</f>
        <v>0.33698630136986302</v>
      </c>
      <c r="I63" s="358">
        <f t="shared" si="6"/>
        <v>969487.57379918604</v>
      </c>
      <c r="J63" s="181">
        <f t="shared" si="7"/>
        <v>-1462377561.6104455</v>
      </c>
      <c r="K63" s="321">
        <f t="shared" si="2"/>
        <v>211</v>
      </c>
    </row>
    <row r="64" spans="1:11">
      <c r="A64" s="321">
        <f t="shared" si="3"/>
        <v>212</v>
      </c>
      <c r="B64" s="323">
        <f>'1-DRR'!$K$2</f>
        <v>2021</v>
      </c>
      <c r="C64" s="263" t="s">
        <v>83</v>
      </c>
      <c r="D64" s="357">
        <f t="shared" si="8"/>
        <v>2876934.6702170968</v>
      </c>
      <c r="E64" s="357">
        <f t="shared" si="4"/>
        <v>-1450995935.1342995</v>
      </c>
      <c r="F64" s="266">
        <v>30</v>
      </c>
      <c r="G64" s="266">
        <f t="shared" si="5"/>
        <v>93</v>
      </c>
      <c r="H64" s="264">
        <f>G64/G55</f>
        <v>0.25479452054794521</v>
      </c>
      <c r="I64" s="358">
        <f t="shared" si="6"/>
        <v>733027.18994572607</v>
      </c>
      <c r="J64" s="181">
        <f t="shared" si="7"/>
        <v>-1461644534.4204998</v>
      </c>
      <c r="K64" s="321">
        <f t="shared" si="2"/>
        <v>212</v>
      </c>
    </row>
    <row r="65" spans="1:11">
      <c r="A65" s="321">
        <f t="shared" si="3"/>
        <v>213</v>
      </c>
      <c r="B65" s="323">
        <f>'1-DRR'!$K$2</f>
        <v>2021</v>
      </c>
      <c r="C65" s="263" t="s">
        <v>84</v>
      </c>
      <c r="D65" s="357">
        <f t="shared" si="8"/>
        <v>2876934.6702170968</v>
      </c>
      <c r="E65" s="357">
        <f t="shared" si="4"/>
        <v>-1448119000.4640825</v>
      </c>
      <c r="F65" s="266">
        <v>31</v>
      </c>
      <c r="G65" s="266">
        <f t="shared" si="5"/>
        <v>62</v>
      </c>
      <c r="H65" s="264">
        <f>G65/G55</f>
        <v>0.16986301369863013</v>
      </c>
      <c r="I65" s="358">
        <f t="shared" si="6"/>
        <v>488684.7932971507</v>
      </c>
      <c r="J65" s="181">
        <f t="shared" si="7"/>
        <v>-1461155849.6272027</v>
      </c>
      <c r="K65" s="321">
        <f t="shared" si="2"/>
        <v>213</v>
      </c>
    </row>
    <row r="66" spans="1:11">
      <c r="A66" s="321">
        <f t="shared" si="3"/>
        <v>214</v>
      </c>
      <c r="B66" s="323">
        <f>'1-DRR'!$K$2</f>
        <v>2021</v>
      </c>
      <c r="C66" s="263" t="s">
        <v>85</v>
      </c>
      <c r="D66" s="357">
        <f t="shared" si="8"/>
        <v>2876934.6702170968</v>
      </c>
      <c r="E66" s="357">
        <f t="shared" si="4"/>
        <v>-1445242065.7938654</v>
      </c>
      <c r="F66" s="266">
        <v>30</v>
      </c>
      <c r="G66" s="266">
        <f>+G67+F67</f>
        <v>32</v>
      </c>
      <c r="H66" s="264">
        <f>G66/G55</f>
        <v>8.7671232876712329E-2</v>
      </c>
      <c r="I66" s="358">
        <f t="shared" si="6"/>
        <v>252224.40944369067</v>
      </c>
      <c r="J66" s="181">
        <f t="shared" si="7"/>
        <v>-1460903625.2177591</v>
      </c>
      <c r="K66" s="321">
        <f t="shared" si="2"/>
        <v>214</v>
      </c>
    </row>
    <row r="67" spans="1:11">
      <c r="A67" s="321">
        <f t="shared" si="3"/>
        <v>215</v>
      </c>
      <c r="B67" s="323">
        <f>'1-DRR'!$K$2</f>
        <v>2021</v>
      </c>
      <c r="C67" s="263" t="s">
        <v>75</v>
      </c>
      <c r="D67" s="357">
        <f t="shared" si="8"/>
        <v>2876934.6702170968</v>
      </c>
      <c r="E67" s="357">
        <f t="shared" si="4"/>
        <v>-1442365131.1236484</v>
      </c>
      <c r="F67" s="266">
        <v>31</v>
      </c>
      <c r="G67" s="267">
        <v>1</v>
      </c>
      <c r="H67" s="264">
        <f>G67/G55</f>
        <v>2.7397260273972603E-3</v>
      </c>
      <c r="I67" s="358">
        <f t="shared" si="6"/>
        <v>7882.0127951153336</v>
      </c>
      <c r="J67" s="454">
        <f t="shared" si="7"/>
        <v>-1460895743.2049639</v>
      </c>
      <c r="K67" s="321">
        <f t="shared" si="2"/>
        <v>215</v>
      </c>
    </row>
    <row r="68" spans="1:11">
      <c r="A68" s="321">
        <f t="shared" si="3"/>
        <v>216</v>
      </c>
      <c r="B68" s="317"/>
      <c r="C68" s="263" t="s">
        <v>126</v>
      </c>
      <c r="D68" s="357"/>
      <c r="E68" s="357">
        <f>C47</f>
        <v>-1442365131.1236477</v>
      </c>
      <c r="F68" s="236"/>
      <c r="G68" s="236"/>
      <c r="H68" s="236"/>
      <c r="I68" s="144"/>
      <c r="J68" s="361"/>
      <c r="K68" s="321">
        <f t="shared" si="2"/>
        <v>216</v>
      </c>
    </row>
    <row r="69" spans="1:11">
      <c r="A69" s="321">
        <f t="shared" si="3"/>
        <v>217</v>
      </c>
      <c r="B69" s="317"/>
      <c r="C69" s="155"/>
      <c r="D69" s="241"/>
      <c r="E69" s="241"/>
      <c r="F69" s="236"/>
      <c r="G69" s="236"/>
      <c r="H69" s="236"/>
      <c r="I69" s="268" t="s">
        <v>403</v>
      </c>
      <c r="J69" s="424">
        <f>+J67</f>
        <v>-1460895743.2049639</v>
      </c>
      <c r="K69" s="321">
        <f t="shared" si="2"/>
        <v>217</v>
      </c>
    </row>
    <row r="70" spans="1:11">
      <c r="K70" s="45"/>
    </row>
    <row r="71" spans="1:11">
      <c r="B71" s="984" t="s">
        <v>854</v>
      </c>
      <c r="C71" s="984"/>
      <c r="D71" s="984"/>
      <c r="E71" s="984"/>
      <c r="F71" s="984"/>
      <c r="G71" s="984"/>
      <c r="H71" s="984"/>
      <c r="I71" s="984"/>
      <c r="J71" s="984"/>
    </row>
    <row r="72" spans="1:11">
      <c r="B72" s="984" t="s">
        <v>855</v>
      </c>
      <c r="C72" s="984"/>
      <c r="D72" s="984"/>
      <c r="E72" s="984"/>
      <c r="F72" s="984"/>
      <c r="G72" s="984"/>
      <c r="H72" s="984"/>
      <c r="I72" s="984"/>
      <c r="J72" s="984"/>
    </row>
  </sheetData>
  <mergeCells count="3">
    <mergeCell ref="N4:T4"/>
    <mergeCell ref="B71:J71"/>
    <mergeCell ref="B72:J72"/>
  </mergeCells>
  <printOptions horizontalCentered="1"/>
  <pageMargins left="1" right="1" top="1" bottom="1" header="0.5" footer="0.5"/>
  <pageSetup scale="49" fitToHeight="0" orientation="landscape" r:id="rId1"/>
  <headerFooter>
    <oddHeader>&amp;C&amp;"-,Bold"&amp;12Pacific Gas and Electric Company
Formula Rate Model
Schedule 17-RegAssets-1</oddHeader>
  </headerFooter>
  <rowBreaks count="1" manualBreakCount="1">
    <brk id="41" max="10" man="1"/>
  </rowBreaks>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C3A94-3EF2-4A3A-BB2A-5F2601930B23}">
  <sheetPr>
    <pageSetUpPr fitToPage="1"/>
  </sheetPr>
  <dimension ref="A1:BI133"/>
  <sheetViews>
    <sheetView view="pageBreakPreview" zoomScale="85" zoomScaleNormal="55" zoomScaleSheetLayoutView="85" zoomScalePageLayoutView="70" workbookViewId="0">
      <selection activeCell="G13" sqref="G13"/>
    </sheetView>
  </sheetViews>
  <sheetFormatPr defaultColWidth="9.140625" defaultRowHeight="12.75"/>
  <cols>
    <col min="1" max="1" width="8.5703125" style="894" bestFit="1" customWidth="1"/>
    <col min="2" max="2" width="48" style="894" customWidth="1"/>
    <col min="3" max="3" width="29.85546875" style="894" customWidth="1"/>
    <col min="4" max="4" width="38.85546875" style="894" customWidth="1"/>
    <col min="5" max="5" width="1.7109375" style="894" customWidth="1"/>
    <col min="6" max="6" width="21" style="894" bestFit="1" customWidth="1"/>
    <col min="7" max="7" width="2.28515625" style="894" customWidth="1"/>
    <col min="8" max="8" width="17.5703125" style="894" bestFit="1" customWidth="1"/>
    <col min="9" max="9" width="1.85546875" style="894" customWidth="1"/>
    <col min="10" max="10" width="19.140625" style="894" customWidth="1"/>
    <col min="11" max="11" width="1.7109375" style="894" customWidth="1"/>
    <col min="12" max="12" width="20.42578125" style="894" bestFit="1" customWidth="1"/>
    <col min="13" max="13" width="1.7109375" style="894" customWidth="1"/>
    <col min="14" max="14" width="23.28515625" style="894" customWidth="1"/>
    <col min="15" max="15" width="1.7109375" style="894" customWidth="1"/>
    <col min="16" max="16" width="22.140625" style="894" customWidth="1"/>
    <col min="17" max="17" width="1.7109375" style="894" customWidth="1"/>
    <col min="18" max="18" width="21" style="894" customWidth="1"/>
    <col min="19" max="19" width="1.7109375" style="894" customWidth="1"/>
    <col min="20" max="20" width="20.42578125" style="894" customWidth="1"/>
    <col min="21" max="21" width="1.7109375" style="894" customWidth="1"/>
    <col min="22" max="22" width="21.28515625" style="894" customWidth="1"/>
    <col min="23" max="23" width="1.7109375" style="894" customWidth="1"/>
    <col min="24" max="24" width="22.42578125" style="894" customWidth="1"/>
    <col min="25" max="25" width="1.7109375" style="894" customWidth="1"/>
    <col min="26" max="26" width="25.85546875" style="894" bestFit="1" customWidth="1"/>
    <col min="27" max="27" width="1.7109375" style="894" customWidth="1"/>
    <col min="28" max="28" width="17.28515625" style="894" customWidth="1"/>
    <col min="29" max="29" width="1.7109375" style="894" customWidth="1"/>
    <col min="30" max="30" width="17.28515625" style="894" customWidth="1"/>
    <col min="31" max="31" width="1.7109375" style="894" customWidth="1"/>
    <col min="32" max="32" width="17.28515625" style="894" customWidth="1"/>
    <col min="33" max="33" width="1.7109375" style="894" customWidth="1"/>
    <col min="34" max="34" width="21.85546875" style="894" bestFit="1" customWidth="1"/>
    <col min="35" max="35" width="1.7109375" style="894" customWidth="1"/>
    <col min="36" max="36" width="21.85546875" style="894" customWidth="1"/>
    <col min="37" max="37" width="1.7109375" style="894" customWidth="1"/>
    <col min="38" max="38" width="21.85546875" style="894" customWidth="1"/>
    <col min="39" max="39" width="1.7109375" style="894" customWidth="1"/>
    <col min="40" max="40" width="21.85546875" style="894" customWidth="1"/>
    <col min="41" max="41" width="1.7109375" style="894" customWidth="1"/>
    <col min="42" max="42" width="21.85546875" style="894" customWidth="1"/>
    <col min="43" max="43" width="1.7109375" style="894" customWidth="1"/>
    <col min="44" max="44" width="17.28515625" style="894" customWidth="1"/>
    <col min="45" max="45" width="1.7109375" style="894" customWidth="1"/>
    <col min="46" max="46" width="17.28515625" style="894" customWidth="1"/>
    <col min="47" max="47" width="1.7109375" style="894" customWidth="1"/>
    <col min="48" max="48" width="17.28515625" style="894" customWidth="1"/>
    <col min="49" max="49" width="1.7109375" style="894" customWidth="1"/>
    <col min="50" max="50" width="30.140625" style="894" customWidth="1"/>
    <col min="51" max="51" width="1.7109375" style="894" customWidth="1"/>
    <col min="52" max="52" width="27.85546875" style="894" customWidth="1"/>
    <col min="53" max="53" width="1.7109375" style="894" customWidth="1"/>
    <col min="54" max="54" width="27.85546875" style="894" customWidth="1"/>
    <col min="55" max="55" width="1.7109375" style="894" customWidth="1"/>
    <col min="56" max="56" width="25.28515625" style="894" customWidth="1"/>
    <col min="57" max="57" width="1.7109375" style="894" customWidth="1"/>
    <col min="58" max="58" width="25.5703125" style="908" customWidth="1"/>
    <col min="59" max="59" width="1.7109375" style="894" customWidth="1"/>
    <col min="60" max="60" width="22.7109375" style="894" bestFit="1" customWidth="1"/>
    <col min="61" max="61" width="7.5703125" style="894" bestFit="1" customWidth="1"/>
    <col min="62" max="16384" width="9.140625" style="894"/>
  </cols>
  <sheetData>
    <row r="1" spans="1:61" ht="15">
      <c r="B1" s="78" t="s">
        <v>1507</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895" t="str">
        <f>CONCATENATE("Prior Year: ",'1-DRR'!$K$2)</f>
        <v>Prior Year: 2021</v>
      </c>
    </row>
    <row r="2" spans="1:61" ht="15">
      <c r="A2" s="78"/>
      <c r="B2" s="453" t="s">
        <v>122</v>
      </c>
      <c r="C2" s="453"/>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row>
    <row r="3" spans="1:61" ht="15">
      <c r="A3" s="410"/>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10"/>
      <c r="AO3" s="410"/>
      <c r="AP3" s="946"/>
      <c r="AQ3" s="946"/>
      <c r="AR3" s="946"/>
      <c r="AS3" s="946"/>
      <c r="AT3" s="946"/>
      <c r="AU3" s="946"/>
      <c r="AV3" s="946"/>
      <c r="AW3" s="410"/>
      <c r="AX3" s="410"/>
      <c r="AY3" s="410"/>
      <c r="AZ3" s="410"/>
      <c r="BA3" s="410"/>
      <c r="BB3" s="410"/>
      <c r="BC3" s="410"/>
      <c r="BD3" s="410"/>
      <c r="BE3" s="410"/>
      <c r="BF3" s="410"/>
      <c r="BG3" s="410"/>
      <c r="BH3" s="410"/>
    </row>
    <row r="4" spans="1:61" ht="12" customHeight="1">
      <c r="J4" s="985" t="s">
        <v>802</v>
      </c>
      <c r="K4" s="985"/>
      <c r="L4" s="985"/>
      <c r="M4" s="985"/>
      <c r="N4" s="985"/>
      <c r="O4" s="896"/>
      <c r="P4" s="897" t="s">
        <v>803</v>
      </c>
      <c r="R4" s="985" t="s">
        <v>804</v>
      </c>
      <c r="S4" s="985"/>
      <c r="T4" s="985"/>
      <c r="U4" s="985"/>
      <c r="V4" s="985"/>
      <c r="Z4" s="898" t="s">
        <v>805</v>
      </c>
      <c r="AH4" s="897" t="s">
        <v>806</v>
      </c>
      <c r="AI4" s="896"/>
      <c r="AJ4" s="985" t="s">
        <v>804</v>
      </c>
      <c r="AK4" s="985"/>
      <c r="AL4" s="985"/>
      <c r="AM4" s="985"/>
      <c r="AN4" s="985"/>
      <c r="AO4" s="896"/>
      <c r="AP4" s="896"/>
      <c r="AX4" s="985" t="s">
        <v>804</v>
      </c>
      <c r="AY4" s="985"/>
      <c r="AZ4" s="985"/>
      <c r="BA4" s="985"/>
      <c r="BB4" s="985"/>
      <c r="BC4" s="896"/>
      <c r="BD4" s="896"/>
      <c r="BF4" s="899"/>
    </row>
    <row r="5" spans="1:61" ht="21" customHeight="1">
      <c r="A5" s="900"/>
      <c r="B5" s="900"/>
      <c r="C5" s="900"/>
      <c r="D5" s="900"/>
      <c r="E5" s="900"/>
      <c r="F5" s="784"/>
      <c r="G5" s="900"/>
      <c r="H5" s="436" t="s">
        <v>1508</v>
      </c>
      <c r="I5" s="900"/>
      <c r="J5" s="436" t="s">
        <v>62</v>
      </c>
      <c r="K5" s="436"/>
      <c r="L5" s="436" t="s">
        <v>63</v>
      </c>
      <c r="M5" s="436"/>
      <c r="N5" s="436" t="s">
        <v>64</v>
      </c>
      <c r="O5" s="436"/>
      <c r="P5" s="436" t="s">
        <v>65</v>
      </c>
      <c r="Q5" s="436"/>
      <c r="R5" s="436" t="s">
        <v>66</v>
      </c>
      <c r="S5" s="436"/>
      <c r="T5" s="436" t="s">
        <v>67</v>
      </c>
      <c r="U5" s="436"/>
      <c r="V5" s="436" t="s">
        <v>68</v>
      </c>
      <c r="W5" s="436"/>
      <c r="X5" s="436" t="s">
        <v>69</v>
      </c>
      <c r="Y5" s="436"/>
      <c r="Z5" s="436" t="s">
        <v>70</v>
      </c>
      <c r="AA5" s="437"/>
      <c r="AB5" s="437" t="s">
        <v>141</v>
      </c>
      <c r="AC5" s="437"/>
      <c r="AD5" s="437" t="s">
        <v>142</v>
      </c>
      <c r="AE5" s="437"/>
      <c r="AF5" s="437" t="s">
        <v>143</v>
      </c>
      <c r="AG5" s="437"/>
      <c r="AH5" s="785" t="s">
        <v>144</v>
      </c>
      <c r="AI5" s="437"/>
      <c r="AJ5" s="437" t="s">
        <v>145</v>
      </c>
      <c r="AK5" s="437"/>
      <c r="AL5" s="437" t="s">
        <v>452</v>
      </c>
      <c r="AM5" s="437"/>
      <c r="AN5" s="437" t="s">
        <v>807</v>
      </c>
      <c r="AO5" s="437"/>
      <c r="AP5" s="437" t="s">
        <v>808</v>
      </c>
      <c r="AQ5" s="437"/>
      <c r="AR5" s="437" t="s">
        <v>865</v>
      </c>
      <c r="AS5" s="437"/>
      <c r="AT5" s="437" t="s">
        <v>866</v>
      </c>
      <c r="AU5" s="437"/>
      <c r="AV5" s="437" t="s">
        <v>867</v>
      </c>
      <c r="AW5" s="437"/>
      <c r="AX5" s="437" t="s">
        <v>868</v>
      </c>
      <c r="AY5" s="437"/>
      <c r="AZ5" s="437" t="s">
        <v>869</v>
      </c>
      <c r="BA5" s="437"/>
      <c r="BB5" s="437" t="s">
        <v>870</v>
      </c>
      <c r="BC5" s="437"/>
      <c r="BD5" s="437" t="s">
        <v>871</v>
      </c>
      <c r="BE5" s="437"/>
      <c r="BF5" s="436" t="s">
        <v>1130</v>
      </c>
      <c r="BG5" s="437"/>
      <c r="BH5" s="900"/>
      <c r="BI5" s="900"/>
    </row>
    <row r="6" spans="1:61" ht="51.75" customHeight="1">
      <c r="A6" s="900"/>
      <c r="B6" s="900"/>
      <c r="C6" s="900"/>
      <c r="D6" s="900"/>
      <c r="E6" s="900"/>
      <c r="F6" s="784"/>
      <c r="G6" s="900"/>
      <c r="H6" s="437"/>
      <c r="I6" s="900"/>
      <c r="J6" s="437"/>
      <c r="K6" s="437"/>
      <c r="L6" s="437"/>
      <c r="M6" s="437"/>
      <c r="N6" s="437" t="s">
        <v>566</v>
      </c>
      <c r="O6" s="437"/>
      <c r="P6" s="437"/>
      <c r="Q6" s="437"/>
      <c r="R6" s="436"/>
      <c r="S6" s="436"/>
      <c r="T6" s="436"/>
      <c r="U6" s="436"/>
      <c r="V6" s="436"/>
      <c r="W6" s="436"/>
      <c r="X6" s="436" t="s">
        <v>861</v>
      </c>
      <c r="Y6" s="437"/>
      <c r="Z6" s="437"/>
      <c r="AA6" s="437"/>
      <c r="AB6" s="986" t="s">
        <v>1509</v>
      </c>
      <c r="AC6" s="986"/>
      <c r="AD6" s="986"/>
      <c r="AE6" s="986"/>
      <c r="AF6" s="986"/>
      <c r="AG6" s="437"/>
      <c r="AH6" s="437"/>
      <c r="AI6" s="437"/>
      <c r="AJ6" s="437" t="s">
        <v>860</v>
      </c>
      <c r="AK6" s="437"/>
      <c r="AL6" s="437" t="s">
        <v>862</v>
      </c>
      <c r="AM6" s="437"/>
      <c r="AN6" s="437" t="s">
        <v>863</v>
      </c>
      <c r="AO6" s="437"/>
      <c r="AP6" s="437" t="s">
        <v>864</v>
      </c>
      <c r="AQ6" s="437"/>
      <c r="AR6" s="986" t="s">
        <v>1510</v>
      </c>
      <c r="AS6" s="986"/>
      <c r="AT6" s="986"/>
      <c r="AU6" s="986"/>
      <c r="AV6" s="986"/>
      <c r="AW6" s="437"/>
      <c r="AX6" s="437" t="s">
        <v>872</v>
      </c>
      <c r="AY6" s="437"/>
      <c r="AZ6" s="437" t="s">
        <v>873</v>
      </c>
      <c r="BA6" s="437"/>
      <c r="BB6" s="437" t="s">
        <v>874</v>
      </c>
      <c r="BC6" s="437"/>
      <c r="BD6" s="437" t="s">
        <v>875</v>
      </c>
      <c r="BE6" s="437"/>
      <c r="BF6" s="786" t="s">
        <v>1511</v>
      </c>
      <c r="BG6" s="437"/>
      <c r="BH6" s="900"/>
      <c r="BI6" s="900"/>
    </row>
    <row r="7" spans="1:61" ht="31.5" customHeight="1">
      <c r="B7" s="438"/>
      <c r="C7" s="438"/>
      <c r="D7" s="438"/>
      <c r="E7" s="438"/>
      <c r="F7" s="440" t="s">
        <v>1512</v>
      </c>
      <c r="G7" s="438"/>
      <c r="H7" s="439" t="s">
        <v>1513</v>
      </c>
      <c r="I7" s="438"/>
      <c r="J7" s="439" t="s">
        <v>809</v>
      </c>
      <c r="K7" s="438"/>
      <c r="L7" s="439" t="s">
        <v>810</v>
      </c>
      <c r="M7" s="438"/>
      <c r="N7" s="786" t="s">
        <v>1514</v>
      </c>
      <c r="O7" s="440"/>
      <c r="P7" s="440" t="s">
        <v>186</v>
      </c>
      <c r="Q7" s="438"/>
      <c r="R7" s="987" t="s">
        <v>1515</v>
      </c>
      <c r="S7" s="987"/>
      <c r="T7" s="987"/>
      <c r="U7" s="987"/>
      <c r="V7" s="987"/>
      <c r="W7" s="987"/>
      <c r="X7" s="987"/>
      <c r="Y7" s="439"/>
      <c r="Z7" s="439"/>
      <c r="AA7" s="439"/>
      <c r="AB7" s="439" t="s">
        <v>125</v>
      </c>
      <c r="AC7" s="439"/>
      <c r="AD7" s="439" t="s">
        <v>125</v>
      </c>
      <c r="AE7" s="439"/>
      <c r="AF7" s="439" t="s">
        <v>125</v>
      </c>
      <c r="AG7" s="439"/>
      <c r="AH7" s="439" t="s">
        <v>186</v>
      </c>
      <c r="AI7" s="439"/>
      <c r="AJ7" s="987" t="s">
        <v>1516</v>
      </c>
      <c r="AK7" s="987"/>
      <c r="AL7" s="987"/>
      <c r="AM7" s="987"/>
      <c r="AN7" s="987"/>
      <c r="AO7" s="987"/>
      <c r="AP7" s="987"/>
      <c r="AQ7" s="439"/>
      <c r="AR7" s="439" t="s">
        <v>125</v>
      </c>
      <c r="AS7" s="439"/>
      <c r="AT7" s="439" t="s">
        <v>125</v>
      </c>
      <c r="AU7" s="439"/>
      <c r="AV7" s="439" t="s">
        <v>125</v>
      </c>
      <c r="AW7" s="439"/>
      <c r="AX7" s="987" t="s">
        <v>1517</v>
      </c>
      <c r="AY7" s="987"/>
      <c r="AZ7" s="987"/>
      <c r="BA7" s="987"/>
      <c r="BB7" s="987"/>
      <c r="BC7" s="987"/>
      <c r="BD7" s="987"/>
      <c r="BE7" s="439"/>
      <c r="BF7" s="786" t="s">
        <v>1514</v>
      </c>
      <c r="BG7" s="439"/>
      <c r="BH7" s="438"/>
    </row>
    <row r="8" spans="1:61" ht="12.75" customHeight="1">
      <c r="B8" s="438"/>
      <c r="C8" s="438"/>
      <c r="D8" s="438"/>
      <c r="E8" s="438"/>
      <c r="F8" s="440" t="s">
        <v>811</v>
      </c>
      <c r="G8" s="438"/>
      <c r="H8" s="439" t="s">
        <v>1518</v>
      </c>
      <c r="I8" s="438"/>
      <c r="J8" s="439" t="s">
        <v>812</v>
      </c>
      <c r="K8" s="438"/>
      <c r="L8" s="439" t="s">
        <v>813</v>
      </c>
      <c r="M8" s="438"/>
      <c r="N8" s="440" t="s">
        <v>1519</v>
      </c>
      <c r="O8" s="440"/>
      <c r="P8" s="440" t="s">
        <v>811</v>
      </c>
      <c r="Q8" s="438"/>
      <c r="R8" s="439" t="s">
        <v>814</v>
      </c>
      <c r="S8" s="439"/>
      <c r="T8" s="439" t="s">
        <v>814</v>
      </c>
      <c r="U8" s="439"/>
      <c r="V8" s="439" t="s">
        <v>814</v>
      </c>
      <c r="W8" s="439"/>
      <c r="X8" s="439"/>
      <c r="Y8" s="439"/>
      <c r="Z8" s="439" t="s">
        <v>125</v>
      </c>
      <c r="AA8" s="439"/>
      <c r="AB8" s="439" t="s">
        <v>565</v>
      </c>
      <c r="AC8" s="439"/>
      <c r="AD8" s="439" t="s">
        <v>565</v>
      </c>
      <c r="AE8" s="439"/>
      <c r="AF8" s="439" t="s">
        <v>565</v>
      </c>
      <c r="AG8" s="439"/>
      <c r="AH8" s="439" t="s">
        <v>815</v>
      </c>
      <c r="AI8" s="439"/>
      <c r="AJ8" s="439" t="s">
        <v>816</v>
      </c>
      <c r="AK8" s="439"/>
      <c r="AL8" s="439" t="s">
        <v>816</v>
      </c>
      <c r="AM8" s="439"/>
      <c r="AN8" s="439" t="s">
        <v>816</v>
      </c>
      <c r="AO8" s="439"/>
      <c r="AP8" s="439"/>
      <c r="AQ8" s="439"/>
      <c r="AR8" s="439" t="s">
        <v>565</v>
      </c>
      <c r="AS8" s="439"/>
      <c r="AT8" s="439" t="s">
        <v>565</v>
      </c>
      <c r="AU8" s="439"/>
      <c r="AV8" s="439" t="s">
        <v>565</v>
      </c>
      <c r="AW8" s="439"/>
      <c r="AX8" s="439" t="s">
        <v>816</v>
      </c>
      <c r="AY8" s="439"/>
      <c r="AZ8" s="439" t="s">
        <v>816</v>
      </c>
      <c r="BA8" s="439"/>
      <c r="BB8" s="439" t="s">
        <v>816</v>
      </c>
      <c r="BC8" s="439"/>
      <c r="BD8" s="439"/>
      <c r="BE8" s="439"/>
      <c r="BF8" s="901" t="s">
        <v>1520</v>
      </c>
      <c r="BG8" s="439"/>
      <c r="BH8" s="438"/>
    </row>
    <row r="9" spans="1:61" ht="15">
      <c r="A9" s="437"/>
      <c r="B9" s="900"/>
      <c r="C9" s="900"/>
      <c r="D9" s="900"/>
      <c r="E9" s="900"/>
      <c r="F9" s="440" t="s">
        <v>819</v>
      </c>
      <c r="G9" s="900"/>
      <c r="H9" s="439" t="s">
        <v>1521</v>
      </c>
      <c r="I9" s="900"/>
      <c r="J9" s="902" t="s">
        <v>817</v>
      </c>
      <c r="K9" s="900"/>
      <c r="L9" s="902" t="s">
        <v>818</v>
      </c>
      <c r="M9" s="900"/>
      <c r="N9" s="784" t="s">
        <v>100</v>
      </c>
      <c r="O9" s="784"/>
      <c r="P9" s="784" t="s">
        <v>819</v>
      </c>
      <c r="Q9" s="900"/>
      <c r="R9" s="439" t="s">
        <v>820</v>
      </c>
      <c r="S9" s="439"/>
      <c r="T9" s="437" t="s">
        <v>821</v>
      </c>
      <c r="U9" s="437"/>
      <c r="V9" s="441" t="s">
        <v>821</v>
      </c>
      <c r="W9" s="441"/>
      <c r="X9" s="441" t="s">
        <v>814</v>
      </c>
      <c r="Y9" s="441"/>
      <c r="Z9" s="441" t="s">
        <v>822</v>
      </c>
      <c r="AA9" s="441"/>
      <c r="AB9" s="439" t="s">
        <v>820</v>
      </c>
      <c r="AC9" s="439"/>
      <c r="AD9" s="437" t="s">
        <v>821</v>
      </c>
      <c r="AE9" s="437"/>
      <c r="AF9" s="441" t="s">
        <v>821</v>
      </c>
      <c r="AG9" s="441"/>
      <c r="AH9" s="441" t="s">
        <v>823</v>
      </c>
      <c r="AI9" s="441"/>
      <c r="AJ9" s="439" t="s">
        <v>820</v>
      </c>
      <c r="AK9" s="439"/>
      <c r="AL9" s="437" t="s">
        <v>821</v>
      </c>
      <c r="AM9" s="437"/>
      <c r="AN9" s="441" t="s">
        <v>821</v>
      </c>
      <c r="AO9" s="441"/>
      <c r="AP9" s="441" t="s">
        <v>816</v>
      </c>
      <c r="AQ9" s="441"/>
      <c r="AR9" s="439" t="s">
        <v>820</v>
      </c>
      <c r="AS9" s="439"/>
      <c r="AT9" s="437" t="s">
        <v>821</v>
      </c>
      <c r="AU9" s="437"/>
      <c r="AV9" s="441" t="s">
        <v>821</v>
      </c>
      <c r="AW9" s="441"/>
      <c r="AX9" s="439" t="s">
        <v>820</v>
      </c>
      <c r="AY9" s="439"/>
      <c r="AZ9" s="437" t="s">
        <v>821</v>
      </c>
      <c r="BA9" s="437"/>
      <c r="BB9" s="441" t="s">
        <v>821</v>
      </c>
      <c r="BC9" s="441"/>
      <c r="BD9" s="441" t="s">
        <v>816</v>
      </c>
      <c r="BE9" s="441"/>
      <c r="BF9" s="903" t="s">
        <v>1522</v>
      </c>
      <c r="BG9" s="441"/>
      <c r="BH9" s="437"/>
      <c r="BI9" s="437"/>
    </row>
    <row r="10" spans="1:61" ht="15.75" thickBot="1">
      <c r="A10" s="787" t="s">
        <v>86</v>
      </c>
      <c r="B10" s="904" t="s">
        <v>358</v>
      </c>
      <c r="C10" s="904"/>
      <c r="D10" s="904"/>
      <c r="E10" s="904"/>
      <c r="F10" s="445" t="s">
        <v>344</v>
      </c>
      <c r="G10" s="904"/>
      <c r="H10" s="905">
        <v>43100</v>
      </c>
      <c r="I10" s="904"/>
      <c r="J10" s="905">
        <v>43100</v>
      </c>
      <c r="K10" s="904"/>
      <c r="L10" s="905">
        <v>43100</v>
      </c>
      <c r="M10" s="904"/>
      <c r="N10" s="905">
        <v>43100</v>
      </c>
      <c r="O10" s="905"/>
      <c r="P10" s="905" t="s">
        <v>824</v>
      </c>
      <c r="Q10" s="904"/>
      <c r="R10" s="442" t="s">
        <v>825</v>
      </c>
      <c r="S10" s="442"/>
      <c r="T10" s="443" t="s">
        <v>825</v>
      </c>
      <c r="U10" s="443"/>
      <c r="V10" s="444" t="s">
        <v>826</v>
      </c>
      <c r="W10" s="444"/>
      <c r="X10" s="444" t="s">
        <v>827</v>
      </c>
      <c r="Y10" s="444"/>
      <c r="Z10" s="444" t="s">
        <v>828</v>
      </c>
      <c r="AA10" s="444"/>
      <c r="AB10" s="442" t="s">
        <v>825</v>
      </c>
      <c r="AC10" s="442"/>
      <c r="AD10" s="443" t="s">
        <v>825</v>
      </c>
      <c r="AE10" s="443"/>
      <c r="AF10" s="444" t="s">
        <v>826</v>
      </c>
      <c r="AG10" s="444"/>
      <c r="AH10" s="444" t="s">
        <v>829</v>
      </c>
      <c r="AI10" s="444"/>
      <c r="AJ10" s="442" t="s">
        <v>825</v>
      </c>
      <c r="AK10" s="442"/>
      <c r="AL10" s="443" t="s">
        <v>825</v>
      </c>
      <c r="AM10" s="443"/>
      <c r="AN10" s="444" t="s">
        <v>826</v>
      </c>
      <c r="AO10" s="444"/>
      <c r="AP10" s="444" t="s">
        <v>827</v>
      </c>
      <c r="AQ10" s="444"/>
      <c r="AR10" s="442" t="s">
        <v>825</v>
      </c>
      <c r="AS10" s="442"/>
      <c r="AT10" s="443" t="s">
        <v>825</v>
      </c>
      <c r="AU10" s="443"/>
      <c r="AV10" s="444" t="s">
        <v>826</v>
      </c>
      <c r="AW10" s="444"/>
      <c r="AX10" s="442" t="s">
        <v>825</v>
      </c>
      <c r="AY10" s="442"/>
      <c r="AZ10" s="443" t="s">
        <v>825</v>
      </c>
      <c r="BA10" s="443"/>
      <c r="BB10" s="444" t="s">
        <v>826</v>
      </c>
      <c r="BC10" s="444"/>
      <c r="BD10" s="444" t="s">
        <v>827</v>
      </c>
      <c r="BE10" s="444"/>
      <c r="BF10" s="906">
        <f>1/(1-(0.21+0.0884-(0.21*0.0884)))</f>
        <v>1.3885726029071155</v>
      </c>
      <c r="BG10" s="444"/>
      <c r="BH10" s="445" t="s">
        <v>158</v>
      </c>
      <c r="BI10" s="907" t="s">
        <v>86</v>
      </c>
    </row>
    <row r="11" spans="1:61" ht="15">
      <c r="A11" s="437"/>
      <c r="B11" s="900"/>
      <c r="C11" s="900"/>
      <c r="D11" s="900"/>
      <c r="E11" s="900"/>
      <c r="F11" s="784"/>
      <c r="G11" s="900"/>
      <c r="H11" s="900"/>
      <c r="I11" s="900"/>
      <c r="J11" s="900"/>
      <c r="K11" s="900"/>
      <c r="L11" s="900"/>
      <c r="M11" s="900"/>
      <c r="N11" s="900"/>
      <c r="O11" s="900"/>
      <c r="P11" s="900"/>
      <c r="Q11" s="900"/>
      <c r="R11" s="439"/>
      <c r="S11" s="439"/>
      <c r="T11" s="446"/>
      <c r="U11" s="446"/>
      <c r="V11" s="447"/>
      <c r="W11" s="447"/>
      <c r="X11" s="447"/>
      <c r="Y11" s="447"/>
      <c r="Z11" s="447"/>
      <c r="AA11" s="447"/>
      <c r="AB11" s="447"/>
      <c r="AC11" s="447"/>
      <c r="AD11" s="447"/>
      <c r="AE11" s="447"/>
      <c r="AF11" s="447"/>
      <c r="AG11" s="447"/>
      <c r="AH11" s="447"/>
      <c r="AI11" s="447"/>
      <c r="AJ11" s="447"/>
      <c r="AK11" s="447"/>
      <c r="AL11" s="447"/>
      <c r="AM11" s="447"/>
      <c r="AN11" s="447"/>
      <c r="AO11" s="447"/>
      <c r="AP11" s="447"/>
      <c r="AQ11" s="447"/>
      <c r="AR11" s="447"/>
      <c r="AS11" s="447"/>
      <c r="AT11" s="447"/>
      <c r="AU11" s="447"/>
      <c r="AV11" s="447"/>
      <c r="AW11" s="447"/>
      <c r="AX11" s="447"/>
      <c r="AY11" s="447"/>
      <c r="AZ11" s="447"/>
      <c r="BA11" s="447"/>
      <c r="BB11" s="447"/>
      <c r="BC11" s="447"/>
      <c r="BD11" s="447"/>
      <c r="BE11" s="447"/>
      <c r="BG11" s="447"/>
      <c r="BH11" s="437"/>
      <c r="BI11" s="437"/>
    </row>
    <row r="12" spans="1:61" ht="15">
      <c r="A12" s="437">
        <v>100</v>
      </c>
      <c r="B12" s="900" t="s">
        <v>830</v>
      </c>
      <c r="C12" s="900"/>
      <c r="D12" s="900" t="s">
        <v>1523</v>
      </c>
      <c r="E12" s="900"/>
      <c r="F12" s="784" t="s">
        <v>1524</v>
      </c>
      <c r="G12" s="900"/>
      <c r="H12" s="448">
        <f>+H25</f>
        <v>-10466951654</v>
      </c>
      <c r="I12" s="900"/>
      <c r="J12" s="448">
        <f>+J25</f>
        <v>-3663433079</v>
      </c>
      <c r="K12" s="900"/>
      <c r="L12" s="448">
        <f>+L25</f>
        <v>-2361016151</v>
      </c>
      <c r="M12" s="900"/>
      <c r="N12" s="448">
        <f>+N25</f>
        <v>-1302433382</v>
      </c>
      <c r="O12" s="900"/>
      <c r="P12" s="784" t="s">
        <v>845</v>
      </c>
      <c r="Q12" s="900"/>
      <c r="R12" s="448">
        <f>R25</f>
        <v>-1302433382</v>
      </c>
      <c r="S12" s="448"/>
      <c r="T12" s="448">
        <f>T25</f>
        <v>0</v>
      </c>
      <c r="U12" s="448"/>
      <c r="V12" s="448">
        <f>V25</f>
        <v>0</v>
      </c>
      <c r="W12" s="448"/>
      <c r="X12" s="448">
        <f>SUM(R12:V12)</f>
        <v>-1302433382</v>
      </c>
      <c r="Y12" s="448"/>
      <c r="Z12" s="449" t="s">
        <v>831</v>
      </c>
      <c r="AA12" s="448"/>
      <c r="AB12" s="448">
        <f>AB25</f>
        <v>-96271801.571397573</v>
      </c>
      <c r="AC12" s="448"/>
      <c r="AD12" s="448">
        <f>AD25</f>
        <v>0</v>
      </c>
      <c r="AE12" s="448"/>
      <c r="AF12" s="448">
        <f>AF25</f>
        <v>0</v>
      </c>
      <c r="AG12" s="448"/>
      <c r="AH12" s="784" t="s">
        <v>856</v>
      </c>
      <c r="AI12" s="448"/>
      <c r="AJ12" s="448">
        <f>AJ25</f>
        <v>-1206161579.9655685</v>
      </c>
      <c r="AK12" s="448"/>
      <c r="AL12" s="448">
        <f>AL25</f>
        <v>0</v>
      </c>
      <c r="AM12" s="448"/>
      <c r="AN12" s="448">
        <f>AN25</f>
        <v>0</v>
      </c>
      <c r="AO12" s="448"/>
      <c r="AP12" s="448">
        <f>SUM(AJ12:AN12)</f>
        <v>-1206161579.9655685</v>
      </c>
      <c r="AQ12" s="448"/>
      <c r="AR12" s="448">
        <f>AR25</f>
        <v>-36026105.702906027</v>
      </c>
      <c r="AS12" s="448"/>
      <c r="AT12" s="448">
        <f>AT25</f>
        <v>0</v>
      </c>
      <c r="AU12" s="448"/>
      <c r="AV12" s="448">
        <f>AV25</f>
        <v>0</v>
      </c>
      <c r="AW12" s="448"/>
      <c r="AX12" s="448">
        <f>AX25</f>
        <v>-1170135474.2626624</v>
      </c>
      <c r="AY12" s="448"/>
      <c r="AZ12" s="448">
        <f>AZ25</f>
        <v>0</v>
      </c>
      <c r="BA12" s="448"/>
      <c r="BB12" s="448">
        <f>BB25</f>
        <v>0</v>
      </c>
      <c r="BC12" s="448"/>
      <c r="BD12" s="448">
        <f>SUM(AX12:BB12)</f>
        <v>-1170135474.2626624</v>
      </c>
      <c r="BE12" s="448"/>
      <c r="BF12" s="448">
        <f>BF25</f>
        <v>-1624818061</v>
      </c>
      <c r="BG12" s="448"/>
      <c r="BH12" s="437"/>
      <c r="BI12" s="437">
        <f t="shared" ref="BI12:BI16" si="0">A12</f>
        <v>100</v>
      </c>
    </row>
    <row r="13" spans="1:61" ht="15">
      <c r="A13" s="437">
        <f>A12+1</f>
        <v>101</v>
      </c>
      <c r="B13" s="900" t="s">
        <v>832</v>
      </c>
      <c r="C13" s="900"/>
      <c r="D13" s="900" t="s">
        <v>1526</v>
      </c>
      <c r="E13" s="900"/>
      <c r="F13" s="784" t="s">
        <v>1524</v>
      </c>
      <c r="G13" s="900"/>
      <c r="H13" s="448">
        <f>+H34</f>
        <v>-6537338076</v>
      </c>
      <c r="I13" s="900"/>
      <c r="J13" s="448">
        <f>+J34</f>
        <v>-967358790</v>
      </c>
      <c r="K13" s="900"/>
      <c r="L13" s="448">
        <f>+L34</f>
        <v>-577410203</v>
      </c>
      <c r="M13" s="900"/>
      <c r="N13" s="448">
        <f>+N34</f>
        <v>-389961967</v>
      </c>
      <c r="O13" s="900"/>
      <c r="P13" s="784" t="s">
        <v>845</v>
      </c>
      <c r="Q13" s="900"/>
      <c r="R13" s="448">
        <f>R34</f>
        <v>143301951</v>
      </c>
      <c r="S13" s="448"/>
      <c r="T13" s="448">
        <f>T34</f>
        <v>-533263918</v>
      </c>
      <c r="U13" s="448"/>
      <c r="V13" s="448">
        <f>V34</f>
        <v>0</v>
      </c>
      <c r="W13" s="448"/>
      <c r="X13" s="448">
        <f t="shared" ref="X13:X15" si="1">SUM(R13:V13)</f>
        <v>-389961967</v>
      </c>
      <c r="Y13" s="448"/>
      <c r="Z13" s="449" t="s">
        <v>1527</v>
      </c>
      <c r="AA13" s="448"/>
      <c r="AB13" s="448">
        <f>AB34</f>
        <v>31542348.201684125</v>
      </c>
      <c r="AC13" s="448"/>
      <c r="AD13" s="448">
        <f>AD34</f>
        <v>-39417200.751207225</v>
      </c>
      <c r="AE13" s="448"/>
      <c r="AF13" s="448">
        <f>AF34</f>
        <v>0</v>
      </c>
      <c r="AG13" s="448"/>
      <c r="AH13" s="784" t="s">
        <v>856</v>
      </c>
      <c r="AI13" s="448"/>
      <c r="AJ13" s="448">
        <f>AJ34</f>
        <v>111759602.79695471</v>
      </c>
      <c r="AK13" s="448"/>
      <c r="AL13" s="448">
        <f>AL34</f>
        <v>-493846716.89575255</v>
      </c>
      <c r="AM13" s="448"/>
      <c r="AN13" s="448">
        <f>AN34</f>
        <v>0</v>
      </c>
      <c r="AO13" s="448"/>
      <c r="AP13" s="448">
        <f t="shared" ref="AP13:AP15" si="2">SUM(AJ13:AN13)</f>
        <v>-382087114.09879786</v>
      </c>
      <c r="AQ13" s="448"/>
      <c r="AR13" s="448">
        <f>AR34</f>
        <v>13877289.495001504</v>
      </c>
      <c r="AS13" s="448"/>
      <c r="AT13" s="448">
        <f>AT34</f>
        <v>-14750406.853601253</v>
      </c>
      <c r="AU13" s="448"/>
      <c r="AV13" s="448">
        <f>AV34</f>
        <v>0</v>
      </c>
      <c r="AW13" s="448"/>
      <c r="AX13" s="448">
        <f>AX34</f>
        <v>97882313.301953197</v>
      </c>
      <c r="AY13" s="448"/>
      <c r="AZ13" s="448">
        <f>AZ34</f>
        <v>-479096310.04215127</v>
      </c>
      <c r="BA13" s="448"/>
      <c r="BB13" s="448">
        <f>BB34</f>
        <v>0</v>
      </c>
      <c r="BC13" s="448"/>
      <c r="BD13" s="448">
        <f t="shared" ref="BD13:BD15" si="3">SUM(AX13:BB13)</f>
        <v>-381213996.74019808</v>
      </c>
      <c r="BE13" s="448"/>
      <c r="BF13" s="448">
        <f>BF34</f>
        <v>-529343312</v>
      </c>
      <c r="BG13" s="448"/>
      <c r="BH13" s="437"/>
      <c r="BI13" s="437">
        <f t="shared" si="0"/>
        <v>101</v>
      </c>
    </row>
    <row r="14" spans="1:61" ht="15">
      <c r="A14" s="437">
        <f t="shared" ref="A14" si="4">+A13+1</f>
        <v>102</v>
      </c>
      <c r="B14" s="900" t="s">
        <v>833</v>
      </c>
      <c r="C14" s="900"/>
      <c r="D14" s="900" t="s">
        <v>1528</v>
      </c>
      <c r="E14" s="900"/>
      <c r="F14" s="784" t="s">
        <v>1529</v>
      </c>
      <c r="G14" s="900"/>
      <c r="H14" s="448">
        <f>+H94</f>
        <v>93137648</v>
      </c>
      <c r="I14" s="900"/>
      <c r="J14" s="448">
        <f>+J94</f>
        <v>19293379</v>
      </c>
      <c r="K14" s="900"/>
      <c r="L14" s="448">
        <f>+L94</f>
        <v>11576713</v>
      </c>
      <c r="M14" s="900"/>
      <c r="N14" s="448">
        <f>+N94</f>
        <v>7716800</v>
      </c>
      <c r="O14" s="900"/>
      <c r="P14" s="784" t="s">
        <v>1530</v>
      </c>
      <c r="Q14" s="900"/>
      <c r="R14" s="448">
        <f>R94</f>
        <v>0</v>
      </c>
      <c r="S14" s="448"/>
      <c r="T14" s="448">
        <f>T94</f>
        <v>0</v>
      </c>
      <c r="U14" s="448"/>
      <c r="V14" s="448">
        <f>V94</f>
        <v>7716800</v>
      </c>
      <c r="W14" s="448"/>
      <c r="X14" s="448">
        <f>SUM(R14:V14)</f>
        <v>7716800</v>
      </c>
      <c r="Y14" s="448"/>
      <c r="Z14" s="449" t="s">
        <v>1527</v>
      </c>
      <c r="AA14" s="448"/>
      <c r="AB14" s="448">
        <f>AB94</f>
        <v>0</v>
      </c>
      <c r="AC14" s="448"/>
      <c r="AD14" s="448">
        <f>AD94</f>
        <v>0</v>
      </c>
      <c r="AE14" s="448"/>
      <c r="AF14" s="448">
        <f>AF94</f>
        <v>6015457.8759244867</v>
      </c>
      <c r="AG14" s="448"/>
      <c r="AH14" s="784" t="s">
        <v>1531</v>
      </c>
      <c r="AI14" s="448"/>
      <c r="AJ14" s="448">
        <f>AJ94</f>
        <v>0</v>
      </c>
      <c r="AK14" s="448"/>
      <c r="AL14" s="448">
        <f>AL94</f>
        <v>0</v>
      </c>
      <c r="AM14" s="448"/>
      <c r="AN14" s="448">
        <f>AN94</f>
        <v>1701342.2679340818</v>
      </c>
      <c r="AO14" s="448"/>
      <c r="AP14" s="448">
        <f t="shared" si="2"/>
        <v>1701342.2679340818</v>
      </c>
      <c r="AQ14" s="448"/>
      <c r="AR14" s="448">
        <f>AR94</f>
        <v>0</v>
      </c>
      <c r="AS14" s="448"/>
      <c r="AT14" s="448">
        <f>AT94</f>
        <v>0</v>
      </c>
      <c r="AU14" s="448"/>
      <c r="AV14" s="448">
        <f>AV94</f>
        <v>50816.356116388662</v>
      </c>
      <c r="AW14" s="448"/>
      <c r="AX14" s="448">
        <f>AX94</f>
        <v>0</v>
      </c>
      <c r="AY14" s="448"/>
      <c r="AZ14" s="448">
        <f>AZ94</f>
        <v>0</v>
      </c>
      <c r="BA14" s="448"/>
      <c r="BB14" s="448">
        <f>BB94</f>
        <v>1650525.9118176927</v>
      </c>
      <c r="BC14" s="448"/>
      <c r="BD14" s="448">
        <f t="shared" si="3"/>
        <v>1650525.9118176927</v>
      </c>
      <c r="BE14" s="448"/>
      <c r="BF14" s="448">
        <f>BF94</f>
        <v>2291875</v>
      </c>
      <c r="BG14" s="448"/>
      <c r="BH14" s="437"/>
      <c r="BI14" s="437">
        <f t="shared" si="0"/>
        <v>102</v>
      </c>
    </row>
    <row r="15" spans="1:61" ht="15">
      <c r="A15" s="437">
        <f>+A14+1</f>
        <v>103</v>
      </c>
      <c r="B15" s="900" t="s">
        <v>834</v>
      </c>
      <c r="C15" s="900" t="s">
        <v>835</v>
      </c>
      <c r="D15" s="900" t="s">
        <v>1532</v>
      </c>
      <c r="E15" s="900"/>
      <c r="F15" s="784" t="s">
        <v>1533</v>
      </c>
      <c r="G15" s="900"/>
      <c r="H15" s="450">
        <f>+H108</f>
        <v>-83282905</v>
      </c>
      <c r="I15" s="900"/>
      <c r="J15" s="450">
        <f>+J108</f>
        <v>434750466</v>
      </c>
      <c r="K15" s="900"/>
      <c r="L15" s="450">
        <f>+L108</f>
        <v>260850280</v>
      </c>
      <c r="M15" s="900"/>
      <c r="N15" s="450">
        <f>+N108</f>
        <v>173900186</v>
      </c>
      <c r="O15" s="900"/>
      <c r="P15" s="784" t="s">
        <v>1530</v>
      </c>
      <c r="Q15" s="900"/>
      <c r="R15" s="450">
        <f>R108</f>
        <v>173900186</v>
      </c>
      <c r="S15" s="450"/>
      <c r="T15" s="450">
        <f t="shared" ref="T15" si="5">T108</f>
        <v>0</v>
      </c>
      <c r="U15" s="450"/>
      <c r="V15" s="450">
        <f t="shared" ref="V15" si="6">V108</f>
        <v>0</v>
      </c>
      <c r="W15" s="450"/>
      <c r="X15" s="450">
        <f t="shared" si="1"/>
        <v>173900186</v>
      </c>
      <c r="Y15" s="448"/>
      <c r="Z15" s="449" t="s">
        <v>831</v>
      </c>
      <c r="AA15" s="448"/>
      <c r="AB15" s="450">
        <f>AB108</f>
        <v>12326933.935202882</v>
      </c>
      <c r="AC15" s="450"/>
      <c r="AD15" s="450">
        <f t="shared" ref="AD15:AF15" si="7">AD108</f>
        <v>0</v>
      </c>
      <c r="AE15" s="450"/>
      <c r="AF15" s="450">
        <f t="shared" si="7"/>
        <v>0</v>
      </c>
      <c r="AG15" s="448"/>
      <c r="AH15" s="784" t="s">
        <v>1531</v>
      </c>
      <c r="AI15" s="448"/>
      <c r="AJ15" s="450">
        <f>AJ108</f>
        <v>161573252.51337314</v>
      </c>
      <c r="AK15" s="450"/>
      <c r="AL15" s="450">
        <f t="shared" ref="AL15" si="8">AL108</f>
        <v>0</v>
      </c>
      <c r="AM15" s="450"/>
      <c r="AN15" s="450">
        <f t="shared" ref="AN15" si="9">AN108</f>
        <v>0</v>
      </c>
      <c r="AO15" s="450"/>
      <c r="AP15" s="450">
        <f t="shared" si="2"/>
        <v>161573252.51337314</v>
      </c>
      <c r="AQ15" s="448"/>
      <c r="AR15" s="450">
        <f>AR108</f>
        <v>3875785.7180344383</v>
      </c>
      <c r="AS15" s="450"/>
      <c r="AT15" s="450">
        <f t="shared" ref="AT15:AV15" si="10">AT108</f>
        <v>0</v>
      </c>
      <c r="AU15" s="450"/>
      <c r="AV15" s="450">
        <f t="shared" si="10"/>
        <v>0</v>
      </c>
      <c r="AW15" s="448"/>
      <c r="AX15" s="450">
        <f>AX108</f>
        <v>157697466.79533869</v>
      </c>
      <c r="AY15" s="450"/>
      <c r="AZ15" s="450">
        <f t="shared" ref="AZ15" si="11">AZ108</f>
        <v>0</v>
      </c>
      <c r="BA15" s="450"/>
      <c r="BB15" s="450">
        <f t="shared" ref="BB15" si="12">BB108</f>
        <v>0</v>
      </c>
      <c r="BC15" s="450"/>
      <c r="BD15" s="450">
        <f t="shared" si="3"/>
        <v>157697466.79533869</v>
      </c>
      <c r="BE15" s="448"/>
      <c r="BF15" s="450">
        <f t="shared" ref="BF15" si="13">BF108</f>
        <v>218974382</v>
      </c>
      <c r="BG15" s="448"/>
      <c r="BH15" s="437"/>
      <c r="BI15" s="437">
        <f t="shared" si="0"/>
        <v>103</v>
      </c>
    </row>
    <row r="16" spans="1:61" ht="15">
      <c r="A16" s="437">
        <f>+A15+1</f>
        <v>104</v>
      </c>
      <c r="B16" s="900" t="s">
        <v>196</v>
      </c>
      <c r="C16" s="900"/>
      <c r="D16" s="437"/>
      <c r="E16" s="437"/>
      <c r="F16" s="437"/>
      <c r="G16" s="437"/>
      <c r="H16" s="909">
        <f>SUM(H12:H15)</f>
        <v>-16994434987</v>
      </c>
      <c r="I16" s="437"/>
      <c r="J16" s="909">
        <f>SUM(J12:J15)</f>
        <v>-4176748024</v>
      </c>
      <c r="K16" s="437"/>
      <c r="L16" s="909">
        <f>SUM(L12:L15)</f>
        <v>-2665999361</v>
      </c>
      <c r="M16" s="437"/>
      <c r="N16" s="909">
        <f>SUM(N12:N15)</f>
        <v>-1510778363</v>
      </c>
      <c r="O16" s="437"/>
      <c r="P16" s="784"/>
      <c r="Q16" s="437"/>
      <c r="R16" s="909">
        <f>SUM(R12:R15)</f>
        <v>-985231245</v>
      </c>
      <c r="S16" s="909"/>
      <c r="T16" s="909">
        <f>SUM(T12:T15)</f>
        <v>-533263918</v>
      </c>
      <c r="U16" s="909"/>
      <c r="V16" s="909">
        <f>SUM(V12:V15)</f>
        <v>7716800</v>
      </c>
      <c r="W16" s="909"/>
      <c r="X16" s="909">
        <f>SUM(X12:X15)</f>
        <v>-1510778363</v>
      </c>
      <c r="Y16" s="909"/>
      <c r="Z16" s="909"/>
      <c r="AA16" s="909"/>
      <c r="AB16" s="909">
        <f>SUM(AB12:AB15)</f>
        <v>-52402519.434510566</v>
      </c>
      <c r="AC16" s="909"/>
      <c r="AD16" s="909">
        <f>SUM(AD12:AD15)</f>
        <v>-39417200.751207225</v>
      </c>
      <c r="AE16" s="909"/>
      <c r="AF16" s="909">
        <f>SUM(AF12:AF15)</f>
        <v>6015457.8759244867</v>
      </c>
      <c r="AG16" s="909"/>
      <c r="AH16" s="437"/>
      <c r="AI16" s="909"/>
      <c r="AJ16" s="909">
        <f>SUM(AJ12:AJ15)</f>
        <v>-932828724.65524077</v>
      </c>
      <c r="AK16" s="909"/>
      <c r="AL16" s="909">
        <f>SUM(AL12:AL15)</f>
        <v>-493846716.89575255</v>
      </c>
      <c r="AM16" s="909"/>
      <c r="AN16" s="909">
        <f>SUM(AN12:AN15)</f>
        <v>1701342.2679340818</v>
      </c>
      <c r="AO16" s="909"/>
      <c r="AP16" s="909">
        <f>SUM(AP12:AP15)</f>
        <v>-1424974099.2830591</v>
      </c>
      <c r="AQ16" s="909"/>
      <c r="AR16" s="909">
        <f>SUM(AR12:AR15)</f>
        <v>-18273030.489870086</v>
      </c>
      <c r="AS16" s="909"/>
      <c r="AT16" s="909">
        <f>SUM(AT12:AT15)</f>
        <v>-14750406.853601253</v>
      </c>
      <c r="AU16" s="909"/>
      <c r="AV16" s="909">
        <f>SUM(AV12:AV15)</f>
        <v>50816.356116388662</v>
      </c>
      <c r="AW16" s="909"/>
      <c r="AX16" s="909">
        <f>SUM(AX12:AX15)</f>
        <v>-914555694.16537046</v>
      </c>
      <c r="AY16" s="909"/>
      <c r="AZ16" s="909">
        <f>SUM(AZ12:AZ15)</f>
        <v>-479096310.04215127</v>
      </c>
      <c r="BA16" s="909"/>
      <c r="BB16" s="909">
        <f>SUM(BB12:BB15)</f>
        <v>1650525.9118176927</v>
      </c>
      <c r="BC16" s="909"/>
      <c r="BD16" s="909">
        <f>SUM(BD12:BD15)</f>
        <v>-1392001478.2957041</v>
      </c>
      <c r="BE16" s="909"/>
      <c r="BF16" s="909">
        <f>SUM(BF12:BF15)</f>
        <v>-1932895116</v>
      </c>
      <c r="BG16" s="909"/>
      <c r="BH16" s="910"/>
      <c r="BI16" s="437">
        <f t="shared" si="0"/>
        <v>104</v>
      </c>
    </row>
    <row r="17" spans="1:61" ht="15">
      <c r="A17" s="437"/>
      <c r="B17" s="900"/>
      <c r="C17" s="900"/>
      <c r="D17" s="437"/>
      <c r="E17" s="437"/>
      <c r="F17" s="437"/>
      <c r="G17" s="437"/>
      <c r="H17" s="437"/>
      <c r="I17" s="437"/>
      <c r="J17" s="437"/>
      <c r="K17" s="437"/>
      <c r="L17" s="437"/>
      <c r="M17" s="437"/>
      <c r="N17" s="437"/>
      <c r="O17" s="437"/>
      <c r="P17" s="784"/>
      <c r="Q17" s="437"/>
      <c r="R17" s="900"/>
      <c r="S17" s="900"/>
      <c r="T17" s="900"/>
      <c r="U17" s="900"/>
      <c r="V17" s="900"/>
      <c r="W17" s="900"/>
      <c r="X17" s="900"/>
      <c r="Y17" s="900"/>
      <c r="Z17" s="900"/>
      <c r="AA17" s="900"/>
      <c r="AB17" s="900"/>
      <c r="AC17" s="900"/>
      <c r="AD17" s="900"/>
      <c r="AE17" s="900"/>
      <c r="AF17" s="900"/>
      <c r="AG17" s="900"/>
      <c r="AH17" s="437"/>
      <c r="AI17" s="900"/>
      <c r="AJ17" s="900"/>
      <c r="AK17" s="900"/>
      <c r="AL17" s="900"/>
      <c r="AM17" s="900"/>
      <c r="AN17" s="900"/>
      <c r="AO17" s="900"/>
      <c r="AP17" s="900"/>
      <c r="AQ17" s="900"/>
      <c r="AR17" s="900"/>
      <c r="AS17" s="900"/>
      <c r="AT17" s="900"/>
      <c r="AU17" s="900"/>
      <c r="AV17" s="900"/>
      <c r="AW17" s="900"/>
      <c r="AX17" s="900"/>
      <c r="AY17" s="900"/>
      <c r="AZ17" s="900"/>
      <c r="BA17" s="900"/>
      <c r="BB17" s="900"/>
      <c r="BC17" s="900"/>
      <c r="BD17" s="900"/>
      <c r="BE17" s="900"/>
      <c r="BF17" s="437"/>
      <c r="BG17" s="900"/>
      <c r="BH17" s="910"/>
      <c r="BI17" s="437"/>
    </row>
    <row r="18" spans="1:61" ht="15">
      <c r="A18" s="437">
        <f>+A16+1</f>
        <v>105</v>
      </c>
      <c r="B18" s="911" t="s">
        <v>836</v>
      </c>
      <c r="C18" s="911"/>
      <c r="D18" s="436"/>
      <c r="E18" s="437"/>
      <c r="F18" s="437"/>
      <c r="G18" s="437"/>
      <c r="H18" s="437"/>
      <c r="I18" s="437"/>
      <c r="J18" s="437"/>
      <c r="K18" s="437"/>
      <c r="L18" s="437"/>
      <c r="M18" s="437"/>
      <c r="N18" s="437"/>
      <c r="O18" s="437"/>
      <c r="P18" s="784"/>
      <c r="Q18" s="437"/>
      <c r="R18" s="900"/>
      <c r="S18" s="900"/>
      <c r="T18" s="900"/>
      <c r="U18" s="900"/>
      <c r="V18" s="900"/>
      <c r="W18" s="900"/>
      <c r="X18" s="900"/>
      <c r="Y18" s="900"/>
      <c r="Z18" s="900"/>
      <c r="AA18" s="900"/>
      <c r="AB18" s="900"/>
      <c r="AC18" s="900"/>
      <c r="AD18" s="900"/>
      <c r="AE18" s="900"/>
      <c r="AF18" s="900"/>
      <c r="AG18" s="900"/>
      <c r="AH18" s="437"/>
      <c r="AI18" s="900"/>
      <c r="AJ18" s="900"/>
      <c r="AK18" s="900"/>
      <c r="AL18" s="900"/>
      <c r="AM18" s="900"/>
      <c r="AN18" s="900"/>
      <c r="AO18" s="900"/>
      <c r="AP18" s="900"/>
      <c r="AQ18" s="900"/>
      <c r="AR18" s="900"/>
      <c r="AS18" s="900"/>
      <c r="AT18" s="900"/>
      <c r="AU18" s="900"/>
      <c r="AV18" s="900"/>
      <c r="AW18" s="900"/>
      <c r="AX18" s="900"/>
      <c r="AY18" s="900"/>
      <c r="AZ18" s="900"/>
      <c r="BA18" s="900"/>
      <c r="BB18" s="900"/>
      <c r="BC18" s="900"/>
      <c r="BD18" s="900"/>
      <c r="BE18" s="900"/>
      <c r="BF18" s="437"/>
      <c r="BG18" s="900"/>
      <c r="BH18" s="451"/>
      <c r="BI18" s="437">
        <f>A18</f>
        <v>105</v>
      </c>
    </row>
    <row r="19" spans="1:61" ht="15">
      <c r="A19" s="437">
        <f>+A18+1</f>
        <v>106</v>
      </c>
      <c r="B19" s="784" t="s">
        <v>837</v>
      </c>
      <c r="C19" s="900" t="s">
        <v>1286</v>
      </c>
      <c r="D19" s="437"/>
      <c r="E19" s="437"/>
      <c r="F19" s="784" t="s">
        <v>1524</v>
      </c>
      <c r="G19" s="437"/>
      <c r="H19" s="909">
        <f>+H116</f>
        <v>-400413354</v>
      </c>
      <c r="I19" s="437"/>
      <c r="J19" s="909">
        <f>+J116</f>
        <v>-140144673.792</v>
      </c>
      <c r="K19" s="909"/>
      <c r="L19" s="909">
        <f>+L116</f>
        <v>-84086803.483769998</v>
      </c>
      <c r="M19" s="909"/>
      <c r="N19" s="909">
        <f>+N116</f>
        <v>-56057870.308230013</v>
      </c>
      <c r="O19" s="909"/>
      <c r="P19" s="784" t="s">
        <v>845</v>
      </c>
      <c r="Q19" s="437"/>
      <c r="R19" s="909">
        <f>R116</f>
        <v>0</v>
      </c>
      <c r="S19" s="909"/>
      <c r="T19" s="909">
        <f>+T116</f>
        <v>-56057870.308230013</v>
      </c>
      <c r="U19" s="909"/>
      <c r="V19" s="909">
        <f>+V116</f>
        <v>0</v>
      </c>
      <c r="W19" s="909"/>
      <c r="X19" s="909">
        <f>SUM(R19:V19)</f>
        <v>-56057870.308230013</v>
      </c>
      <c r="Y19" s="909"/>
      <c r="Z19" s="449" t="s">
        <v>1527</v>
      </c>
      <c r="AA19" s="909"/>
      <c r="AB19" s="909">
        <f>+AB116</f>
        <v>0</v>
      </c>
      <c r="AC19" s="909"/>
      <c r="AD19" s="909">
        <f>+AD116</f>
        <v>-4143622.4250362762</v>
      </c>
      <c r="AE19" s="909"/>
      <c r="AF19" s="909">
        <f>+AF116</f>
        <v>0</v>
      </c>
      <c r="AG19" s="909"/>
      <c r="AH19" s="784" t="s">
        <v>856</v>
      </c>
      <c r="AI19" s="909"/>
      <c r="AJ19" s="909">
        <f>+AJ116</f>
        <v>0</v>
      </c>
      <c r="AK19" s="909"/>
      <c r="AL19" s="909">
        <f>+AL116</f>
        <v>-51914247.883193739</v>
      </c>
      <c r="AM19" s="909"/>
      <c r="AN19" s="909">
        <f>+AN116</f>
        <v>0</v>
      </c>
      <c r="AO19" s="909"/>
      <c r="AP19" s="909">
        <f t="shared" ref="AP19:AP21" si="14">SUM(AJ19:AN19)</f>
        <v>-51914247.883193739</v>
      </c>
      <c r="AQ19" s="909"/>
      <c r="AR19" s="909">
        <f>+AR116</f>
        <v>0</v>
      </c>
      <c r="AS19" s="909"/>
      <c r="AT19" s="909">
        <f>+AT116</f>
        <v>-1550595.0552502577</v>
      </c>
      <c r="AU19" s="909"/>
      <c r="AV19" s="909">
        <f>+AV116</f>
        <v>0</v>
      </c>
      <c r="AW19" s="909"/>
      <c r="AX19" s="909">
        <f>+AX116</f>
        <v>0</v>
      </c>
      <c r="AY19" s="909"/>
      <c r="AZ19" s="909">
        <f>+AZ116</f>
        <v>-50363652.827943482</v>
      </c>
      <c r="BA19" s="909"/>
      <c r="BB19" s="909">
        <f>+BB116</f>
        <v>0</v>
      </c>
      <c r="BC19" s="909"/>
      <c r="BD19" s="909">
        <f>SUM(AX19:BB19)</f>
        <v>-50363652.827943482</v>
      </c>
      <c r="BE19" s="909"/>
      <c r="BF19" s="909">
        <f>+BF116</f>
        <v>-69933588.49920778</v>
      </c>
      <c r="BG19" s="909"/>
      <c r="BH19" s="910"/>
      <c r="BI19" s="437">
        <f>A19</f>
        <v>106</v>
      </c>
    </row>
    <row r="20" spans="1:61" ht="15">
      <c r="A20" s="437">
        <f t="shared" ref="A20:A29" si="15">A19+1</f>
        <v>107</v>
      </c>
      <c r="B20" s="784" t="s">
        <v>370</v>
      </c>
      <c r="C20" s="900"/>
      <c r="D20" s="437"/>
      <c r="E20" s="437"/>
      <c r="F20" s="437"/>
      <c r="G20" s="437"/>
      <c r="H20" s="923">
        <v>0</v>
      </c>
      <c r="I20" s="924"/>
      <c r="J20" s="923">
        <v>0</v>
      </c>
      <c r="K20" s="923"/>
      <c r="L20" s="923">
        <v>0</v>
      </c>
      <c r="M20" s="923"/>
      <c r="N20" s="923">
        <v>0</v>
      </c>
      <c r="O20" s="923"/>
      <c r="P20" s="925"/>
      <c r="Q20" s="924"/>
      <c r="R20" s="923">
        <v>0</v>
      </c>
      <c r="S20" s="923"/>
      <c r="T20" s="923">
        <v>0</v>
      </c>
      <c r="U20" s="923"/>
      <c r="V20" s="923">
        <v>0</v>
      </c>
      <c r="W20" s="923"/>
      <c r="X20" s="923">
        <f t="shared" ref="X20:X21" si="16">SUM(R20:V20)</f>
        <v>0</v>
      </c>
      <c r="Y20" s="923"/>
      <c r="Z20" s="926"/>
      <c r="AA20" s="923"/>
      <c r="AB20" s="923">
        <v>0</v>
      </c>
      <c r="AC20" s="923"/>
      <c r="AD20" s="923">
        <v>0</v>
      </c>
      <c r="AE20" s="923"/>
      <c r="AF20" s="923">
        <v>0</v>
      </c>
      <c r="AG20" s="923"/>
      <c r="AH20" s="925"/>
      <c r="AI20" s="923"/>
      <c r="AJ20" s="923">
        <v>0</v>
      </c>
      <c r="AK20" s="923"/>
      <c r="AL20" s="923">
        <v>0</v>
      </c>
      <c r="AM20" s="923"/>
      <c r="AN20" s="923">
        <v>0</v>
      </c>
      <c r="AO20" s="923"/>
      <c r="AP20" s="923">
        <f t="shared" si="14"/>
        <v>0</v>
      </c>
      <c r="AQ20" s="923"/>
      <c r="AR20" s="923">
        <v>0</v>
      </c>
      <c r="AS20" s="923"/>
      <c r="AT20" s="923">
        <v>0</v>
      </c>
      <c r="AU20" s="923"/>
      <c r="AV20" s="923">
        <v>0</v>
      </c>
      <c r="AW20" s="923"/>
      <c r="AX20" s="923">
        <v>0</v>
      </c>
      <c r="AY20" s="923"/>
      <c r="AZ20" s="923">
        <v>0</v>
      </c>
      <c r="BA20" s="923"/>
      <c r="BB20" s="923">
        <v>0</v>
      </c>
      <c r="BC20" s="923"/>
      <c r="BD20" s="923">
        <f t="shared" ref="BD20:BD21" si="17">SUM(AX20:BB20)</f>
        <v>0</v>
      </c>
      <c r="BE20" s="923"/>
      <c r="BF20" s="923">
        <v>0</v>
      </c>
      <c r="BG20" s="909"/>
      <c r="BH20" s="451"/>
      <c r="BI20" s="437">
        <f>A20</f>
        <v>107</v>
      </c>
    </row>
    <row r="21" spans="1:61" ht="15">
      <c r="A21" s="437">
        <f t="shared" si="15"/>
        <v>108</v>
      </c>
      <c r="B21" s="784" t="s">
        <v>370</v>
      </c>
      <c r="C21" s="900"/>
      <c r="D21" s="437"/>
      <c r="E21" s="437"/>
      <c r="F21" s="437"/>
      <c r="G21" s="437"/>
      <c r="H21" s="920">
        <v>0</v>
      </c>
      <c r="I21" s="924"/>
      <c r="J21" s="920">
        <v>0</v>
      </c>
      <c r="K21" s="920"/>
      <c r="L21" s="920">
        <v>0</v>
      </c>
      <c r="M21" s="920"/>
      <c r="N21" s="920">
        <v>0</v>
      </c>
      <c r="O21" s="920"/>
      <c r="P21" s="925"/>
      <c r="Q21" s="924"/>
      <c r="R21" s="920">
        <v>0</v>
      </c>
      <c r="S21" s="920"/>
      <c r="T21" s="920">
        <v>0</v>
      </c>
      <c r="U21" s="920"/>
      <c r="V21" s="920">
        <v>0</v>
      </c>
      <c r="W21" s="920"/>
      <c r="X21" s="920">
        <f t="shared" si="16"/>
        <v>0</v>
      </c>
      <c r="Y21" s="923"/>
      <c r="Z21" s="926"/>
      <c r="AA21" s="923"/>
      <c r="AB21" s="920">
        <v>0</v>
      </c>
      <c r="AC21" s="920"/>
      <c r="AD21" s="920">
        <v>0</v>
      </c>
      <c r="AE21" s="920"/>
      <c r="AF21" s="920">
        <v>0</v>
      </c>
      <c r="AG21" s="923"/>
      <c r="AH21" s="925"/>
      <c r="AI21" s="923"/>
      <c r="AJ21" s="920">
        <v>0</v>
      </c>
      <c r="AK21" s="920"/>
      <c r="AL21" s="920">
        <v>0</v>
      </c>
      <c r="AM21" s="920"/>
      <c r="AN21" s="920">
        <v>0</v>
      </c>
      <c r="AO21" s="920"/>
      <c r="AP21" s="920">
        <f t="shared" si="14"/>
        <v>0</v>
      </c>
      <c r="AQ21" s="923"/>
      <c r="AR21" s="920">
        <v>0</v>
      </c>
      <c r="AS21" s="920"/>
      <c r="AT21" s="920">
        <v>0</v>
      </c>
      <c r="AU21" s="920"/>
      <c r="AV21" s="920">
        <v>0</v>
      </c>
      <c r="AW21" s="923"/>
      <c r="AX21" s="920">
        <v>0</v>
      </c>
      <c r="AY21" s="920"/>
      <c r="AZ21" s="920">
        <v>0</v>
      </c>
      <c r="BA21" s="920"/>
      <c r="BB21" s="920">
        <v>0</v>
      </c>
      <c r="BC21" s="920"/>
      <c r="BD21" s="920">
        <f t="shared" si="17"/>
        <v>0</v>
      </c>
      <c r="BE21" s="923"/>
      <c r="BF21" s="920">
        <v>0</v>
      </c>
      <c r="BG21" s="909"/>
      <c r="BH21" s="451"/>
      <c r="BI21" s="437">
        <f>A21</f>
        <v>108</v>
      </c>
    </row>
    <row r="22" spans="1:61" ht="15">
      <c r="A22" s="437">
        <f t="shared" si="15"/>
        <v>109</v>
      </c>
      <c r="B22" s="900" t="s">
        <v>838</v>
      </c>
      <c r="C22" s="900"/>
      <c r="D22" s="437"/>
      <c r="E22" s="437"/>
      <c r="F22" s="437"/>
      <c r="G22" s="437"/>
      <c r="H22" s="909">
        <f>SUM(H16:H21)</f>
        <v>-17394848341</v>
      </c>
      <c r="I22" s="437"/>
      <c r="J22" s="909">
        <f>SUM(J16:J21)</f>
        <v>-4316892697.7919998</v>
      </c>
      <c r="K22" s="909"/>
      <c r="L22" s="909">
        <f t="shared" ref="L22" si="18">SUM(L16:L21)</f>
        <v>-2750086164.4837699</v>
      </c>
      <c r="M22" s="909"/>
      <c r="N22" s="909">
        <f t="shared" ref="N22" si="19">SUM(N16:N21)</f>
        <v>-1566836233.3082299</v>
      </c>
      <c r="O22" s="909"/>
      <c r="P22" s="449"/>
      <c r="Q22" s="437"/>
      <c r="R22" s="909">
        <f>SUM(R16:R21)</f>
        <v>-985231245</v>
      </c>
      <c r="S22" s="909"/>
      <c r="T22" s="909">
        <f t="shared" ref="T22" si="20">SUM(T16:T21)</f>
        <v>-589321788.30823004</v>
      </c>
      <c r="U22" s="909"/>
      <c r="V22" s="909">
        <f t="shared" ref="V22" si="21">SUM(V16:V21)</f>
        <v>7716800</v>
      </c>
      <c r="W22" s="909"/>
      <c r="X22" s="909">
        <f>SUM(X16:X21)</f>
        <v>-1566836233.3082299</v>
      </c>
      <c r="Y22" s="909"/>
      <c r="Z22" s="909"/>
      <c r="AA22" s="909"/>
      <c r="AB22" s="909">
        <f>SUM(AB16:AB21)</f>
        <v>-52402519.434510566</v>
      </c>
      <c r="AC22" s="909"/>
      <c r="AD22" s="909">
        <f t="shared" ref="AD22" si="22">SUM(AD16:AD21)</f>
        <v>-43560823.176243499</v>
      </c>
      <c r="AE22" s="909"/>
      <c r="AF22" s="909">
        <f t="shared" ref="AF22" si="23">SUM(AF16:AF21)</f>
        <v>6015457.8759244867</v>
      </c>
      <c r="AG22" s="909"/>
      <c r="AH22" s="449"/>
      <c r="AI22" s="909"/>
      <c r="AJ22" s="909">
        <f>SUM(AJ16:AJ21)</f>
        <v>-932828724.65524077</v>
      </c>
      <c r="AK22" s="909"/>
      <c r="AL22" s="909">
        <f t="shared" ref="AL22" si="24">SUM(AL16:AL21)</f>
        <v>-545760964.77894628</v>
      </c>
      <c r="AM22" s="909"/>
      <c r="AN22" s="909">
        <f t="shared" ref="AN22" si="25">SUM(AN16:AN21)</f>
        <v>1701342.2679340818</v>
      </c>
      <c r="AO22" s="909"/>
      <c r="AP22" s="909">
        <f t="shared" ref="AP22" si="26">SUM(AP16:AP21)</f>
        <v>-1476888347.1662529</v>
      </c>
      <c r="AQ22" s="909"/>
      <c r="AR22" s="909">
        <f>SUM(AR16:AR21)</f>
        <v>-18273030.489870086</v>
      </c>
      <c r="AS22" s="909"/>
      <c r="AT22" s="909">
        <f t="shared" ref="AT22" si="27">SUM(AT16:AT21)</f>
        <v>-16301001.90885151</v>
      </c>
      <c r="AU22" s="909"/>
      <c r="AV22" s="909">
        <f t="shared" ref="AV22" si="28">SUM(AV16:AV21)</f>
        <v>50816.356116388662</v>
      </c>
      <c r="AW22" s="909"/>
      <c r="AX22" s="909">
        <f>SUM(AX16:AX21)</f>
        <v>-914555694.16537046</v>
      </c>
      <c r="AY22" s="909"/>
      <c r="AZ22" s="909">
        <f t="shared" ref="AZ22" si="29">SUM(AZ16:AZ21)</f>
        <v>-529459962.87009478</v>
      </c>
      <c r="BA22" s="909"/>
      <c r="BB22" s="909">
        <f t="shared" ref="BB22" si="30">SUM(BB16:BB21)</f>
        <v>1650525.9118176927</v>
      </c>
      <c r="BC22" s="909"/>
      <c r="BD22" s="909">
        <f t="shared" ref="BD22" si="31">SUM(BD16:BD21)</f>
        <v>-1442365131.1236477</v>
      </c>
      <c r="BE22" s="909"/>
      <c r="BF22" s="909">
        <f>SUM(BF16:BF21)</f>
        <v>-2002828704.4992077</v>
      </c>
      <c r="BG22" s="909"/>
      <c r="BH22" s="451"/>
      <c r="BI22" s="437">
        <f>A22</f>
        <v>109</v>
      </c>
    </row>
    <row r="23" spans="1:61" ht="15">
      <c r="A23" s="437"/>
      <c r="B23" s="900"/>
      <c r="C23" s="900"/>
      <c r="D23" s="437"/>
      <c r="E23" s="437"/>
      <c r="F23" s="437"/>
      <c r="G23" s="437"/>
      <c r="H23" s="437"/>
      <c r="I23" s="437"/>
      <c r="J23" s="437"/>
      <c r="K23" s="437"/>
      <c r="L23" s="437"/>
      <c r="M23" s="437"/>
      <c r="N23" s="437"/>
      <c r="O23" s="437"/>
      <c r="P23" s="784"/>
      <c r="Q23" s="437"/>
      <c r="R23" s="909"/>
      <c r="S23" s="909"/>
      <c r="T23" s="909"/>
      <c r="U23" s="909"/>
      <c r="V23" s="909"/>
      <c r="W23" s="909"/>
      <c r="X23" s="909"/>
      <c r="Y23" s="909"/>
      <c r="Z23" s="909"/>
      <c r="AA23" s="909"/>
      <c r="AB23" s="909"/>
      <c r="AC23" s="909"/>
      <c r="AD23" s="909"/>
      <c r="AE23" s="909"/>
      <c r="AF23" s="909"/>
      <c r="AG23" s="909"/>
      <c r="AH23" s="44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437"/>
      <c r="BG23" s="909"/>
      <c r="BH23" s="451"/>
      <c r="BI23" s="437"/>
    </row>
    <row r="24" spans="1:61" ht="15">
      <c r="A24" s="787" t="s">
        <v>86</v>
      </c>
      <c r="B24" s="911" t="s">
        <v>839</v>
      </c>
      <c r="C24" s="452"/>
      <c r="D24" s="436"/>
      <c r="E24" s="437"/>
      <c r="F24" s="437"/>
      <c r="G24" s="437"/>
      <c r="H24" s="437"/>
      <c r="I24" s="437"/>
      <c r="J24" s="437"/>
      <c r="K24" s="437"/>
      <c r="L24" s="437"/>
      <c r="M24" s="437"/>
      <c r="N24" s="437"/>
      <c r="O24" s="437"/>
      <c r="P24" s="784"/>
      <c r="Q24" s="437"/>
      <c r="R24" s="909"/>
      <c r="S24" s="909"/>
      <c r="T24" s="909"/>
      <c r="U24" s="909"/>
      <c r="V24" s="900"/>
      <c r="W24" s="900"/>
      <c r="X24" s="900"/>
      <c r="Y24" s="900"/>
      <c r="Z24" s="900"/>
      <c r="AA24" s="900"/>
      <c r="AB24" s="900"/>
      <c r="AC24" s="900"/>
      <c r="AD24" s="900"/>
      <c r="AE24" s="900"/>
      <c r="AF24" s="900"/>
      <c r="AG24" s="900"/>
      <c r="AH24" s="784"/>
      <c r="AI24" s="900"/>
      <c r="AJ24" s="909"/>
      <c r="AK24" s="909"/>
      <c r="AL24" s="909"/>
      <c r="AM24" s="909"/>
      <c r="AN24" s="900"/>
      <c r="AO24" s="900"/>
      <c r="AP24" s="900"/>
      <c r="AQ24" s="900"/>
      <c r="AR24" s="900"/>
      <c r="AS24" s="900"/>
      <c r="AT24" s="900"/>
      <c r="AU24" s="900"/>
      <c r="AV24" s="900"/>
      <c r="AW24" s="900"/>
      <c r="AX24" s="909"/>
      <c r="AY24" s="909"/>
      <c r="AZ24" s="909"/>
      <c r="BA24" s="909"/>
      <c r="BB24" s="900"/>
      <c r="BC24" s="900"/>
      <c r="BD24" s="900"/>
      <c r="BE24" s="900"/>
      <c r="BF24" s="437"/>
      <c r="BG24" s="900"/>
      <c r="BH24" s="451"/>
      <c r="BI24" s="907" t="s">
        <v>86</v>
      </c>
    </row>
    <row r="25" spans="1:61" ht="15">
      <c r="A25" s="437">
        <v>200</v>
      </c>
      <c r="B25" s="900" t="s">
        <v>846</v>
      </c>
      <c r="C25" s="900"/>
      <c r="D25" s="437"/>
      <c r="E25" s="437"/>
      <c r="F25" s="437"/>
      <c r="G25" s="437"/>
      <c r="H25" s="912">
        <f>ROUND(SUM(H26:H30),0)</f>
        <v>-10466951654</v>
      </c>
      <c r="I25" s="437"/>
      <c r="J25" s="912">
        <f>ROUND(SUM(J26:J30),0)</f>
        <v>-3663433079</v>
      </c>
      <c r="K25" s="909"/>
      <c r="L25" s="912">
        <f>ROUND(SUM(L26:L30),0)</f>
        <v>-2361016151</v>
      </c>
      <c r="M25" s="909"/>
      <c r="N25" s="912">
        <f>ROUND(SUM(N26:N30),0)</f>
        <v>-1302433382</v>
      </c>
      <c r="O25" s="437"/>
      <c r="P25" s="784"/>
      <c r="Q25" s="437"/>
      <c r="R25" s="912">
        <f>ROUND(SUM(R26:R30),0)</f>
        <v>-1302433382</v>
      </c>
      <c r="S25" s="909"/>
      <c r="T25" s="912">
        <f>ROUND(SUM(T26:T30),0)</f>
        <v>0</v>
      </c>
      <c r="U25" s="909"/>
      <c r="V25" s="912">
        <f>ROUND(SUM(V26:V30),0)</f>
        <v>0</v>
      </c>
      <c r="W25" s="909"/>
      <c r="X25" s="912">
        <f>ROUND(SUM(X26:X30),0)</f>
        <v>-1302433382</v>
      </c>
      <c r="Y25" s="909"/>
      <c r="Z25" s="909"/>
      <c r="AA25" s="909"/>
      <c r="AB25" s="912">
        <f>SUM(AB26:AB30)</f>
        <v>-96271801.571397573</v>
      </c>
      <c r="AC25" s="909"/>
      <c r="AD25" s="912">
        <f>SUM(AD26:AD30)</f>
        <v>0</v>
      </c>
      <c r="AE25" s="909"/>
      <c r="AF25" s="912">
        <f>SUM(AF26:AF30)</f>
        <v>0</v>
      </c>
      <c r="AG25" s="909"/>
      <c r="AH25" s="449"/>
      <c r="AI25" s="909"/>
      <c r="AJ25" s="912">
        <f>SUM(AJ26:AJ30)</f>
        <v>-1206161579.9655685</v>
      </c>
      <c r="AK25" s="909"/>
      <c r="AL25" s="912">
        <f>SUM(AL26:AL30)</f>
        <v>0</v>
      </c>
      <c r="AM25" s="909"/>
      <c r="AN25" s="912">
        <f>SUM(AN26:AN30)</f>
        <v>0</v>
      </c>
      <c r="AO25" s="909"/>
      <c r="AP25" s="912">
        <f>SUM(AP26:AP30)</f>
        <v>-1206161579.9655685</v>
      </c>
      <c r="AQ25" s="909"/>
      <c r="AR25" s="912">
        <f>SUM(AR26:AR30)</f>
        <v>-36026105.702906027</v>
      </c>
      <c r="AS25" s="909"/>
      <c r="AT25" s="912">
        <f>SUM(AT26:AT30)</f>
        <v>0</v>
      </c>
      <c r="AU25" s="909"/>
      <c r="AV25" s="912">
        <f>SUM(AV26:AV30)</f>
        <v>0</v>
      </c>
      <c r="AW25" s="909"/>
      <c r="AX25" s="912">
        <f>SUM(AX26:AX30)</f>
        <v>-1170135474.2626624</v>
      </c>
      <c r="AY25" s="909"/>
      <c r="AZ25" s="912">
        <f>SUM(AZ26:AZ30)</f>
        <v>0</v>
      </c>
      <c r="BA25" s="909"/>
      <c r="BB25" s="912">
        <f>SUM(BB26:BB30)</f>
        <v>0</v>
      </c>
      <c r="BC25" s="909"/>
      <c r="BD25" s="912">
        <f>SUM(BD26:BD30)</f>
        <v>-1170135474.2626624</v>
      </c>
      <c r="BE25" s="909"/>
      <c r="BF25" s="912">
        <f>ROUND(SUM(BF26:BF30),0)</f>
        <v>-1624818061</v>
      </c>
      <c r="BG25" s="909"/>
      <c r="BH25" s="910"/>
      <c r="BI25" s="437">
        <f t="shared" ref="BI25:BI30" si="32">A25</f>
        <v>200</v>
      </c>
    </row>
    <row r="26" spans="1:61" ht="15">
      <c r="A26" s="437">
        <f t="shared" si="15"/>
        <v>201</v>
      </c>
      <c r="B26" s="913" t="s">
        <v>1701</v>
      </c>
      <c r="C26" s="900"/>
      <c r="D26" s="900" t="s">
        <v>847</v>
      </c>
      <c r="E26" s="437"/>
      <c r="F26" s="784" t="s">
        <v>1524</v>
      </c>
      <c r="G26" s="437"/>
      <c r="H26" s="914">
        <v>-1164217386.4685714</v>
      </c>
      <c r="I26" s="437"/>
      <c r="J26" s="914">
        <v>-407476085.264</v>
      </c>
      <c r="K26" s="909"/>
      <c r="L26" s="914">
        <v>-407476081.69378757</v>
      </c>
      <c r="M26" s="909"/>
      <c r="N26" s="914">
        <v>-0.79857784772084273</v>
      </c>
      <c r="O26" s="437"/>
      <c r="P26" s="784" t="s">
        <v>845</v>
      </c>
      <c r="Q26" s="437"/>
      <c r="R26" s="923">
        <f>N26</f>
        <v>-0.79857784772084273</v>
      </c>
      <c r="S26" s="909"/>
      <c r="T26" s="909">
        <v>0</v>
      </c>
      <c r="U26" s="909"/>
      <c r="V26" s="909">
        <v>0</v>
      </c>
      <c r="W26" s="909"/>
      <c r="X26" s="909">
        <f t="shared" ref="X26:X30" si="33">SUM(R26:V26)</f>
        <v>-0.79857784772084273</v>
      </c>
      <c r="Y26" s="909"/>
      <c r="Z26" s="449" t="s">
        <v>831</v>
      </c>
      <c r="AA26" s="909"/>
      <c r="AB26" s="914">
        <v>-5.8612009407430714E-2</v>
      </c>
      <c r="AC26" s="909"/>
      <c r="AD26" s="909">
        <v>0</v>
      </c>
      <c r="AE26" s="909"/>
      <c r="AF26" s="909">
        <v>0</v>
      </c>
      <c r="AG26" s="909"/>
      <c r="AH26" s="449" t="s">
        <v>856</v>
      </c>
      <c r="AI26" s="909"/>
      <c r="AJ26" s="448">
        <f t="shared" ref="AJ26:AJ30" si="34">+R26-AB26</f>
        <v>-0.73996583831341201</v>
      </c>
      <c r="AK26" s="909"/>
      <c r="AL26" s="448">
        <f t="shared" ref="AL26:AL30" si="35">+T26-AD26</f>
        <v>0</v>
      </c>
      <c r="AM26" s="909"/>
      <c r="AN26" s="448">
        <f t="shared" ref="AN26:AN30" si="36">+V26-AF26</f>
        <v>0</v>
      </c>
      <c r="AO26" s="909"/>
      <c r="AP26" s="909">
        <f t="shared" ref="AP26:AP30" si="37">SUM(AJ26:AN26)</f>
        <v>-0.73996583831341201</v>
      </c>
      <c r="AQ26" s="909"/>
      <c r="AR26" s="914">
        <v>-2.2089152782647503E-2</v>
      </c>
      <c r="AS26" s="909"/>
      <c r="AT26" s="909">
        <v>0</v>
      </c>
      <c r="AU26" s="909"/>
      <c r="AV26" s="909">
        <v>0</v>
      </c>
      <c r="AW26" s="909"/>
      <c r="AX26" s="448">
        <f>+AJ26-AR26</f>
        <v>-0.71787668553076456</v>
      </c>
      <c r="AY26" s="909"/>
      <c r="AZ26" s="448">
        <f>+AL26-AT26</f>
        <v>0</v>
      </c>
      <c r="BA26" s="909"/>
      <c r="BB26" s="448">
        <f>+AN26-AV26</f>
        <v>0</v>
      </c>
      <c r="BC26" s="909"/>
      <c r="BD26" s="909">
        <f t="shared" ref="BD26:BD30" si="38">SUM(AX26:BB26)</f>
        <v>-0.71787668553076456</v>
      </c>
      <c r="BE26" s="909"/>
      <c r="BF26" s="909">
        <f>+BD26*$BF$10</f>
        <v>-0.99682389779378655</v>
      </c>
      <c r="BG26" s="909"/>
      <c r="BH26" s="910"/>
      <c r="BI26" s="437">
        <f t="shared" si="32"/>
        <v>201</v>
      </c>
    </row>
    <row r="27" spans="1:61" ht="15">
      <c r="A27" s="437">
        <f t="shared" si="15"/>
        <v>202</v>
      </c>
      <c r="B27" s="913" t="s">
        <v>1702</v>
      </c>
      <c r="C27" s="900"/>
      <c r="D27" s="900" t="s">
        <v>847</v>
      </c>
      <c r="E27" s="437"/>
      <c r="F27" s="784" t="s">
        <v>1524</v>
      </c>
      <c r="G27" s="437"/>
      <c r="H27" s="914">
        <v>-9711400284.4914284</v>
      </c>
      <c r="I27" s="437"/>
      <c r="J27" s="914">
        <v>-3398990099.572</v>
      </c>
      <c r="K27" s="909"/>
      <c r="L27" s="914">
        <v>-2039091608.7690783</v>
      </c>
      <c r="M27" s="909"/>
      <c r="N27" s="914">
        <v>-1359898490.8029218</v>
      </c>
      <c r="O27" s="437"/>
      <c r="P27" s="784" t="s">
        <v>845</v>
      </c>
      <c r="Q27" s="437"/>
      <c r="R27" s="909">
        <f t="shared" ref="R27:R28" si="39">N27</f>
        <v>-1359898490.8029218</v>
      </c>
      <c r="S27" s="909"/>
      <c r="T27" s="909">
        <v>0</v>
      </c>
      <c r="U27" s="909"/>
      <c r="V27" s="909">
        <v>0</v>
      </c>
      <c r="W27" s="909"/>
      <c r="X27" s="909">
        <f t="shared" si="33"/>
        <v>-1359898490.8029218</v>
      </c>
      <c r="Y27" s="909"/>
      <c r="Z27" s="449" t="s">
        <v>831</v>
      </c>
      <c r="AA27" s="909"/>
      <c r="AB27" s="914">
        <v>-100519442.6987837</v>
      </c>
      <c r="AC27" s="909"/>
      <c r="AD27" s="909">
        <v>0</v>
      </c>
      <c r="AE27" s="909"/>
      <c r="AF27" s="909">
        <v>0</v>
      </c>
      <c r="AG27" s="909"/>
      <c r="AH27" s="449" t="s">
        <v>856</v>
      </c>
      <c r="AI27" s="909"/>
      <c r="AJ27" s="448">
        <f t="shared" si="34"/>
        <v>-1259379048.1041381</v>
      </c>
      <c r="AK27" s="909"/>
      <c r="AL27" s="448">
        <f t="shared" si="35"/>
        <v>0</v>
      </c>
      <c r="AM27" s="909"/>
      <c r="AN27" s="448">
        <f t="shared" si="36"/>
        <v>0</v>
      </c>
      <c r="AO27" s="909"/>
      <c r="AP27" s="909">
        <f t="shared" si="37"/>
        <v>-1259379048.1041381</v>
      </c>
      <c r="AQ27" s="909"/>
      <c r="AR27" s="914">
        <v>-37615625.850340612</v>
      </c>
      <c r="AS27" s="909"/>
      <c r="AT27" s="909">
        <v>0</v>
      </c>
      <c r="AU27" s="909"/>
      <c r="AV27" s="909">
        <v>0</v>
      </c>
      <c r="AW27" s="909"/>
      <c r="AX27" s="448">
        <f>+AJ27-AR27</f>
        <v>-1221763422.2537975</v>
      </c>
      <c r="AY27" s="909"/>
      <c r="AZ27" s="448">
        <f>+AL27-AT27</f>
        <v>0</v>
      </c>
      <c r="BA27" s="909"/>
      <c r="BB27" s="448">
        <f>+AN27-AV27</f>
        <v>0</v>
      </c>
      <c r="BC27" s="909"/>
      <c r="BD27" s="909">
        <f t="shared" si="38"/>
        <v>-1221763422.2537975</v>
      </c>
      <c r="BE27" s="909"/>
      <c r="BF27" s="909">
        <f>+BD27*$BF$10</f>
        <v>-1696507215.3756609</v>
      </c>
      <c r="BG27" s="909"/>
      <c r="BH27" s="910"/>
      <c r="BI27" s="437">
        <f t="shared" si="32"/>
        <v>202</v>
      </c>
    </row>
    <row r="28" spans="1:61" ht="15">
      <c r="A28" s="437">
        <f t="shared" si="15"/>
        <v>203</v>
      </c>
      <c r="B28" s="913" t="s">
        <v>1703</v>
      </c>
      <c r="C28" s="900"/>
      <c r="D28" s="900" t="s">
        <v>847</v>
      </c>
      <c r="E28" s="437"/>
      <c r="F28" s="784" t="s">
        <v>1524</v>
      </c>
      <c r="G28" s="437"/>
      <c r="H28" s="914">
        <v>408666016.86399996</v>
      </c>
      <c r="I28" s="437"/>
      <c r="J28" s="914">
        <v>143033105.90239999</v>
      </c>
      <c r="K28" s="909"/>
      <c r="L28" s="914">
        <v>85551539.890252292</v>
      </c>
      <c r="M28" s="909"/>
      <c r="N28" s="914">
        <v>57465110.064533599</v>
      </c>
      <c r="O28" s="437"/>
      <c r="P28" s="784" t="s">
        <v>845</v>
      </c>
      <c r="Q28" s="437"/>
      <c r="R28" s="909">
        <f t="shared" si="39"/>
        <v>57465110.064533599</v>
      </c>
      <c r="S28" s="909"/>
      <c r="T28" s="909">
        <v>0</v>
      </c>
      <c r="U28" s="909"/>
      <c r="V28" s="909">
        <v>0</v>
      </c>
      <c r="W28" s="909"/>
      <c r="X28" s="909">
        <f t="shared" si="33"/>
        <v>57465110.064533599</v>
      </c>
      <c r="Y28" s="909"/>
      <c r="Z28" s="449" t="s">
        <v>831</v>
      </c>
      <c r="AA28" s="909"/>
      <c r="AB28" s="914">
        <v>4247641.1859981259</v>
      </c>
      <c r="AC28" s="909"/>
      <c r="AD28" s="909">
        <v>0</v>
      </c>
      <c r="AE28" s="909"/>
      <c r="AF28" s="909">
        <v>0</v>
      </c>
      <c r="AG28" s="909"/>
      <c r="AH28" s="449" t="s">
        <v>856</v>
      </c>
      <c r="AI28" s="909"/>
      <c r="AJ28" s="448">
        <f t="shared" si="34"/>
        <v>53217468.878535472</v>
      </c>
      <c r="AK28" s="909"/>
      <c r="AL28" s="448">
        <f t="shared" si="35"/>
        <v>0</v>
      </c>
      <c r="AM28" s="909"/>
      <c r="AN28" s="448">
        <f t="shared" si="36"/>
        <v>0</v>
      </c>
      <c r="AO28" s="909"/>
      <c r="AP28" s="909">
        <f t="shared" si="37"/>
        <v>53217468.878535472</v>
      </c>
      <c r="AQ28" s="909"/>
      <c r="AR28" s="914">
        <v>1589520.1695237402</v>
      </c>
      <c r="AS28" s="909"/>
      <c r="AT28" s="909">
        <v>0</v>
      </c>
      <c r="AU28" s="909"/>
      <c r="AV28" s="909">
        <v>0</v>
      </c>
      <c r="AW28" s="909"/>
      <c r="AX28" s="448">
        <f>+AJ28-AR28</f>
        <v>51627948.709011734</v>
      </c>
      <c r="AY28" s="909"/>
      <c r="AZ28" s="448">
        <f>+AL28-AT28</f>
        <v>0</v>
      </c>
      <c r="BA28" s="909"/>
      <c r="BB28" s="448">
        <f>+AN28-AV28</f>
        <v>0</v>
      </c>
      <c r="BC28" s="909"/>
      <c r="BD28" s="909">
        <f t="shared" si="38"/>
        <v>51627948.709011734</v>
      </c>
      <c r="BE28" s="909"/>
      <c r="BF28" s="909">
        <f>+BD28*$BF$10</f>
        <v>71689155.12162748</v>
      </c>
      <c r="BG28" s="909"/>
      <c r="BH28" s="910"/>
      <c r="BI28" s="437">
        <f t="shared" si="32"/>
        <v>203</v>
      </c>
    </row>
    <row r="29" spans="1:61" ht="15">
      <c r="A29" s="437">
        <f t="shared" si="15"/>
        <v>204</v>
      </c>
      <c r="B29" s="915" t="s">
        <v>370</v>
      </c>
      <c r="C29" s="900"/>
      <c r="D29" s="437"/>
      <c r="E29" s="437"/>
      <c r="F29" s="437"/>
      <c r="G29" s="437"/>
      <c r="H29" s="914">
        <v>0</v>
      </c>
      <c r="I29" s="437"/>
      <c r="J29" s="914"/>
      <c r="K29" s="909"/>
      <c r="L29" s="914"/>
      <c r="M29" s="909"/>
      <c r="N29" s="914">
        <v>0</v>
      </c>
      <c r="O29" s="437"/>
      <c r="P29" s="784"/>
      <c r="Q29" s="437"/>
      <c r="R29" s="909">
        <v>0</v>
      </c>
      <c r="S29" s="909"/>
      <c r="T29" s="909">
        <v>0</v>
      </c>
      <c r="U29" s="909"/>
      <c r="V29" s="909">
        <v>0</v>
      </c>
      <c r="W29" s="909"/>
      <c r="X29" s="909">
        <f t="shared" si="33"/>
        <v>0</v>
      </c>
      <c r="Y29" s="909"/>
      <c r="Z29" s="449"/>
      <c r="AA29" s="909"/>
      <c r="AB29" s="914">
        <v>0</v>
      </c>
      <c r="AC29" s="909"/>
      <c r="AD29" s="909">
        <v>0</v>
      </c>
      <c r="AE29" s="909"/>
      <c r="AF29" s="909">
        <v>0</v>
      </c>
      <c r="AG29" s="909"/>
      <c r="AH29" s="449"/>
      <c r="AI29" s="909"/>
      <c r="AJ29" s="448">
        <f t="shared" si="34"/>
        <v>0</v>
      </c>
      <c r="AK29" s="909"/>
      <c r="AL29" s="448">
        <f t="shared" si="35"/>
        <v>0</v>
      </c>
      <c r="AM29" s="909"/>
      <c r="AN29" s="448">
        <f t="shared" si="36"/>
        <v>0</v>
      </c>
      <c r="AO29" s="909"/>
      <c r="AP29" s="909">
        <f t="shared" si="37"/>
        <v>0</v>
      </c>
      <c r="AQ29" s="909"/>
      <c r="AR29" s="914"/>
      <c r="AS29" s="909"/>
      <c r="AT29" s="909">
        <v>0</v>
      </c>
      <c r="AU29" s="909"/>
      <c r="AV29" s="909">
        <v>0</v>
      </c>
      <c r="AW29" s="909"/>
      <c r="AX29" s="448">
        <f>+AJ29-AR29</f>
        <v>0</v>
      </c>
      <c r="AY29" s="909"/>
      <c r="AZ29" s="448">
        <f>+AL29-AT29</f>
        <v>0</v>
      </c>
      <c r="BA29" s="909"/>
      <c r="BB29" s="448">
        <f>+AN29-AV29</f>
        <v>0</v>
      </c>
      <c r="BC29" s="909"/>
      <c r="BD29" s="909">
        <f t="shared" si="38"/>
        <v>0</v>
      </c>
      <c r="BE29" s="909"/>
      <c r="BF29" s="909">
        <f>+BD29*$BF$10</f>
        <v>0</v>
      </c>
      <c r="BG29" s="909"/>
      <c r="BH29" s="910"/>
      <c r="BI29" s="437">
        <f t="shared" si="32"/>
        <v>204</v>
      </c>
    </row>
    <row r="30" spans="1:61" ht="15">
      <c r="A30" s="437">
        <f>+A29+1</f>
        <v>205</v>
      </c>
      <c r="B30" s="915" t="s">
        <v>370</v>
      </c>
      <c r="C30" s="916"/>
      <c r="D30" s="900"/>
      <c r="E30" s="900"/>
      <c r="F30" s="784"/>
      <c r="G30" s="900"/>
      <c r="H30" s="914">
        <v>0</v>
      </c>
      <c r="I30" s="900"/>
      <c r="J30" s="914"/>
      <c r="K30" s="909"/>
      <c r="L30" s="914"/>
      <c r="M30" s="909"/>
      <c r="N30" s="914"/>
      <c r="O30" s="900"/>
      <c r="P30" s="784"/>
      <c r="Q30" s="900"/>
      <c r="R30" s="909">
        <v>0</v>
      </c>
      <c r="S30" s="909"/>
      <c r="T30" s="909">
        <v>0</v>
      </c>
      <c r="U30" s="909"/>
      <c r="V30" s="909">
        <v>0</v>
      </c>
      <c r="W30" s="909"/>
      <c r="X30" s="909">
        <f t="shared" si="33"/>
        <v>0</v>
      </c>
      <c r="Y30" s="909"/>
      <c r="Z30" s="449"/>
      <c r="AA30" s="909"/>
      <c r="AB30" s="914"/>
      <c r="AC30" s="909"/>
      <c r="AD30" s="909">
        <v>0</v>
      </c>
      <c r="AE30" s="909"/>
      <c r="AF30" s="909">
        <v>0</v>
      </c>
      <c r="AG30" s="909"/>
      <c r="AH30" s="449"/>
      <c r="AI30" s="909"/>
      <c r="AJ30" s="448">
        <f t="shared" si="34"/>
        <v>0</v>
      </c>
      <c r="AK30" s="909"/>
      <c r="AL30" s="448">
        <f t="shared" si="35"/>
        <v>0</v>
      </c>
      <c r="AM30" s="909"/>
      <c r="AN30" s="448">
        <f t="shared" si="36"/>
        <v>0</v>
      </c>
      <c r="AO30" s="909"/>
      <c r="AP30" s="909">
        <f t="shared" si="37"/>
        <v>0</v>
      </c>
      <c r="AQ30" s="438"/>
      <c r="AR30" s="914"/>
      <c r="AS30" s="909"/>
      <c r="AT30" s="909">
        <v>0</v>
      </c>
      <c r="AU30" s="909"/>
      <c r="AV30" s="909">
        <v>0</v>
      </c>
      <c r="AW30" s="909"/>
      <c r="AX30" s="448">
        <f>+AJ30-AR30</f>
        <v>0</v>
      </c>
      <c r="AY30" s="909"/>
      <c r="AZ30" s="448">
        <f>+AL30-AT30</f>
        <v>0</v>
      </c>
      <c r="BA30" s="909"/>
      <c r="BB30" s="448">
        <f>+AN30-AV30</f>
        <v>0</v>
      </c>
      <c r="BC30" s="909"/>
      <c r="BD30" s="909">
        <f t="shared" si="38"/>
        <v>0</v>
      </c>
      <c r="BE30" s="438"/>
      <c r="BF30" s="909">
        <f>+BD30*$BF$10</f>
        <v>0</v>
      </c>
      <c r="BG30" s="438"/>
      <c r="BH30" s="900"/>
      <c r="BI30" s="437">
        <f t="shared" si="32"/>
        <v>205</v>
      </c>
    </row>
    <row r="31" spans="1:61" ht="15">
      <c r="A31" s="437"/>
      <c r="B31" s="784"/>
      <c r="C31" s="916"/>
      <c r="D31" s="900"/>
      <c r="E31" s="900"/>
      <c r="F31" s="784"/>
      <c r="G31" s="900"/>
      <c r="H31" s="909"/>
      <c r="I31" s="900"/>
      <c r="J31" s="909"/>
      <c r="K31" s="909"/>
      <c r="L31" s="909"/>
      <c r="M31" s="909"/>
      <c r="N31" s="909"/>
      <c r="O31" s="900"/>
      <c r="P31" s="784"/>
      <c r="Q31" s="900"/>
      <c r="R31" s="909"/>
      <c r="S31" s="909"/>
      <c r="T31" s="909"/>
      <c r="U31" s="909"/>
      <c r="V31" s="909"/>
      <c r="W31" s="909"/>
      <c r="X31" s="909"/>
      <c r="Y31" s="909"/>
      <c r="Z31" s="449"/>
      <c r="AA31" s="909"/>
      <c r="AB31" s="909"/>
      <c r="AC31" s="909"/>
      <c r="AD31" s="909"/>
      <c r="AE31" s="909"/>
      <c r="AF31" s="909"/>
      <c r="AG31" s="909"/>
      <c r="AH31" s="449"/>
      <c r="AI31" s="909"/>
      <c r="AJ31" s="909"/>
      <c r="AK31" s="909"/>
      <c r="AL31" s="909"/>
      <c r="AM31" s="909"/>
      <c r="AN31" s="909"/>
      <c r="AO31" s="909"/>
      <c r="AP31" s="909"/>
      <c r="AQ31" s="438"/>
      <c r="AR31" s="909"/>
      <c r="AS31" s="909"/>
      <c r="AT31" s="909"/>
      <c r="AU31" s="909"/>
      <c r="AV31" s="909"/>
      <c r="AW31" s="909"/>
      <c r="AX31" s="909"/>
      <c r="AY31" s="909"/>
      <c r="AZ31" s="909"/>
      <c r="BA31" s="909"/>
      <c r="BB31" s="909"/>
      <c r="BC31" s="909"/>
      <c r="BD31" s="909"/>
      <c r="BE31" s="438"/>
      <c r="BF31" s="909"/>
      <c r="BG31" s="438"/>
      <c r="BH31" s="900"/>
      <c r="BI31" s="437"/>
    </row>
    <row r="32" spans="1:61" ht="15">
      <c r="A32" s="437"/>
      <c r="B32" s="784"/>
      <c r="F32" s="917"/>
      <c r="H32" s="909"/>
      <c r="J32" s="909"/>
      <c r="K32" s="909"/>
      <c r="L32" s="909"/>
      <c r="M32" s="909"/>
      <c r="N32" s="909"/>
      <c r="P32" s="918"/>
      <c r="R32" s="909"/>
      <c r="S32" s="909"/>
      <c r="T32" s="909"/>
      <c r="U32" s="909"/>
      <c r="V32" s="909"/>
      <c r="W32" s="909"/>
      <c r="X32" s="909"/>
      <c r="Y32" s="909"/>
      <c r="Z32" s="449"/>
      <c r="AA32" s="909"/>
      <c r="AB32" s="909"/>
      <c r="AC32" s="909"/>
      <c r="AD32" s="909"/>
      <c r="AE32" s="909"/>
      <c r="AF32" s="909"/>
      <c r="AG32" s="909"/>
      <c r="AH32" s="449"/>
      <c r="AI32" s="909"/>
      <c r="AJ32" s="909"/>
      <c r="AK32" s="909"/>
      <c r="AL32" s="909"/>
      <c r="AM32" s="909"/>
      <c r="AN32" s="909"/>
      <c r="AO32" s="909"/>
      <c r="AP32" s="909"/>
      <c r="AR32" s="909"/>
      <c r="AS32" s="909"/>
      <c r="AT32" s="909"/>
      <c r="AU32" s="909"/>
      <c r="AV32" s="909"/>
      <c r="AW32" s="909"/>
      <c r="AX32" s="909"/>
      <c r="AY32" s="909"/>
      <c r="AZ32" s="909"/>
      <c r="BA32" s="909"/>
      <c r="BB32" s="909"/>
      <c r="BC32" s="909"/>
      <c r="BD32" s="909"/>
      <c r="BF32" s="909"/>
      <c r="BI32" s="437"/>
    </row>
    <row r="33" spans="1:61" ht="15">
      <c r="A33" s="787" t="s">
        <v>86</v>
      </c>
      <c r="F33" s="917"/>
      <c r="H33" s="908"/>
      <c r="P33" s="918"/>
      <c r="R33" s="909"/>
      <c r="S33" s="909"/>
      <c r="T33" s="909"/>
      <c r="U33" s="909"/>
      <c r="V33" s="909"/>
      <c r="W33" s="909"/>
      <c r="X33" s="909"/>
      <c r="Y33" s="909"/>
      <c r="Z33" s="449"/>
      <c r="AA33" s="909"/>
      <c r="AC33" s="909"/>
      <c r="AE33" s="909"/>
      <c r="AG33" s="909"/>
      <c r="AH33" s="449"/>
      <c r="AI33" s="909"/>
      <c r="AJ33" s="909"/>
      <c r="AK33" s="909"/>
      <c r="AL33" s="909"/>
      <c r="AM33" s="909"/>
      <c r="AN33" s="909"/>
      <c r="AO33" s="909"/>
      <c r="AP33" s="909"/>
      <c r="AS33" s="909"/>
      <c r="AU33" s="909"/>
      <c r="AW33" s="909"/>
      <c r="AX33" s="909"/>
      <c r="AY33" s="909"/>
      <c r="AZ33" s="909"/>
      <c r="BA33" s="909"/>
      <c r="BB33" s="909"/>
      <c r="BC33" s="909"/>
      <c r="BD33" s="909"/>
      <c r="BI33" s="787" t="s">
        <v>86</v>
      </c>
    </row>
    <row r="34" spans="1:61" ht="15">
      <c r="A34" s="437">
        <v>300</v>
      </c>
      <c r="B34" s="900" t="s">
        <v>840</v>
      </c>
      <c r="F34" s="917"/>
      <c r="H34" s="912">
        <f>ROUND(SUM(H35:H91),0)</f>
        <v>-6537338076</v>
      </c>
      <c r="J34" s="912">
        <f>ROUND(SUM(J35:J91),0)</f>
        <v>-967358790</v>
      </c>
      <c r="K34" s="909"/>
      <c r="L34" s="912">
        <f>ROUND(SUM(L35:L91),0)</f>
        <v>-577410203</v>
      </c>
      <c r="M34" s="909"/>
      <c r="N34" s="912">
        <f>ROUND(SUM(N35:N91),0)</f>
        <v>-389961967</v>
      </c>
      <c r="O34" s="437"/>
      <c r="P34" s="784"/>
      <c r="Q34" s="437"/>
      <c r="R34" s="912">
        <f>ROUND(SUM(R35:R91),0)</f>
        <v>143301951</v>
      </c>
      <c r="S34" s="909"/>
      <c r="T34" s="912">
        <f>ROUND(SUM(T35:T91),0)</f>
        <v>-533263918</v>
      </c>
      <c r="U34" s="909"/>
      <c r="V34" s="912">
        <f>ROUND(SUM(V35:V91),0)</f>
        <v>0</v>
      </c>
      <c r="W34" s="909"/>
      <c r="X34" s="912">
        <f>ROUND(SUM(X35:X91),0)</f>
        <v>-389961967</v>
      </c>
      <c r="Y34" s="909"/>
      <c r="Z34" s="449"/>
      <c r="AA34" s="909"/>
      <c r="AB34" s="912">
        <f>SUM(AB35:AB91)</f>
        <v>31542348.201684125</v>
      </c>
      <c r="AC34" s="909"/>
      <c r="AD34" s="912">
        <f>SUM(AD35:AD91)</f>
        <v>-39417200.751207225</v>
      </c>
      <c r="AE34" s="909"/>
      <c r="AF34" s="912">
        <f>SUM(AF35:AF91)</f>
        <v>0</v>
      </c>
      <c r="AG34" s="909"/>
      <c r="AH34" s="449"/>
      <c r="AI34" s="909"/>
      <c r="AJ34" s="912">
        <f>SUM(AJ35:AJ91)</f>
        <v>111759602.79695471</v>
      </c>
      <c r="AK34" s="909"/>
      <c r="AL34" s="912">
        <f>SUM(AL35:AL91)</f>
        <v>-493846716.89575255</v>
      </c>
      <c r="AM34" s="909"/>
      <c r="AN34" s="912">
        <f>SUM(AN35:AN91)</f>
        <v>0</v>
      </c>
      <c r="AO34" s="909"/>
      <c r="AP34" s="912">
        <f>SUM(AP35:AP91)</f>
        <v>-382087114.09879768</v>
      </c>
      <c r="AR34" s="912">
        <f>SUM(AR35:AR91)</f>
        <v>13877289.495001504</v>
      </c>
      <c r="AS34" s="909"/>
      <c r="AT34" s="912">
        <f>SUM(AT35:AT91)</f>
        <v>-14750406.853601253</v>
      </c>
      <c r="AU34" s="909"/>
      <c r="AV34" s="912">
        <f>SUM(AV35:AV91)</f>
        <v>0</v>
      </c>
      <c r="AW34" s="909"/>
      <c r="AX34" s="912">
        <f>SUM(AX35:AX91)</f>
        <v>97882313.301953197</v>
      </c>
      <c r="AY34" s="909"/>
      <c r="AZ34" s="912">
        <f>SUM(AZ35:AZ91)</f>
        <v>-479096310.04215127</v>
      </c>
      <c r="BA34" s="909"/>
      <c r="BB34" s="912">
        <f>SUM(BB35:BB91)</f>
        <v>0</v>
      </c>
      <c r="BC34" s="909"/>
      <c r="BD34" s="912">
        <f>SUM(BD35:BD91)</f>
        <v>-381213996.74019814</v>
      </c>
      <c r="BF34" s="912">
        <f>ROUND(SUM(BF35:BF91),0)</f>
        <v>-529343312</v>
      </c>
      <c r="BI34" s="437">
        <f t="shared" ref="BI34:BI91" si="40">A34</f>
        <v>300</v>
      </c>
    </row>
    <row r="35" spans="1:61" ht="15">
      <c r="A35" s="437">
        <f t="shared" ref="A35:A91" si="41">A34+1</f>
        <v>301</v>
      </c>
      <c r="B35" s="913" t="s">
        <v>1704</v>
      </c>
      <c r="F35" s="917" t="s">
        <v>1524</v>
      </c>
      <c r="H35" s="914">
        <v>17450347.033142857</v>
      </c>
      <c r="J35" s="914">
        <v>6107621.4616</v>
      </c>
      <c r="K35" s="909"/>
      <c r="L35" s="914">
        <v>3664573.085138143</v>
      </c>
      <c r="M35" s="909"/>
      <c r="N35" s="914">
        <v>2443048.376461857</v>
      </c>
      <c r="P35" s="919" t="s">
        <v>845</v>
      </c>
      <c r="R35" s="909">
        <v>0</v>
      </c>
      <c r="S35" s="909"/>
      <c r="T35" s="909">
        <f>N35</f>
        <v>2443048.376461857</v>
      </c>
      <c r="U35" s="909"/>
      <c r="V35" s="909">
        <v>0</v>
      </c>
      <c r="W35" s="909"/>
      <c r="X35" s="909">
        <f>SUM(R35:V35)</f>
        <v>2443048.376461857</v>
      </c>
      <c r="Y35" s="909"/>
      <c r="Z35" s="449" t="s">
        <v>1534</v>
      </c>
      <c r="AA35" s="909"/>
      <c r="AB35" s="909">
        <v>0</v>
      </c>
      <c r="AC35" s="909"/>
      <c r="AD35" s="914">
        <v>180582.49417066458</v>
      </c>
      <c r="AE35" s="909"/>
      <c r="AF35" s="909">
        <v>0</v>
      </c>
      <c r="AG35" s="909"/>
      <c r="AH35" s="449" t="s">
        <v>856</v>
      </c>
      <c r="AI35" s="909"/>
      <c r="AJ35" s="448">
        <f t="shared" ref="AJ35:AJ91" si="42">+R35-AB35</f>
        <v>0</v>
      </c>
      <c r="AK35" s="909"/>
      <c r="AL35" s="448">
        <f t="shared" ref="AL35:AL91" si="43">+T35-AD35</f>
        <v>2262465.8822911922</v>
      </c>
      <c r="AM35" s="909"/>
      <c r="AN35" s="448">
        <f t="shared" ref="AN35:AN91" si="44">+V35-AF35</f>
        <v>0</v>
      </c>
      <c r="AO35" s="909"/>
      <c r="AP35" s="909">
        <f t="shared" ref="AP35:AP91" si="45">SUM(AJ35:AN35)</f>
        <v>2262465.8822911922</v>
      </c>
      <c r="AR35" s="909">
        <v>0</v>
      </c>
      <c r="AS35" s="909"/>
      <c r="AT35" s="914">
        <v>67576.215640193026</v>
      </c>
      <c r="AU35" s="909"/>
      <c r="AV35" s="909">
        <v>0</v>
      </c>
      <c r="AW35" s="909"/>
      <c r="AX35" s="448">
        <f t="shared" ref="AX35:AX91" si="46">+AJ35-AR35</f>
        <v>0</v>
      </c>
      <c r="AY35" s="909"/>
      <c r="AZ35" s="448">
        <f t="shared" ref="AZ35:AZ91" si="47">+AL35-AT35</f>
        <v>2194889.6666509993</v>
      </c>
      <c r="BA35" s="909"/>
      <c r="BB35" s="448">
        <f t="shared" ref="BB35:BB91" si="48">+AN35-AV35</f>
        <v>0</v>
      </c>
      <c r="BC35" s="909"/>
      <c r="BD35" s="909">
        <f t="shared" ref="BD35:BD91" si="49">SUM(AX35:BB35)</f>
        <v>2194889.6666509993</v>
      </c>
      <c r="BF35" s="909">
        <f t="shared" ref="BF35:BF91" si="50">+BD35*$BF$10</f>
        <v>3047763.6575155091</v>
      </c>
      <c r="BI35" s="437">
        <f t="shared" si="40"/>
        <v>301</v>
      </c>
    </row>
    <row r="36" spans="1:61" ht="15">
      <c r="A36" s="437">
        <f t="shared" si="41"/>
        <v>302</v>
      </c>
      <c r="B36" s="913" t="s">
        <v>1705</v>
      </c>
      <c r="F36" s="917" t="s">
        <v>1524</v>
      </c>
      <c r="H36" s="914">
        <v>-147065142.85714287</v>
      </c>
      <c r="J36" s="914">
        <v>-51472800</v>
      </c>
      <c r="K36" s="909"/>
      <c r="L36" s="914">
        <v>-30883680.335588321</v>
      </c>
      <c r="M36" s="909"/>
      <c r="N36" s="914">
        <v>-20589119.664411679</v>
      </c>
      <c r="P36" s="919" t="s">
        <v>845</v>
      </c>
      <c r="R36" s="909">
        <v>0</v>
      </c>
      <c r="S36" s="909"/>
      <c r="T36" s="909">
        <f t="shared" ref="T36:T91" si="51">N36</f>
        <v>-20589119.664411679</v>
      </c>
      <c r="U36" s="909"/>
      <c r="V36" s="909">
        <v>0</v>
      </c>
      <c r="W36" s="909"/>
      <c r="X36" s="909">
        <f t="shared" ref="X36:X97" si="52">SUM(R36:V36)</f>
        <v>-20589119.664411679</v>
      </c>
      <c r="Y36" s="909"/>
      <c r="Z36" s="449" t="s">
        <v>1534</v>
      </c>
      <c r="AA36" s="909"/>
      <c r="AB36" s="909">
        <v>0</v>
      </c>
      <c r="AC36" s="909"/>
      <c r="AD36" s="914">
        <v>-1521883.323146625</v>
      </c>
      <c r="AE36" s="909"/>
      <c r="AF36" s="909">
        <v>0</v>
      </c>
      <c r="AG36" s="909"/>
      <c r="AH36" s="449" t="s">
        <v>856</v>
      </c>
      <c r="AI36" s="909"/>
      <c r="AJ36" s="448">
        <f t="shared" si="42"/>
        <v>0</v>
      </c>
      <c r="AK36" s="909"/>
      <c r="AL36" s="448">
        <f t="shared" si="43"/>
        <v>-19067236.341265053</v>
      </c>
      <c r="AM36" s="909"/>
      <c r="AN36" s="448">
        <f t="shared" si="44"/>
        <v>0</v>
      </c>
      <c r="AO36" s="909"/>
      <c r="AP36" s="909">
        <f t="shared" si="45"/>
        <v>-19067236.341265053</v>
      </c>
      <c r="AR36" s="909">
        <v>0</v>
      </c>
      <c r="AS36" s="909"/>
      <c r="AT36" s="914">
        <v>-569507.6706991049</v>
      </c>
      <c r="AU36" s="909"/>
      <c r="AV36" s="909">
        <v>0</v>
      </c>
      <c r="AW36" s="909"/>
      <c r="AX36" s="448">
        <f t="shared" si="46"/>
        <v>0</v>
      </c>
      <c r="AY36" s="909"/>
      <c r="AZ36" s="448">
        <f t="shared" si="47"/>
        <v>-18497728.670565948</v>
      </c>
      <c r="BA36" s="909"/>
      <c r="BB36" s="448">
        <f t="shared" si="48"/>
        <v>0</v>
      </c>
      <c r="BC36" s="909"/>
      <c r="BD36" s="909">
        <f t="shared" si="49"/>
        <v>-18497728.670565948</v>
      </c>
      <c r="BF36" s="909">
        <f t="shared" si="50"/>
        <v>-25685439.247957334</v>
      </c>
      <c r="BI36" s="437">
        <f t="shared" si="40"/>
        <v>302</v>
      </c>
    </row>
    <row r="37" spans="1:61" ht="15">
      <c r="A37" s="437">
        <f t="shared" si="41"/>
        <v>303</v>
      </c>
      <c r="B37" s="913" t="s">
        <v>1706</v>
      </c>
      <c r="F37" s="917" t="s">
        <v>1524</v>
      </c>
      <c r="H37" s="914">
        <v>-274950118.55085713</v>
      </c>
      <c r="J37" s="914">
        <v>-96232541.492799997</v>
      </c>
      <c r="K37" s="909"/>
      <c r="L37" s="914">
        <v>-57739525.206700422</v>
      </c>
      <c r="M37" s="909"/>
      <c r="N37" s="914">
        <v>-38493016.286099583</v>
      </c>
      <c r="P37" s="919" t="s">
        <v>845</v>
      </c>
      <c r="R37" s="909">
        <v>0</v>
      </c>
      <c r="S37" s="909"/>
      <c r="T37" s="909">
        <f t="shared" si="51"/>
        <v>-38493016.286099583</v>
      </c>
      <c r="U37" s="909"/>
      <c r="V37" s="909">
        <v>0</v>
      </c>
      <c r="W37" s="909"/>
      <c r="X37" s="909">
        <f t="shared" si="52"/>
        <v>-38493016.286099583</v>
      </c>
      <c r="Y37" s="909"/>
      <c r="Z37" s="449" t="s">
        <v>1534</v>
      </c>
      <c r="AA37" s="909"/>
      <c r="AB37" s="909">
        <v>0</v>
      </c>
      <c r="AC37" s="909"/>
      <c r="AD37" s="914">
        <v>-2845283.3583111009</v>
      </c>
      <c r="AE37" s="909"/>
      <c r="AF37" s="909">
        <v>0</v>
      </c>
      <c r="AG37" s="909"/>
      <c r="AH37" s="449" t="s">
        <v>856</v>
      </c>
      <c r="AI37" s="909"/>
      <c r="AJ37" s="448">
        <f t="shared" si="42"/>
        <v>0</v>
      </c>
      <c r="AK37" s="909"/>
      <c r="AL37" s="448">
        <f t="shared" si="43"/>
        <v>-35647732.927788481</v>
      </c>
      <c r="AM37" s="909"/>
      <c r="AN37" s="448">
        <f t="shared" si="44"/>
        <v>0</v>
      </c>
      <c r="AO37" s="909"/>
      <c r="AP37" s="909">
        <f t="shared" si="45"/>
        <v>-35647732.927788481</v>
      </c>
      <c r="AR37" s="909">
        <v>0</v>
      </c>
      <c r="AS37" s="909"/>
      <c r="AT37" s="914">
        <v>-1064740.4260402455</v>
      </c>
      <c r="AU37" s="909"/>
      <c r="AV37" s="909">
        <v>0</v>
      </c>
      <c r="AW37" s="909"/>
      <c r="AX37" s="448">
        <f t="shared" si="46"/>
        <v>0</v>
      </c>
      <c r="AY37" s="909"/>
      <c r="AZ37" s="448">
        <f t="shared" si="47"/>
        <v>-34582992.501748234</v>
      </c>
      <c r="BA37" s="909"/>
      <c r="BB37" s="448">
        <f t="shared" si="48"/>
        <v>0</v>
      </c>
      <c r="BC37" s="909"/>
      <c r="BD37" s="909">
        <f t="shared" si="49"/>
        <v>-34582992.501748234</v>
      </c>
      <c r="BF37" s="909">
        <f t="shared" si="50"/>
        <v>-48020995.914469801</v>
      </c>
      <c r="BI37" s="437">
        <f t="shared" si="40"/>
        <v>303</v>
      </c>
    </row>
    <row r="38" spans="1:61" ht="15">
      <c r="A38" s="437">
        <f t="shared" si="41"/>
        <v>304</v>
      </c>
      <c r="B38" s="913" t="s">
        <v>1707</v>
      </c>
      <c r="F38" s="917" t="s">
        <v>1524</v>
      </c>
      <c r="H38" s="914">
        <v>-158580905.14514288</v>
      </c>
      <c r="J38" s="914">
        <v>-55503316.800800003</v>
      </c>
      <c r="K38" s="909"/>
      <c r="L38" s="914">
        <v>-33301990.229054164</v>
      </c>
      <c r="M38" s="909"/>
      <c r="N38" s="914">
        <v>-22201326.571745835</v>
      </c>
      <c r="P38" s="919" t="s">
        <v>845</v>
      </c>
      <c r="R38" s="909">
        <v>0</v>
      </c>
      <c r="S38" s="909"/>
      <c r="T38" s="909">
        <f t="shared" si="51"/>
        <v>-22201326.571745835</v>
      </c>
      <c r="U38" s="909"/>
      <c r="V38" s="909">
        <v>0</v>
      </c>
      <c r="W38" s="909"/>
      <c r="X38" s="909">
        <f t="shared" si="52"/>
        <v>-22201326.571745835</v>
      </c>
      <c r="Y38" s="909"/>
      <c r="Z38" s="449" t="s">
        <v>1534</v>
      </c>
      <c r="AA38" s="909"/>
      <c r="AB38" s="909">
        <v>0</v>
      </c>
      <c r="AC38" s="909"/>
      <c r="AD38" s="914">
        <v>-1641052.6147785876</v>
      </c>
      <c r="AE38" s="909"/>
      <c r="AF38" s="909">
        <v>0</v>
      </c>
      <c r="AG38" s="909"/>
      <c r="AH38" s="449" t="s">
        <v>856</v>
      </c>
      <c r="AI38" s="909"/>
      <c r="AJ38" s="448">
        <f t="shared" si="42"/>
        <v>0</v>
      </c>
      <c r="AK38" s="909"/>
      <c r="AL38" s="448">
        <f t="shared" si="43"/>
        <v>-20560273.95696725</v>
      </c>
      <c r="AM38" s="909"/>
      <c r="AN38" s="448">
        <f t="shared" si="44"/>
        <v>0</v>
      </c>
      <c r="AO38" s="909"/>
      <c r="AP38" s="909">
        <f t="shared" si="45"/>
        <v>-20560273.95696725</v>
      </c>
      <c r="AR38" s="909">
        <v>0</v>
      </c>
      <c r="AS38" s="909"/>
      <c r="AT38" s="914">
        <v>-614102.30201148358</v>
      </c>
      <c r="AU38" s="909"/>
      <c r="AV38" s="909">
        <v>0</v>
      </c>
      <c r="AW38" s="909"/>
      <c r="AX38" s="448">
        <f t="shared" si="46"/>
        <v>0</v>
      </c>
      <c r="AY38" s="909"/>
      <c r="AZ38" s="448">
        <f t="shared" si="47"/>
        <v>-19946171.654955767</v>
      </c>
      <c r="BA38" s="909"/>
      <c r="BB38" s="448">
        <f t="shared" si="48"/>
        <v>0</v>
      </c>
      <c r="BC38" s="909"/>
      <c r="BD38" s="909">
        <f t="shared" si="49"/>
        <v>-19946171.654955767</v>
      </c>
      <c r="BF38" s="909">
        <f t="shared" si="50"/>
        <v>-27696707.492954057</v>
      </c>
      <c r="BI38" s="437">
        <f t="shared" si="40"/>
        <v>304</v>
      </c>
    </row>
    <row r="39" spans="1:61" ht="15">
      <c r="A39" s="437">
        <f t="shared" si="41"/>
        <v>305</v>
      </c>
      <c r="B39" s="913" t="s">
        <v>1708</v>
      </c>
      <c r="F39" s="917" t="s">
        <v>1524</v>
      </c>
      <c r="H39" s="914">
        <v>-3991847.7600000002</v>
      </c>
      <c r="J39" s="914">
        <v>-1397146.716</v>
      </c>
      <c r="K39" s="909"/>
      <c r="L39" s="914">
        <v>-838288.11376799992</v>
      </c>
      <c r="M39" s="909"/>
      <c r="N39" s="914">
        <v>-558858.60223200009</v>
      </c>
      <c r="P39" s="919" t="s">
        <v>845</v>
      </c>
      <c r="R39" s="909">
        <v>0</v>
      </c>
      <c r="S39" s="909"/>
      <c r="T39" s="909">
        <f t="shared" si="51"/>
        <v>-558858.60223200009</v>
      </c>
      <c r="U39" s="909"/>
      <c r="V39" s="909">
        <v>0</v>
      </c>
      <c r="W39" s="909"/>
      <c r="X39" s="909">
        <f t="shared" si="52"/>
        <v>-558858.60223200009</v>
      </c>
      <c r="Y39" s="909"/>
      <c r="Z39" s="449" t="s">
        <v>1534</v>
      </c>
      <c r="AA39" s="909"/>
      <c r="AB39" s="909">
        <v>0</v>
      </c>
      <c r="AC39" s="909"/>
      <c r="AD39" s="914">
        <v>-41309.079775957347</v>
      </c>
      <c r="AE39" s="909"/>
      <c r="AF39" s="909">
        <v>0</v>
      </c>
      <c r="AG39" s="909"/>
      <c r="AH39" s="449" t="s">
        <v>856</v>
      </c>
      <c r="AI39" s="909"/>
      <c r="AJ39" s="448">
        <f t="shared" si="42"/>
        <v>0</v>
      </c>
      <c r="AK39" s="909"/>
      <c r="AL39" s="448">
        <f t="shared" si="43"/>
        <v>-517549.52245604276</v>
      </c>
      <c r="AM39" s="909"/>
      <c r="AN39" s="448">
        <f t="shared" si="44"/>
        <v>0</v>
      </c>
      <c r="AO39" s="909"/>
      <c r="AP39" s="909">
        <f t="shared" si="45"/>
        <v>-517549.52245604276</v>
      </c>
      <c r="AR39" s="909">
        <v>0</v>
      </c>
      <c r="AS39" s="909"/>
      <c r="AT39" s="914">
        <v>-15458.371508590602</v>
      </c>
      <c r="AU39" s="909"/>
      <c r="AV39" s="909">
        <v>0</v>
      </c>
      <c r="AW39" s="909"/>
      <c r="AX39" s="448">
        <f t="shared" si="46"/>
        <v>0</v>
      </c>
      <c r="AY39" s="909"/>
      <c r="AZ39" s="448">
        <f t="shared" si="47"/>
        <v>-502091.15094745217</v>
      </c>
      <c r="BA39" s="909"/>
      <c r="BB39" s="448">
        <f t="shared" si="48"/>
        <v>0</v>
      </c>
      <c r="BC39" s="909"/>
      <c r="BD39" s="909">
        <f t="shared" si="49"/>
        <v>-502091.15094745217</v>
      </c>
      <c r="BF39" s="909">
        <f t="shared" si="50"/>
        <v>-697190.01636773313</v>
      </c>
      <c r="BI39" s="437">
        <f t="shared" si="40"/>
        <v>305</v>
      </c>
    </row>
    <row r="40" spans="1:61" ht="15">
      <c r="A40" s="437">
        <f t="shared" si="41"/>
        <v>306</v>
      </c>
      <c r="B40" s="913" t="s">
        <v>1709</v>
      </c>
      <c r="F40" s="917" t="s">
        <v>1524</v>
      </c>
      <c r="H40" s="914">
        <v>380491.42857142858</v>
      </c>
      <c r="J40" s="914">
        <v>133172</v>
      </c>
      <c r="K40" s="909"/>
      <c r="L40" s="914">
        <v>79903.251144966285</v>
      </c>
      <c r="M40" s="909"/>
      <c r="N40" s="914">
        <v>53268.748855033715</v>
      </c>
      <c r="P40" s="919" t="s">
        <v>845</v>
      </c>
      <c r="R40" s="909">
        <v>0</v>
      </c>
      <c r="S40" s="909"/>
      <c r="T40" s="909">
        <f t="shared" si="51"/>
        <v>53268.748855033715</v>
      </c>
      <c r="U40" s="909"/>
      <c r="V40" s="909">
        <v>0</v>
      </c>
      <c r="W40" s="909"/>
      <c r="X40" s="909">
        <f t="shared" si="52"/>
        <v>53268.748855033715</v>
      </c>
      <c r="Y40" s="909"/>
      <c r="Z40" s="449" t="s">
        <v>1534</v>
      </c>
      <c r="AA40" s="909"/>
      <c r="AB40" s="909">
        <v>0</v>
      </c>
      <c r="AC40" s="909"/>
      <c r="AD40" s="914">
        <v>3937.4592915446137</v>
      </c>
      <c r="AE40" s="909"/>
      <c r="AF40" s="909">
        <v>0</v>
      </c>
      <c r="AG40" s="909"/>
      <c r="AH40" s="449" t="s">
        <v>856</v>
      </c>
      <c r="AI40" s="909"/>
      <c r="AJ40" s="448">
        <f t="shared" si="42"/>
        <v>0</v>
      </c>
      <c r="AK40" s="909"/>
      <c r="AL40" s="448">
        <f t="shared" si="43"/>
        <v>49331.289563489103</v>
      </c>
      <c r="AM40" s="909"/>
      <c r="AN40" s="448">
        <f t="shared" si="44"/>
        <v>0</v>
      </c>
      <c r="AO40" s="909"/>
      <c r="AP40" s="909">
        <f t="shared" si="45"/>
        <v>49331.289563489103</v>
      </c>
      <c r="AR40" s="909">
        <v>0</v>
      </c>
      <c r="AS40" s="909"/>
      <c r="AT40" s="914">
        <v>1473.446246170658</v>
      </c>
      <c r="AU40" s="909"/>
      <c r="AV40" s="909">
        <v>0</v>
      </c>
      <c r="AW40" s="909"/>
      <c r="AX40" s="448">
        <f t="shared" si="46"/>
        <v>0</v>
      </c>
      <c r="AY40" s="909"/>
      <c r="AZ40" s="448">
        <f t="shared" si="47"/>
        <v>47857.843317318446</v>
      </c>
      <c r="BA40" s="909"/>
      <c r="BB40" s="448">
        <f t="shared" si="48"/>
        <v>0</v>
      </c>
      <c r="BC40" s="909"/>
      <c r="BD40" s="909">
        <f t="shared" si="49"/>
        <v>47857.843317318446</v>
      </c>
      <c r="BF40" s="909">
        <f t="shared" si="50"/>
        <v>66454.090064649776</v>
      </c>
      <c r="BI40" s="437">
        <f t="shared" si="40"/>
        <v>306</v>
      </c>
    </row>
    <row r="41" spans="1:61" ht="15">
      <c r="A41" s="437">
        <f t="shared" si="41"/>
        <v>307</v>
      </c>
      <c r="B41" s="913" t="s">
        <v>1710</v>
      </c>
      <c r="F41" s="917" t="s">
        <v>1524</v>
      </c>
      <c r="H41" s="914">
        <v>-834502531.42857146</v>
      </c>
      <c r="J41" s="914">
        <v>-292075886</v>
      </c>
      <c r="K41" s="909"/>
      <c r="L41" s="914">
        <v>-175245531.22331384</v>
      </c>
      <c r="M41" s="909"/>
      <c r="N41" s="914">
        <v>-116830354.77668616</v>
      </c>
      <c r="P41" s="919" t="s">
        <v>845</v>
      </c>
      <c r="R41" s="909">
        <v>0</v>
      </c>
      <c r="S41" s="909"/>
      <c r="T41" s="909">
        <f t="shared" si="51"/>
        <v>-116830354.77668616</v>
      </c>
      <c r="U41" s="909"/>
      <c r="V41" s="909">
        <v>0</v>
      </c>
      <c r="W41" s="909"/>
      <c r="X41" s="909">
        <f t="shared" si="52"/>
        <v>-116830354.77668616</v>
      </c>
      <c r="Y41" s="909"/>
      <c r="Z41" s="449" t="s">
        <v>1534</v>
      </c>
      <c r="AA41" s="909"/>
      <c r="AB41" s="909">
        <v>0</v>
      </c>
      <c r="AC41" s="909"/>
      <c r="AD41" s="914">
        <v>-8635734.3815565649</v>
      </c>
      <c r="AE41" s="909"/>
      <c r="AF41" s="909">
        <v>0</v>
      </c>
      <c r="AG41" s="909"/>
      <c r="AH41" s="449" t="s">
        <v>856</v>
      </c>
      <c r="AI41" s="909"/>
      <c r="AJ41" s="448">
        <f t="shared" si="42"/>
        <v>0</v>
      </c>
      <c r="AK41" s="909"/>
      <c r="AL41" s="448">
        <f t="shared" si="43"/>
        <v>-108194620.39512959</v>
      </c>
      <c r="AM41" s="909"/>
      <c r="AN41" s="448">
        <f t="shared" si="44"/>
        <v>0</v>
      </c>
      <c r="AO41" s="909"/>
      <c r="AP41" s="909">
        <f t="shared" si="45"/>
        <v>-108194620.39512959</v>
      </c>
      <c r="AR41" s="909">
        <v>0</v>
      </c>
      <c r="AS41" s="909"/>
      <c r="AT41" s="914">
        <v>-3231599.2281509629</v>
      </c>
      <c r="AU41" s="909"/>
      <c r="AV41" s="909">
        <v>0</v>
      </c>
      <c r="AW41" s="909"/>
      <c r="AX41" s="448">
        <f t="shared" si="46"/>
        <v>0</v>
      </c>
      <c r="AY41" s="909"/>
      <c r="AZ41" s="448">
        <f t="shared" si="47"/>
        <v>-104963021.16697863</v>
      </c>
      <c r="BA41" s="909"/>
      <c r="BB41" s="448">
        <f t="shared" si="48"/>
        <v>0</v>
      </c>
      <c r="BC41" s="909"/>
      <c r="BD41" s="909">
        <f t="shared" si="49"/>
        <v>-104963021.16697863</v>
      </c>
      <c r="BF41" s="909">
        <f t="shared" si="50"/>
        <v>-145748775.51082617</v>
      </c>
      <c r="BI41" s="437">
        <f t="shared" si="40"/>
        <v>307</v>
      </c>
    </row>
    <row r="42" spans="1:61" ht="15">
      <c r="A42" s="437">
        <f t="shared" si="41"/>
        <v>308</v>
      </c>
      <c r="B42" s="913" t="s">
        <v>1711</v>
      </c>
      <c r="F42" s="917" t="s">
        <v>1524</v>
      </c>
      <c r="H42" s="914">
        <v>1137009073.8537145</v>
      </c>
      <c r="J42" s="914">
        <v>397953175.8488</v>
      </c>
      <c r="K42" s="909"/>
      <c r="L42" s="914">
        <v>238771905.94613707</v>
      </c>
      <c r="M42" s="909"/>
      <c r="N42" s="914">
        <v>159181269.90266293</v>
      </c>
      <c r="P42" s="919" t="s">
        <v>845</v>
      </c>
      <c r="R42" s="909">
        <f>N42</f>
        <v>159181269.90266293</v>
      </c>
      <c r="S42" s="909"/>
      <c r="T42" s="909"/>
      <c r="U42" s="909"/>
      <c r="V42" s="909">
        <v>0</v>
      </c>
      <c r="W42" s="909"/>
      <c r="X42" s="909">
        <f t="shared" si="52"/>
        <v>159181269.90266293</v>
      </c>
      <c r="Y42" s="909"/>
      <c r="Z42" s="449" t="s">
        <v>831</v>
      </c>
      <c r="AA42" s="909"/>
      <c r="AB42" s="914">
        <v>35037562.346263848</v>
      </c>
      <c r="AC42" s="909"/>
      <c r="AD42" s="909">
        <v>0</v>
      </c>
      <c r="AE42" s="909"/>
      <c r="AF42" s="909">
        <v>0</v>
      </c>
      <c r="AG42" s="909"/>
      <c r="AH42" s="449" t="s">
        <v>856</v>
      </c>
      <c r="AI42" s="909"/>
      <c r="AJ42" s="448">
        <f t="shared" si="42"/>
        <v>124143707.55639908</v>
      </c>
      <c r="AK42" s="909"/>
      <c r="AL42" s="448">
        <f t="shared" si="43"/>
        <v>0</v>
      </c>
      <c r="AM42" s="909"/>
      <c r="AN42" s="448">
        <f t="shared" si="44"/>
        <v>0</v>
      </c>
      <c r="AO42" s="909"/>
      <c r="AP42" s="909">
        <f t="shared" si="45"/>
        <v>124143707.55639908</v>
      </c>
      <c r="AR42" s="914">
        <v>15415034.821418487</v>
      </c>
      <c r="AS42" s="909"/>
      <c r="AT42" s="909"/>
      <c r="AU42" s="909"/>
      <c r="AV42" s="909">
        <v>0</v>
      </c>
      <c r="AW42" s="909"/>
      <c r="AX42" s="448">
        <f t="shared" si="46"/>
        <v>108728672.73498058</v>
      </c>
      <c r="AY42" s="909"/>
      <c r="AZ42" s="448">
        <f t="shared" si="47"/>
        <v>0</v>
      </c>
      <c r="BA42" s="909"/>
      <c r="BB42" s="448">
        <f t="shared" si="48"/>
        <v>0</v>
      </c>
      <c r="BC42" s="909"/>
      <c r="BD42" s="909">
        <f t="shared" si="49"/>
        <v>108728672.73498058</v>
      </c>
      <c r="BF42" s="909">
        <f t="shared" si="50"/>
        <v>150977656.11024791</v>
      </c>
      <c r="BI42" s="437">
        <f t="shared" si="40"/>
        <v>308</v>
      </c>
    </row>
    <row r="43" spans="1:61" ht="15">
      <c r="A43" s="437">
        <f t="shared" si="41"/>
        <v>309</v>
      </c>
      <c r="B43" s="913" t="s">
        <v>1712</v>
      </c>
      <c r="F43" s="917" t="s">
        <v>1524</v>
      </c>
      <c r="H43" s="914">
        <v>-1894448.5714285716</v>
      </c>
      <c r="J43" s="914">
        <v>-663057</v>
      </c>
      <c r="K43" s="909"/>
      <c r="L43" s="914">
        <v>-397834</v>
      </c>
      <c r="M43" s="909"/>
      <c r="N43" s="914">
        <v>-265223</v>
      </c>
      <c r="P43" s="919" t="s">
        <v>845</v>
      </c>
      <c r="R43" s="909">
        <v>0</v>
      </c>
      <c r="S43" s="909"/>
      <c r="T43" s="909">
        <f t="shared" si="51"/>
        <v>-265223</v>
      </c>
      <c r="U43" s="909"/>
      <c r="V43" s="909">
        <v>0</v>
      </c>
      <c r="W43" s="909"/>
      <c r="X43" s="909">
        <f t="shared" si="52"/>
        <v>-265223</v>
      </c>
      <c r="Y43" s="909"/>
      <c r="Z43" s="449" t="s">
        <v>1534</v>
      </c>
      <c r="AA43" s="909"/>
      <c r="AB43" s="909">
        <v>0</v>
      </c>
      <c r="AC43" s="909"/>
      <c r="AD43" s="914">
        <v>-19604.454546573299</v>
      </c>
      <c r="AE43" s="909"/>
      <c r="AF43" s="909">
        <v>0</v>
      </c>
      <c r="AG43" s="909"/>
      <c r="AH43" s="449" t="s">
        <v>856</v>
      </c>
      <c r="AI43" s="909"/>
      <c r="AJ43" s="448">
        <f t="shared" si="42"/>
        <v>0</v>
      </c>
      <c r="AK43" s="909"/>
      <c r="AL43" s="448">
        <f t="shared" si="43"/>
        <v>-245618.54545342669</v>
      </c>
      <c r="AM43" s="909"/>
      <c r="AN43" s="448">
        <f t="shared" si="44"/>
        <v>0</v>
      </c>
      <c r="AO43" s="909"/>
      <c r="AP43" s="909">
        <f t="shared" si="45"/>
        <v>-245618.54545342669</v>
      </c>
      <c r="AR43" s="909">
        <v>0</v>
      </c>
      <c r="AS43" s="909"/>
      <c r="AT43" s="914">
        <v>-7336.2307572048767</v>
      </c>
      <c r="AU43" s="909"/>
      <c r="AV43" s="909">
        <v>0</v>
      </c>
      <c r="AW43" s="909"/>
      <c r="AX43" s="448">
        <f t="shared" si="46"/>
        <v>0</v>
      </c>
      <c r="AY43" s="909"/>
      <c r="AZ43" s="448">
        <f t="shared" si="47"/>
        <v>-238282.31469622182</v>
      </c>
      <c r="BA43" s="909"/>
      <c r="BB43" s="448">
        <f t="shared" si="48"/>
        <v>0</v>
      </c>
      <c r="BC43" s="909"/>
      <c r="BD43" s="909">
        <f t="shared" si="49"/>
        <v>-238282.31469622182</v>
      </c>
      <c r="BF43" s="909">
        <f t="shared" si="50"/>
        <v>-330872.29394446517</v>
      </c>
      <c r="BI43" s="437">
        <f t="shared" si="40"/>
        <v>309</v>
      </c>
    </row>
    <row r="44" spans="1:61" ht="15">
      <c r="A44" s="437">
        <f t="shared" si="41"/>
        <v>310</v>
      </c>
      <c r="B44" s="913" t="s">
        <v>1713</v>
      </c>
      <c r="F44" s="917" t="s">
        <v>1524</v>
      </c>
      <c r="H44" s="914">
        <v>-9975239.2251428571</v>
      </c>
      <c r="J44" s="914">
        <v>-3491333.7287999997</v>
      </c>
      <c r="K44" s="909"/>
      <c r="L44" s="914">
        <v>-2094800.7143676016</v>
      </c>
      <c r="M44" s="909"/>
      <c r="N44" s="914">
        <v>-1396533.0144323986</v>
      </c>
      <c r="P44" s="919" t="s">
        <v>845</v>
      </c>
      <c r="R44" s="909">
        <v>0</v>
      </c>
      <c r="S44" s="909"/>
      <c r="T44" s="909">
        <f t="shared" si="51"/>
        <v>-1396533.0144323986</v>
      </c>
      <c r="U44" s="909"/>
      <c r="V44" s="909">
        <v>0</v>
      </c>
      <c r="W44" s="909"/>
      <c r="X44" s="909">
        <f t="shared" si="52"/>
        <v>-1396533.0144323986</v>
      </c>
      <c r="Y44" s="909"/>
      <c r="Z44" s="449" t="s">
        <v>1534</v>
      </c>
      <c r="AA44" s="909"/>
      <c r="AB44" s="909">
        <v>0</v>
      </c>
      <c r="AC44" s="909"/>
      <c r="AD44" s="914">
        <v>-103227.35209325342</v>
      </c>
      <c r="AE44" s="909"/>
      <c r="AF44" s="909">
        <v>0</v>
      </c>
      <c r="AG44" s="909"/>
      <c r="AH44" s="449" t="s">
        <v>856</v>
      </c>
      <c r="AI44" s="909"/>
      <c r="AJ44" s="448">
        <f t="shared" si="42"/>
        <v>0</v>
      </c>
      <c r="AK44" s="909"/>
      <c r="AL44" s="448">
        <f t="shared" si="43"/>
        <v>-1293305.6623391451</v>
      </c>
      <c r="AM44" s="909"/>
      <c r="AN44" s="448">
        <f t="shared" si="44"/>
        <v>0</v>
      </c>
      <c r="AO44" s="909"/>
      <c r="AP44" s="909">
        <f t="shared" si="45"/>
        <v>-1293305.6623391451</v>
      </c>
      <c r="AR44" s="909">
        <v>0</v>
      </c>
      <c r="AS44" s="909"/>
      <c r="AT44" s="914">
        <v>-38628.959230274166</v>
      </c>
      <c r="AU44" s="909"/>
      <c r="AV44" s="909">
        <v>0</v>
      </c>
      <c r="AW44" s="909"/>
      <c r="AX44" s="448">
        <f t="shared" si="46"/>
        <v>0</v>
      </c>
      <c r="AY44" s="909"/>
      <c r="AZ44" s="448">
        <f t="shared" si="47"/>
        <v>-1254676.7031088709</v>
      </c>
      <c r="BA44" s="909"/>
      <c r="BB44" s="448">
        <f t="shared" si="48"/>
        <v>0</v>
      </c>
      <c r="BC44" s="909"/>
      <c r="BD44" s="909">
        <f t="shared" si="49"/>
        <v>-1254676.7031088709</v>
      </c>
      <c r="BF44" s="909">
        <f t="shared" si="50"/>
        <v>-1742209.695442803</v>
      </c>
      <c r="BI44" s="437">
        <f t="shared" si="40"/>
        <v>310</v>
      </c>
    </row>
    <row r="45" spans="1:61" ht="15">
      <c r="A45" s="437">
        <f t="shared" si="41"/>
        <v>311</v>
      </c>
      <c r="B45" s="913" t="s">
        <v>1714</v>
      </c>
      <c r="F45" s="917" t="s">
        <v>1524</v>
      </c>
      <c r="H45" s="914">
        <v>83031671.970285714</v>
      </c>
      <c r="J45" s="914">
        <v>29061085.189599998</v>
      </c>
      <c r="K45" s="909"/>
      <c r="L45" s="914">
        <v>17436650.112159714</v>
      </c>
      <c r="M45" s="909"/>
      <c r="N45" s="914">
        <v>11624435.077440288</v>
      </c>
      <c r="P45" s="919" t="s">
        <v>845</v>
      </c>
      <c r="R45" s="909">
        <v>0</v>
      </c>
      <c r="S45" s="909"/>
      <c r="T45" s="909">
        <f t="shared" si="51"/>
        <v>11624435.077440288</v>
      </c>
      <c r="U45" s="909"/>
      <c r="V45" s="909">
        <v>0</v>
      </c>
      <c r="W45" s="909"/>
      <c r="X45" s="909">
        <f t="shared" si="52"/>
        <v>11624435.077440288</v>
      </c>
      <c r="Y45" s="909"/>
      <c r="Z45" s="449" t="s">
        <v>1534</v>
      </c>
      <c r="AA45" s="909"/>
      <c r="AB45" s="909">
        <v>0</v>
      </c>
      <c r="AC45" s="909"/>
      <c r="AD45" s="914">
        <v>859241.87987192068</v>
      </c>
      <c r="AE45" s="909"/>
      <c r="AF45" s="909">
        <v>0</v>
      </c>
      <c r="AG45" s="909"/>
      <c r="AH45" s="449" t="s">
        <v>856</v>
      </c>
      <c r="AI45" s="909"/>
      <c r="AJ45" s="448">
        <f t="shared" si="42"/>
        <v>0</v>
      </c>
      <c r="AK45" s="909"/>
      <c r="AL45" s="448">
        <f t="shared" si="43"/>
        <v>10765193.197568368</v>
      </c>
      <c r="AM45" s="909"/>
      <c r="AN45" s="448">
        <f t="shared" si="44"/>
        <v>0</v>
      </c>
      <c r="AO45" s="909"/>
      <c r="AP45" s="909">
        <f t="shared" si="45"/>
        <v>10765193.197568368</v>
      </c>
      <c r="AR45" s="909">
        <v>0</v>
      </c>
      <c r="AS45" s="909"/>
      <c r="AT45" s="914">
        <v>321538.99982372834</v>
      </c>
      <c r="AU45" s="909"/>
      <c r="AV45" s="909">
        <v>0</v>
      </c>
      <c r="AW45" s="909"/>
      <c r="AX45" s="448">
        <f t="shared" si="46"/>
        <v>0</v>
      </c>
      <c r="AY45" s="909"/>
      <c r="AZ45" s="448">
        <f t="shared" si="47"/>
        <v>10443654.19774464</v>
      </c>
      <c r="BA45" s="909"/>
      <c r="BB45" s="448">
        <f t="shared" si="48"/>
        <v>0</v>
      </c>
      <c r="BC45" s="909"/>
      <c r="BD45" s="909">
        <f t="shared" si="49"/>
        <v>10443654.19774464</v>
      </c>
      <c r="BF45" s="909">
        <f t="shared" si="50"/>
        <v>14501772.093224097</v>
      </c>
      <c r="BI45" s="437">
        <f t="shared" si="40"/>
        <v>311</v>
      </c>
    </row>
    <row r="46" spans="1:61" ht="15">
      <c r="A46" s="437">
        <f t="shared" si="41"/>
        <v>312</v>
      </c>
      <c r="B46" s="913" t="s">
        <v>1715</v>
      </c>
      <c r="F46" s="917" t="s">
        <v>1524</v>
      </c>
      <c r="H46" s="914">
        <v>-207909196.3177143</v>
      </c>
      <c r="J46" s="914">
        <v>-72768218.711199999</v>
      </c>
      <c r="K46" s="909"/>
      <c r="L46" s="914">
        <v>-43663363.94237633</v>
      </c>
      <c r="M46" s="909"/>
      <c r="N46" s="914">
        <v>-29104854.768823672</v>
      </c>
      <c r="P46" s="919" t="s">
        <v>845</v>
      </c>
      <c r="R46" s="909">
        <v>0</v>
      </c>
      <c r="S46" s="909"/>
      <c r="T46" s="909">
        <f t="shared" si="51"/>
        <v>-29104854.768823672</v>
      </c>
      <c r="U46" s="909"/>
      <c r="V46" s="909">
        <v>0</v>
      </c>
      <c r="W46" s="909"/>
      <c r="X46" s="909">
        <f t="shared" si="52"/>
        <v>-29104854.768823672</v>
      </c>
      <c r="Y46" s="909"/>
      <c r="Z46" s="449" t="s">
        <v>1534</v>
      </c>
      <c r="AA46" s="909"/>
      <c r="AB46" s="909">
        <v>0</v>
      </c>
      <c r="AC46" s="909"/>
      <c r="AD46" s="914">
        <v>-2151339.8249775507</v>
      </c>
      <c r="AE46" s="909"/>
      <c r="AF46" s="909">
        <v>0</v>
      </c>
      <c r="AG46" s="909"/>
      <c r="AH46" s="449" t="s">
        <v>856</v>
      </c>
      <c r="AI46" s="909"/>
      <c r="AJ46" s="448">
        <f t="shared" si="42"/>
        <v>0</v>
      </c>
      <c r="AK46" s="909"/>
      <c r="AL46" s="448">
        <f t="shared" si="43"/>
        <v>-26953514.943846121</v>
      </c>
      <c r="AM46" s="909"/>
      <c r="AN46" s="448">
        <f t="shared" si="44"/>
        <v>0</v>
      </c>
      <c r="AO46" s="909"/>
      <c r="AP46" s="909">
        <f t="shared" si="45"/>
        <v>-26953514.943846121</v>
      </c>
      <c r="AR46" s="909">
        <v>0</v>
      </c>
      <c r="AS46" s="909"/>
      <c r="AT46" s="914">
        <v>-805058.12368846324</v>
      </c>
      <c r="AU46" s="909"/>
      <c r="AV46" s="909">
        <v>0</v>
      </c>
      <c r="AW46" s="909"/>
      <c r="AX46" s="448">
        <f t="shared" si="46"/>
        <v>0</v>
      </c>
      <c r="AY46" s="909"/>
      <c r="AZ46" s="448">
        <f t="shared" si="47"/>
        <v>-26148456.820157658</v>
      </c>
      <c r="BA46" s="909"/>
      <c r="BB46" s="448">
        <f t="shared" si="48"/>
        <v>0</v>
      </c>
      <c r="BC46" s="909"/>
      <c r="BD46" s="909">
        <f t="shared" si="49"/>
        <v>-26148456.820157658</v>
      </c>
      <c r="BF46" s="909">
        <f t="shared" si="50"/>
        <v>-36309030.748770639</v>
      </c>
      <c r="BI46" s="437">
        <f t="shared" si="40"/>
        <v>312</v>
      </c>
    </row>
    <row r="47" spans="1:61" ht="15">
      <c r="A47" s="437">
        <f t="shared" si="41"/>
        <v>313</v>
      </c>
      <c r="B47" s="913" t="s">
        <v>1716</v>
      </c>
      <c r="F47" s="917" t="s">
        <v>1524</v>
      </c>
      <c r="H47" s="914">
        <v>-1683355111.3371432</v>
      </c>
      <c r="J47" s="914">
        <v>-589174288.96800005</v>
      </c>
      <c r="K47" s="909"/>
      <c r="L47" s="914">
        <v>-371097719.70119721</v>
      </c>
      <c r="M47" s="909"/>
      <c r="N47" s="914">
        <v>-218076569.26680282</v>
      </c>
      <c r="P47" s="919" t="s">
        <v>845</v>
      </c>
      <c r="R47" s="909">
        <v>0</v>
      </c>
      <c r="S47" s="909"/>
      <c r="T47" s="909">
        <f t="shared" si="51"/>
        <v>-218076569.26680282</v>
      </c>
      <c r="U47" s="909"/>
      <c r="V47" s="909">
        <v>0</v>
      </c>
      <c r="W47" s="909"/>
      <c r="X47" s="909">
        <f t="shared" si="52"/>
        <v>-218076569.26680282</v>
      </c>
      <c r="Y47" s="909"/>
      <c r="Z47" s="449" t="s">
        <v>1534</v>
      </c>
      <c r="AA47" s="909"/>
      <c r="AB47" s="909">
        <v>0</v>
      </c>
      <c r="AC47" s="909"/>
      <c r="AD47" s="914">
        <v>-16119537.8600788</v>
      </c>
      <c r="AE47" s="909"/>
      <c r="AF47" s="909">
        <v>0</v>
      </c>
      <c r="AG47" s="909"/>
      <c r="AH47" s="449" t="s">
        <v>856</v>
      </c>
      <c r="AI47" s="909"/>
      <c r="AJ47" s="448">
        <f t="shared" si="42"/>
        <v>0</v>
      </c>
      <c r="AK47" s="909"/>
      <c r="AL47" s="448">
        <f t="shared" si="43"/>
        <v>-201957031.40672401</v>
      </c>
      <c r="AM47" s="909"/>
      <c r="AN47" s="448">
        <f t="shared" si="44"/>
        <v>0</v>
      </c>
      <c r="AO47" s="909"/>
      <c r="AP47" s="909">
        <f t="shared" si="45"/>
        <v>-201957031.40672401</v>
      </c>
      <c r="AR47" s="909">
        <v>0</v>
      </c>
      <c r="AS47" s="909"/>
      <c r="AT47" s="914">
        <v>-6032131.5831614854</v>
      </c>
      <c r="AU47" s="909"/>
      <c r="AV47" s="909">
        <v>0</v>
      </c>
      <c r="AW47" s="909"/>
      <c r="AX47" s="448">
        <f t="shared" si="46"/>
        <v>0</v>
      </c>
      <c r="AY47" s="909"/>
      <c r="AZ47" s="448">
        <f t="shared" si="47"/>
        <v>-195924899.82356253</v>
      </c>
      <c r="BA47" s="909"/>
      <c r="BB47" s="448">
        <f t="shared" si="48"/>
        <v>0</v>
      </c>
      <c r="BC47" s="909"/>
      <c r="BD47" s="909">
        <f t="shared" si="49"/>
        <v>-195924899.82356253</v>
      </c>
      <c r="BF47" s="909">
        <f t="shared" si="50"/>
        <v>-272055948.12232006</v>
      </c>
      <c r="BI47" s="437">
        <f t="shared" si="40"/>
        <v>313</v>
      </c>
    </row>
    <row r="48" spans="1:61" ht="15">
      <c r="A48" s="437">
        <f t="shared" si="41"/>
        <v>314</v>
      </c>
      <c r="B48" s="913" t="s">
        <v>1717</v>
      </c>
      <c r="F48" s="917" t="s">
        <v>1524</v>
      </c>
      <c r="H48" s="914">
        <v>-101522514.08000001</v>
      </c>
      <c r="J48" s="914">
        <v>-35532879.928000003</v>
      </c>
      <c r="K48" s="909"/>
      <c r="L48" s="914">
        <v>-377579.07885599998</v>
      </c>
      <c r="M48" s="909"/>
      <c r="N48" s="914">
        <v>-35155300.849143997</v>
      </c>
      <c r="P48" s="919" t="s">
        <v>845</v>
      </c>
      <c r="R48" s="909">
        <v>0</v>
      </c>
      <c r="S48" s="909"/>
      <c r="T48" s="909">
        <f t="shared" si="51"/>
        <v>-35155300.849143997</v>
      </c>
      <c r="U48" s="909"/>
      <c r="V48" s="909">
        <v>0</v>
      </c>
      <c r="W48" s="909"/>
      <c r="X48" s="909">
        <f t="shared" si="52"/>
        <v>-35155300.849143997</v>
      </c>
      <c r="Y48" s="909"/>
      <c r="Z48" s="449" t="s">
        <v>1534</v>
      </c>
      <c r="AA48" s="909"/>
      <c r="AB48" s="909">
        <v>0</v>
      </c>
      <c r="AC48" s="909"/>
      <c r="AD48" s="914">
        <v>-2598569.8735334165</v>
      </c>
      <c r="AE48" s="909"/>
      <c r="AF48" s="909">
        <v>0</v>
      </c>
      <c r="AG48" s="909"/>
      <c r="AH48" s="449" t="s">
        <v>856</v>
      </c>
      <c r="AI48" s="909"/>
      <c r="AJ48" s="448">
        <f t="shared" si="42"/>
        <v>0</v>
      </c>
      <c r="AK48" s="909"/>
      <c r="AL48" s="448">
        <f t="shared" si="43"/>
        <v>-32556730.97561058</v>
      </c>
      <c r="AM48" s="909"/>
      <c r="AN48" s="448">
        <f t="shared" si="44"/>
        <v>0</v>
      </c>
      <c r="AO48" s="909"/>
      <c r="AP48" s="909">
        <f t="shared" si="45"/>
        <v>-32556730.97561058</v>
      </c>
      <c r="AR48" s="909">
        <v>0</v>
      </c>
      <c r="AS48" s="909"/>
      <c r="AT48" s="914">
        <v>-972417.1710910477</v>
      </c>
      <c r="AU48" s="909"/>
      <c r="AV48" s="909">
        <v>0</v>
      </c>
      <c r="AW48" s="909"/>
      <c r="AX48" s="448">
        <f t="shared" si="46"/>
        <v>0</v>
      </c>
      <c r="AY48" s="909"/>
      <c r="AZ48" s="448">
        <f t="shared" si="47"/>
        <v>-31584313.804519534</v>
      </c>
      <c r="BA48" s="909"/>
      <c r="BB48" s="448">
        <f t="shared" si="48"/>
        <v>0</v>
      </c>
      <c r="BC48" s="909"/>
      <c r="BD48" s="909">
        <f t="shared" si="49"/>
        <v>-31584313.804519534</v>
      </c>
      <c r="BF48" s="909">
        <f t="shared" si="50"/>
        <v>-43857112.83057683</v>
      </c>
      <c r="BI48" s="437">
        <f t="shared" si="40"/>
        <v>314</v>
      </c>
    </row>
    <row r="49" spans="1:61" ht="15">
      <c r="A49" s="437">
        <f t="shared" si="41"/>
        <v>315</v>
      </c>
      <c r="B49" s="913" t="s">
        <v>1718</v>
      </c>
      <c r="F49" s="917" t="s">
        <v>1524</v>
      </c>
      <c r="H49" s="914">
        <v>-315858420</v>
      </c>
      <c r="J49" s="914">
        <v>-110550447</v>
      </c>
      <c r="K49" s="909"/>
      <c r="L49" s="914">
        <v>-66330267.945684917</v>
      </c>
      <c r="M49" s="909"/>
      <c r="N49" s="914">
        <v>-44220179.054315083</v>
      </c>
      <c r="P49" s="919" t="s">
        <v>845</v>
      </c>
      <c r="R49" s="909">
        <v>0</v>
      </c>
      <c r="S49" s="909"/>
      <c r="T49" s="909">
        <f t="shared" si="51"/>
        <v>-44220179.054315083</v>
      </c>
      <c r="U49" s="909"/>
      <c r="V49" s="909">
        <v>0</v>
      </c>
      <c r="W49" s="909"/>
      <c r="X49" s="909">
        <f t="shared" si="52"/>
        <v>-44220179.054315083</v>
      </c>
      <c r="Y49" s="909"/>
      <c r="Z49" s="449" t="s">
        <v>1534</v>
      </c>
      <c r="AA49" s="909"/>
      <c r="AB49" s="909">
        <v>0</v>
      </c>
      <c r="AC49" s="909"/>
      <c r="AD49" s="914">
        <v>-3268617.31566136</v>
      </c>
      <c r="AE49" s="909"/>
      <c r="AF49" s="909">
        <v>0</v>
      </c>
      <c r="AG49" s="909"/>
      <c r="AH49" s="449" t="s">
        <v>856</v>
      </c>
      <c r="AI49" s="909"/>
      <c r="AJ49" s="448">
        <f t="shared" si="42"/>
        <v>0</v>
      </c>
      <c r="AK49" s="909"/>
      <c r="AL49" s="448">
        <f t="shared" si="43"/>
        <v>-40951561.738653719</v>
      </c>
      <c r="AM49" s="909"/>
      <c r="AN49" s="448">
        <f t="shared" si="44"/>
        <v>0</v>
      </c>
      <c r="AO49" s="909"/>
      <c r="AP49" s="909">
        <f t="shared" si="45"/>
        <v>-40951561.738653719</v>
      </c>
      <c r="AR49" s="909">
        <v>0</v>
      </c>
      <c r="AS49" s="909"/>
      <c r="AT49" s="914">
        <v>-1223157.2588628181</v>
      </c>
      <c r="AU49" s="909"/>
      <c r="AV49" s="909">
        <v>0</v>
      </c>
      <c r="AW49" s="909"/>
      <c r="AX49" s="448">
        <f t="shared" si="46"/>
        <v>0</v>
      </c>
      <c r="AY49" s="909"/>
      <c r="AZ49" s="448">
        <f t="shared" si="47"/>
        <v>-39728404.479790904</v>
      </c>
      <c r="BA49" s="909"/>
      <c r="BB49" s="448">
        <f t="shared" si="48"/>
        <v>0</v>
      </c>
      <c r="BC49" s="909"/>
      <c r="BD49" s="909">
        <f t="shared" si="49"/>
        <v>-39728404.479790904</v>
      </c>
      <c r="BF49" s="909">
        <f t="shared" si="50"/>
        <v>-55165774.017849959</v>
      </c>
      <c r="BI49" s="437">
        <f t="shared" si="40"/>
        <v>315</v>
      </c>
    </row>
    <row r="50" spans="1:61" ht="15">
      <c r="A50" s="437">
        <f t="shared" si="41"/>
        <v>316</v>
      </c>
      <c r="B50" s="913" t="s">
        <v>1719</v>
      </c>
      <c r="F50" s="917" t="s">
        <v>1524</v>
      </c>
      <c r="H50" s="914">
        <v>-571498734.28571427</v>
      </c>
      <c r="J50" s="914">
        <v>-200024557</v>
      </c>
      <c r="K50" s="909"/>
      <c r="L50" s="914">
        <v>-120014733.60428579</v>
      </c>
      <c r="M50" s="909"/>
      <c r="N50" s="914">
        <v>-80009823.395714208</v>
      </c>
      <c r="P50" s="919" t="s">
        <v>845</v>
      </c>
      <c r="R50" s="909">
        <v>0</v>
      </c>
      <c r="S50" s="909"/>
      <c r="T50" s="909">
        <f t="shared" si="51"/>
        <v>-80009823.395714208</v>
      </c>
      <c r="U50" s="909"/>
      <c r="V50" s="909">
        <v>0</v>
      </c>
      <c r="W50" s="909"/>
      <c r="X50" s="909">
        <f t="shared" si="52"/>
        <v>-80009823.395714208</v>
      </c>
      <c r="Y50" s="909"/>
      <c r="Z50" s="449" t="s">
        <v>1534</v>
      </c>
      <c r="AA50" s="909"/>
      <c r="AB50" s="909">
        <v>0</v>
      </c>
      <c r="AC50" s="909"/>
      <c r="AD50" s="914">
        <v>-5914075.8759256788</v>
      </c>
      <c r="AE50" s="909"/>
      <c r="AF50" s="909">
        <v>0</v>
      </c>
      <c r="AG50" s="909"/>
      <c r="AH50" s="449" t="s">
        <v>856</v>
      </c>
      <c r="AI50" s="909"/>
      <c r="AJ50" s="448">
        <f t="shared" si="42"/>
        <v>0</v>
      </c>
      <c r="AK50" s="909"/>
      <c r="AL50" s="448">
        <f t="shared" si="43"/>
        <v>-74095747.519788533</v>
      </c>
      <c r="AM50" s="909"/>
      <c r="AN50" s="448">
        <f t="shared" si="44"/>
        <v>0</v>
      </c>
      <c r="AO50" s="909"/>
      <c r="AP50" s="909">
        <f t="shared" si="45"/>
        <v>-74095747.519788533</v>
      </c>
      <c r="AR50" s="909">
        <v>0</v>
      </c>
      <c r="AS50" s="909"/>
      <c r="AT50" s="914">
        <v>-2213120.7597914548</v>
      </c>
      <c r="AU50" s="909"/>
      <c r="AV50" s="909">
        <v>0</v>
      </c>
      <c r="AW50" s="909"/>
      <c r="AX50" s="448">
        <f t="shared" si="46"/>
        <v>0</v>
      </c>
      <c r="AY50" s="909"/>
      <c r="AZ50" s="448">
        <f t="shared" si="47"/>
        <v>-71882626.759997085</v>
      </c>
      <c r="BA50" s="909"/>
      <c r="BB50" s="448">
        <f t="shared" si="48"/>
        <v>0</v>
      </c>
      <c r="BC50" s="909"/>
      <c r="BD50" s="909">
        <f t="shared" si="49"/>
        <v>-71882626.759997085</v>
      </c>
      <c r="BF50" s="909">
        <f t="shared" si="50"/>
        <v>-99814246.143929824</v>
      </c>
      <c r="BI50" s="437">
        <f t="shared" si="40"/>
        <v>316</v>
      </c>
    </row>
    <row r="51" spans="1:61" ht="15">
      <c r="A51" s="437">
        <f t="shared" si="41"/>
        <v>317</v>
      </c>
      <c r="B51" s="913" t="s">
        <v>1720</v>
      </c>
      <c r="F51" s="917" t="s">
        <v>1524</v>
      </c>
      <c r="H51" s="914">
        <v>-25063667.280000001</v>
      </c>
      <c r="J51" s="914">
        <v>-8772283.5480000004</v>
      </c>
      <c r="K51" s="909"/>
      <c r="L51" s="914">
        <v>-5263370.0446319999</v>
      </c>
      <c r="M51" s="909"/>
      <c r="N51" s="914">
        <v>-3508913.5033680005</v>
      </c>
      <c r="P51" s="919" t="s">
        <v>845</v>
      </c>
      <c r="R51" s="909">
        <v>0</v>
      </c>
      <c r="S51" s="909"/>
      <c r="T51" s="909">
        <f t="shared" si="51"/>
        <v>-3508913.5033680005</v>
      </c>
      <c r="U51" s="909"/>
      <c r="V51" s="909">
        <v>0</v>
      </c>
      <c r="W51" s="909"/>
      <c r="X51" s="909">
        <f t="shared" si="52"/>
        <v>-3508913.5033680005</v>
      </c>
      <c r="Y51" s="909"/>
      <c r="Z51" s="449" t="s">
        <v>1534</v>
      </c>
      <c r="AA51" s="909"/>
      <c r="AB51" s="909">
        <v>0</v>
      </c>
      <c r="AC51" s="909"/>
      <c r="AD51" s="914">
        <v>-259367.91034199618</v>
      </c>
      <c r="AE51" s="909"/>
      <c r="AF51" s="909">
        <v>0</v>
      </c>
      <c r="AG51" s="909"/>
      <c r="AH51" s="449" t="s">
        <v>856</v>
      </c>
      <c r="AI51" s="909"/>
      <c r="AJ51" s="448">
        <f t="shared" si="42"/>
        <v>0</v>
      </c>
      <c r="AK51" s="909"/>
      <c r="AL51" s="448">
        <f t="shared" si="43"/>
        <v>-3249545.5930260043</v>
      </c>
      <c r="AM51" s="909"/>
      <c r="AN51" s="448">
        <f t="shared" si="44"/>
        <v>0</v>
      </c>
      <c r="AO51" s="909"/>
      <c r="AP51" s="909">
        <f t="shared" si="45"/>
        <v>-3249545.5930260043</v>
      </c>
      <c r="AR51" s="909">
        <v>0</v>
      </c>
      <c r="AS51" s="909"/>
      <c r="AT51" s="914">
        <v>-97058.698407678981</v>
      </c>
      <c r="AU51" s="909"/>
      <c r="AV51" s="909">
        <v>0</v>
      </c>
      <c r="AW51" s="909"/>
      <c r="AX51" s="448">
        <f t="shared" si="46"/>
        <v>0</v>
      </c>
      <c r="AY51" s="909"/>
      <c r="AZ51" s="448">
        <f t="shared" si="47"/>
        <v>-3152486.8946183254</v>
      </c>
      <c r="BA51" s="909"/>
      <c r="BB51" s="448">
        <f t="shared" si="48"/>
        <v>0</v>
      </c>
      <c r="BC51" s="909"/>
      <c r="BD51" s="909">
        <f t="shared" si="49"/>
        <v>-3152486.8946183254</v>
      </c>
      <c r="BF51" s="909">
        <f t="shared" si="50"/>
        <v>-4377456.9328907374</v>
      </c>
      <c r="BI51" s="437">
        <f t="shared" si="40"/>
        <v>317</v>
      </c>
    </row>
    <row r="52" spans="1:61" ht="15">
      <c r="A52" s="437">
        <f t="shared" si="41"/>
        <v>318</v>
      </c>
      <c r="B52" s="913" t="s">
        <v>1721</v>
      </c>
      <c r="F52" s="917" t="s">
        <v>1524</v>
      </c>
      <c r="H52" s="914">
        <v>-9911892.7885714285</v>
      </c>
      <c r="J52" s="914">
        <v>-3469162.4759999998</v>
      </c>
      <c r="K52" s="909"/>
      <c r="L52" s="914">
        <v>-2081497.533696</v>
      </c>
      <c r="M52" s="909"/>
      <c r="N52" s="914">
        <v>-1387664.942304</v>
      </c>
      <c r="P52" s="919" t="s">
        <v>845</v>
      </c>
      <c r="R52" s="909">
        <v>0</v>
      </c>
      <c r="S52" s="909"/>
      <c r="T52" s="909">
        <f t="shared" si="51"/>
        <v>-1387664.942304</v>
      </c>
      <c r="U52" s="909"/>
      <c r="V52" s="909">
        <v>0</v>
      </c>
      <c r="W52" s="909"/>
      <c r="X52" s="909">
        <f t="shared" si="52"/>
        <v>-1387664.942304</v>
      </c>
      <c r="Y52" s="909"/>
      <c r="Z52" s="449" t="s">
        <v>1534</v>
      </c>
      <c r="AA52" s="909"/>
      <c r="AB52" s="909">
        <v>0</v>
      </c>
      <c r="AC52" s="909"/>
      <c r="AD52" s="914">
        <v>-102571.85194071416</v>
      </c>
      <c r="AE52" s="909"/>
      <c r="AF52" s="909">
        <v>0</v>
      </c>
      <c r="AG52" s="909"/>
      <c r="AH52" s="449" t="s">
        <v>856</v>
      </c>
      <c r="AI52" s="909"/>
      <c r="AJ52" s="448">
        <f t="shared" si="42"/>
        <v>0</v>
      </c>
      <c r="AK52" s="909"/>
      <c r="AL52" s="448">
        <f t="shared" si="43"/>
        <v>-1285093.090363286</v>
      </c>
      <c r="AM52" s="909"/>
      <c r="AN52" s="448">
        <f t="shared" si="44"/>
        <v>0</v>
      </c>
      <c r="AO52" s="909"/>
      <c r="AP52" s="909">
        <f t="shared" si="45"/>
        <v>-1285093.090363286</v>
      </c>
      <c r="AR52" s="909">
        <v>0</v>
      </c>
      <c r="AS52" s="909"/>
      <c r="AT52" s="914">
        <v>-38383.662919224713</v>
      </c>
      <c r="AU52" s="909"/>
      <c r="AV52" s="909">
        <v>0</v>
      </c>
      <c r="AW52" s="909"/>
      <c r="AX52" s="448">
        <f t="shared" si="46"/>
        <v>0</v>
      </c>
      <c r="AY52" s="909"/>
      <c r="AZ52" s="448">
        <f t="shared" si="47"/>
        <v>-1246709.4274440613</v>
      </c>
      <c r="BA52" s="909"/>
      <c r="BB52" s="448">
        <f t="shared" si="48"/>
        <v>0</v>
      </c>
      <c r="BC52" s="909"/>
      <c r="BD52" s="909">
        <f t="shared" si="49"/>
        <v>-1246709.4274440613</v>
      </c>
      <c r="BF52" s="909">
        <f t="shared" si="50"/>
        <v>-1731146.5547348398</v>
      </c>
      <c r="BI52" s="437">
        <f t="shared" si="40"/>
        <v>318</v>
      </c>
    </row>
    <row r="53" spans="1:61" ht="15">
      <c r="A53" s="437">
        <f t="shared" si="41"/>
        <v>319</v>
      </c>
      <c r="B53" s="913" t="s">
        <v>1722</v>
      </c>
      <c r="F53" s="917" t="s">
        <v>1524</v>
      </c>
      <c r="H53" s="914">
        <v>-71671362.898285717</v>
      </c>
      <c r="J53" s="914">
        <v>-25084977.014399998</v>
      </c>
      <c r="K53" s="909"/>
      <c r="L53" s="914">
        <v>-15050986.064351998</v>
      </c>
      <c r="M53" s="909"/>
      <c r="N53" s="914">
        <v>-10033990.950048001</v>
      </c>
      <c r="P53" s="919" t="s">
        <v>845</v>
      </c>
      <c r="R53" s="909">
        <v>0</v>
      </c>
      <c r="S53" s="909"/>
      <c r="T53" s="909">
        <f t="shared" si="51"/>
        <v>-10033990.950048001</v>
      </c>
      <c r="U53" s="909"/>
      <c r="V53" s="909">
        <v>0</v>
      </c>
      <c r="W53" s="909"/>
      <c r="X53" s="909">
        <f t="shared" si="52"/>
        <v>-10033990.950048001</v>
      </c>
      <c r="Y53" s="909"/>
      <c r="Z53" s="449" t="s">
        <v>1534</v>
      </c>
      <c r="AA53" s="909"/>
      <c r="AB53" s="909">
        <v>0</v>
      </c>
      <c r="AC53" s="909"/>
      <c r="AD53" s="914">
        <v>-741681.22485962347</v>
      </c>
      <c r="AE53" s="909"/>
      <c r="AF53" s="909">
        <v>0</v>
      </c>
      <c r="AG53" s="909"/>
      <c r="AH53" s="449" t="s">
        <v>856</v>
      </c>
      <c r="AI53" s="909"/>
      <c r="AJ53" s="448">
        <f t="shared" si="42"/>
        <v>0</v>
      </c>
      <c r="AK53" s="909"/>
      <c r="AL53" s="448">
        <f t="shared" si="43"/>
        <v>-9292309.7251883782</v>
      </c>
      <c r="AM53" s="909"/>
      <c r="AN53" s="448">
        <f t="shared" si="44"/>
        <v>0</v>
      </c>
      <c r="AO53" s="909"/>
      <c r="AP53" s="909">
        <f t="shared" si="45"/>
        <v>-9292309.7251883782</v>
      </c>
      <c r="AR53" s="909">
        <v>0</v>
      </c>
      <c r="AS53" s="909"/>
      <c r="AT53" s="914">
        <v>-277546.34034475719</v>
      </c>
      <c r="AU53" s="909"/>
      <c r="AV53" s="909">
        <v>0</v>
      </c>
      <c r="AW53" s="909"/>
      <c r="AX53" s="448">
        <f t="shared" si="46"/>
        <v>0</v>
      </c>
      <c r="AY53" s="909"/>
      <c r="AZ53" s="448">
        <f t="shared" si="47"/>
        <v>-9014763.3848436214</v>
      </c>
      <c r="BA53" s="909"/>
      <c r="BB53" s="448">
        <f t="shared" si="48"/>
        <v>0</v>
      </c>
      <c r="BC53" s="909"/>
      <c r="BD53" s="909">
        <f t="shared" si="49"/>
        <v>-9014763.3848436214</v>
      </c>
      <c r="BF53" s="909">
        <f t="shared" si="50"/>
        <v>-12517653.457884066</v>
      </c>
      <c r="BI53" s="437">
        <f t="shared" si="40"/>
        <v>319</v>
      </c>
    </row>
    <row r="54" spans="1:61" ht="15">
      <c r="A54" s="437">
        <f t="shared" si="41"/>
        <v>320</v>
      </c>
      <c r="B54" s="913" t="s">
        <v>1723</v>
      </c>
      <c r="F54" s="917" t="s">
        <v>1524</v>
      </c>
      <c r="H54" s="914">
        <v>52695788.404571429</v>
      </c>
      <c r="J54" s="914">
        <v>18443525.941599999</v>
      </c>
      <c r="K54" s="909"/>
      <c r="L54" s="914">
        <v>11066115.734552527</v>
      </c>
      <c r="M54" s="909"/>
      <c r="N54" s="914">
        <v>7377410.2070474727</v>
      </c>
      <c r="P54" s="919" t="s">
        <v>845</v>
      </c>
      <c r="R54" s="909">
        <v>0</v>
      </c>
      <c r="S54" s="909"/>
      <c r="T54" s="909">
        <f t="shared" si="51"/>
        <v>7377410.2070474727</v>
      </c>
      <c r="U54" s="909"/>
      <c r="V54" s="909">
        <v>0</v>
      </c>
      <c r="W54" s="909"/>
      <c r="X54" s="909">
        <f t="shared" si="52"/>
        <v>7377410.2070474727</v>
      </c>
      <c r="Y54" s="909"/>
      <c r="Z54" s="449" t="s">
        <v>1534</v>
      </c>
      <c r="AA54" s="909"/>
      <c r="AB54" s="909">
        <v>0</v>
      </c>
      <c r="AC54" s="909"/>
      <c r="AD54" s="914">
        <v>545315.08608034789</v>
      </c>
      <c r="AE54" s="909"/>
      <c r="AF54" s="909">
        <v>0</v>
      </c>
      <c r="AG54" s="909"/>
      <c r="AH54" s="449" t="s">
        <v>856</v>
      </c>
      <c r="AI54" s="909"/>
      <c r="AJ54" s="448">
        <f t="shared" si="42"/>
        <v>0</v>
      </c>
      <c r="AK54" s="909"/>
      <c r="AL54" s="448">
        <f t="shared" si="43"/>
        <v>6832095.1209671246</v>
      </c>
      <c r="AM54" s="909"/>
      <c r="AN54" s="448">
        <f t="shared" si="44"/>
        <v>0</v>
      </c>
      <c r="AO54" s="909"/>
      <c r="AP54" s="909">
        <f t="shared" si="45"/>
        <v>6832095.1209671246</v>
      </c>
      <c r="AR54" s="909">
        <v>0</v>
      </c>
      <c r="AS54" s="909"/>
      <c r="AT54" s="914">
        <v>204063.68855438204</v>
      </c>
      <c r="AU54" s="909"/>
      <c r="AV54" s="909">
        <v>0</v>
      </c>
      <c r="AW54" s="909"/>
      <c r="AX54" s="448">
        <f t="shared" si="46"/>
        <v>0</v>
      </c>
      <c r="AY54" s="909"/>
      <c r="AZ54" s="448">
        <f t="shared" si="47"/>
        <v>6628031.4324127426</v>
      </c>
      <c r="BA54" s="909"/>
      <c r="BB54" s="448">
        <f t="shared" si="48"/>
        <v>0</v>
      </c>
      <c r="BC54" s="909"/>
      <c r="BD54" s="909">
        <f t="shared" si="49"/>
        <v>6628031.4324127426</v>
      </c>
      <c r="BF54" s="909">
        <f t="shared" si="50"/>
        <v>9203502.8582555391</v>
      </c>
      <c r="BI54" s="437">
        <f t="shared" si="40"/>
        <v>320</v>
      </c>
    </row>
    <row r="55" spans="1:61" ht="15">
      <c r="A55" s="437">
        <f t="shared" si="41"/>
        <v>321</v>
      </c>
      <c r="B55" s="913" t="s">
        <v>1724</v>
      </c>
      <c r="F55" s="917" t="s">
        <v>1524</v>
      </c>
      <c r="H55" s="914">
        <v>37674687.677714288</v>
      </c>
      <c r="J55" s="914">
        <v>13186140.687200001</v>
      </c>
      <c r="K55" s="909"/>
      <c r="L55" s="914">
        <v>7911685.1078593545</v>
      </c>
      <c r="M55" s="909"/>
      <c r="N55" s="914">
        <v>5274455.579340646</v>
      </c>
      <c r="P55" s="919" t="s">
        <v>845</v>
      </c>
      <c r="R55" s="909">
        <v>0</v>
      </c>
      <c r="S55" s="909"/>
      <c r="T55" s="909">
        <f t="shared" si="51"/>
        <v>5274455.579340646</v>
      </c>
      <c r="U55" s="909"/>
      <c r="V55" s="909">
        <v>0</v>
      </c>
      <c r="W55" s="909"/>
      <c r="X55" s="909">
        <f t="shared" si="52"/>
        <v>5274455.579340646</v>
      </c>
      <c r="Y55" s="909"/>
      <c r="Z55" s="449" t="s">
        <v>1534</v>
      </c>
      <c r="AA55" s="909"/>
      <c r="AB55" s="909">
        <v>0</v>
      </c>
      <c r="AC55" s="909"/>
      <c r="AD55" s="914">
        <v>389871.25800968858</v>
      </c>
      <c r="AE55" s="909"/>
      <c r="AF55" s="909">
        <v>0</v>
      </c>
      <c r="AG55" s="909"/>
      <c r="AH55" s="449" t="s">
        <v>856</v>
      </c>
      <c r="AI55" s="909"/>
      <c r="AJ55" s="448">
        <f t="shared" si="42"/>
        <v>0</v>
      </c>
      <c r="AK55" s="909"/>
      <c r="AL55" s="448">
        <f t="shared" si="43"/>
        <v>4884584.3213309571</v>
      </c>
      <c r="AM55" s="909"/>
      <c r="AN55" s="448">
        <f t="shared" si="44"/>
        <v>0</v>
      </c>
      <c r="AO55" s="909"/>
      <c r="AP55" s="909">
        <f t="shared" si="45"/>
        <v>4884584.3213309571</v>
      </c>
      <c r="AR55" s="909">
        <v>0</v>
      </c>
      <c r="AS55" s="909"/>
      <c r="AT55" s="914">
        <v>145894.67447645837</v>
      </c>
      <c r="AU55" s="909"/>
      <c r="AV55" s="909">
        <v>0</v>
      </c>
      <c r="AW55" s="909"/>
      <c r="AX55" s="448">
        <f t="shared" si="46"/>
        <v>0</v>
      </c>
      <c r="AY55" s="909"/>
      <c r="AZ55" s="448">
        <f t="shared" si="47"/>
        <v>4738689.6468544984</v>
      </c>
      <c r="BA55" s="909"/>
      <c r="BB55" s="448">
        <f t="shared" si="48"/>
        <v>0</v>
      </c>
      <c r="BC55" s="909"/>
      <c r="BD55" s="909">
        <f t="shared" si="49"/>
        <v>4738689.6468544984</v>
      </c>
      <c r="BF55" s="909">
        <f t="shared" si="50"/>
        <v>6580014.6173017509</v>
      </c>
      <c r="BI55" s="437">
        <f t="shared" si="40"/>
        <v>321</v>
      </c>
    </row>
    <row r="56" spans="1:61" ht="15">
      <c r="A56" s="437">
        <f t="shared" si="41"/>
        <v>322</v>
      </c>
      <c r="B56" s="913" t="s">
        <v>1725</v>
      </c>
      <c r="F56" s="917" t="s">
        <v>1524</v>
      </c>
      <c r="H56" s="914">
        <v>-57733.115428571436</v>
      </c>
      <c r="J56" s="914">
        <v>-20206.590400000001</v>
      </c>
      <c r="K56" s="909"/>
      <c r="L56" s="914">
        <v>-12124.41925554987</v>
      </c>
      <c r="M56" s="909"/>
      <c r="N56" s="914">
        <v>-8082.1711444501288</v>
      </c>
      <c r="P56" s="919" t="s">
        <v>845</v>
      </c>
      <c r="R56" s="909">
        <v>0</v>
      </c>
      <c r="S56" s="909"/>
      <c r="T56" s="909">
        <f t="shared" si="51"/>
        <v>-8082.1711444501288</v>
      </c>
      <c r="U56" s="909"/>
      <c r="V56" s="909">
        <v>0</v>
      </c>
      <c r="W56" s="909"/>
      <c r="X56" s="909">
        <f t="shared" si="52"/>
        <v>-8082.1711444501288</v>
      </c>
      <c r="Y56" s="909"/>
      <c r="Z56" s="449" t="s">
        <v>1534</v>
      </c>
      <c r="AA56" s="909"/>
      <c r="AB56" s="909">
        <v>0</v>
      </c>
      <c r="AC56" s="909"/>
      <c r="AD56" s="914">
        <v>-597.4088100918807</v>
      </c>
      <c r="AE56" s="909"/>
      <c r="AF56" s="909">
        <v>0</v>
      </c>
      <c r="AG56" s="909"/>
      <c r="AH56" s="449" t="s">
        <v>856</v>
      </c>
      <c r="AI56" s="909"/>
      <c r="AJ56" s="448">
        <f t="shared" si="42"/>
        <v>0</v>
      </c>
      <c r="AK56" s="909"/>
      <c r="AL56" s="448">
        <f t="shared" si="43"/>
        <v>-7484.7623343582482</v>
      </c>
      <c r="AM56" s="909"/>
      <c r="AN56" s="448">
        <f t="shared" si="44"/>
        <v>0</v>
      </c>
      <c r="AO56" s="909"/>
      <c r="AP56" s="909">
        <f t="shared" si="45"/>
        <v>-7484.7623343582482</v>
      </c>
      <c r="AR56" s="909">
        <v>0</v>
      </c>
      <c r="AS56" s="909"/>
      <c r="AT56" s="914">
        <v>-223.55780808945218</v>
      </c>
      <c r="AU56" s="909"/>
      <c r="AV56" s="909">
        <v>0</v>
      </c>
      <c r="AW56" s="909"/>
      <c r="AX56" s="448">
        <f t="shared" si="46"/>
        <v>0</v>
      </c>
      <c r="AY56" s="909"/>
      <c r="AZ56" s="448">
        <f t="shared" si="47"/>
        <v>-7261.2045262687961</v>
      </c>
      <c r="BA56" s="909"/>
      <c r="BB56" s="448">
        <f t="shared" si="48"/>
        <v>0</v>
      </c>
      <c r="BC56" s="909"/>
      <c r="BD56" s="909">
        <f t="shared" si="49"/>
        <v>-7261.2045262687961</v>
      </c>
      <c r="BF56" s="909">
        <f t="shared" si="50"/>
        <v>-10082.709669281991</v>
      </c>
      <c r="BI56" s="437">
        <f t="shared" si="40"/>
        <v>322</v>
      </c>
    </row>
    <row r="57" spans="1:61" ht="15">
      <c r="A57" s="437">
        <f t="shared" si="41"/>
        <v>323</v>
      </c>
      <c r="B57" s="913" t="s">
        <v>1726</v>
      </c>
      <c r="F57" s="917" t="s">
        <v>1524</v>
      </c>
      <c r="H57" s="914">
        <v>19203939.561142858</v>
      </c>
      <c r="J57" s="914">
        <v>6721378.8464000002</v>
      </c>
      <c r="K57" s="909"/>
      <c r="L57" s="914">
        <v>4032827.7427398837</v>
      </c>
      <c r="M57" s="909"/>
      <c r="N57" s="914">
        <v>2688551.1036601164</v>
      </c>
      <c r="P57" s="919" t="s">
        <v>845</v>
      </c>
      <c r="R57" s="909">
        <v>0</v>
      </c>
      <c r="S57" s="909"/>
      <c r="T57" s="909">
        <f t="shared" si="51"/>
        <v>2688551.1036601164</v>
      </c>
      <c r="U57" s="909"/>
      <c r="V57" s="909">
        <v>0</v>
      </c>
      <c r="W57" s="909"/>
      <c r="X57" s="909">
        <f t="shared" si="52"/>
        <v>2688551.1036601164</v>
      </c>
      <c r="Y57" s="909"/>
      <c r="Z57" s="449" t="s">
        <v>1534</v>
      </c>
      <c r="AA57" s="909"/>
      <c r="AB57" s="909">
        <v>0</v>
      </c>
      <c r="AC57" s="909"/>
      <c r="AD57" s="914">
        <v>198729.28783644043</v>
      </c>
      <c r="AE57" s="909"/>
      <c r="AF57" s="909">
        <v>0</v>
      </c>
      <c r="AG57" s="909"/>
      <c r="AH57" s="449" t="s">
        <v>856</v>
      </c>
      <c r="AI57" s="909"/>
      <c r="AJ57" s="448">
        <f t="shared" si="42"/>
        <v>0</v>
      </c>
      <c r="AK57" s="909"/>
      <c r="AL57" s="448">
        <f t="shared" si="43"/>
        <v>2489821.8158236761</v>
      </c>
      <c r="AM57" s="909"/>
      <c r="AN57" s="448">
        <f t="shared" si="44"/>
        <v>0</v>
      </c>
      <c r="AO57" s="909"/>
      <c r="AP57" s="909">
        <f t="shared" si="45"/>
        <v>2489821.8158236761</v>
      </c>
      <c r="AR57" s="909">
        <v>0</v>
      </c>
      <c r="AS57" s="909"/>
      <c r="AT57" s="914">
        <v>74366.97156350869</v>
      </c>
      <c r="AU57" s="909"/>
      <c r="AV57" s="909">
        <v>0</v>
      </c>
      <c r="AW57" s="909"/>
      <c r="AX57" s="448">
        <f t="shared" si="46"/>
        <v>0</v>
      </c>
      <c r="AY57" s="909"/>
      <c r="AZ57" s="448">
        <f t="shared" si="47"/>
        <v>2415454.8442601673</v>
      </c>
      <c r="BA57" s="909"/>
      <c r="BB57" s="448">
        <f t="shared" si="48"/>
        <v>0</v>
      </c>
      <c r="BC57" s="909"/>
      <c r="BD57" s="909">
        <f t="shared" si="49"/>
        <v>2415454.8442601673</v>
      </c>
      <c r="BF57" s="909">
        <f t="shared" si="50"/>
        <v>3354034.4202989419</v>
      </c>
      <c r="BI57" s="437">
        <f t="shared" si="40"/>
        <v>323</v>
      </c>
    </row>
    <row r="58" spans="1:61" ht="15">
      <c r="A58" s="437">
        <f t="shared" si="41"/>
        <v>324</v>
      </c>
      <c r="B58" s="913" t="s">
        <v>1727</v>
      </c>
      <c r="F58" s="917" t="s">
        <v>1524</v>
      </c>
      <c r="H58" s="914">
        <v>-13574.660633484164</v>
      </c>
      <c r="J58" s="914">
        <v>420</v>
      </c>
      <c r="K58" s="909"/>
      <c r="L58" s="914">
        <v>251.82208</v>
      </c>
      <c r="M58" s="909"/>
      <c r="N58" s="914">
        <v>168</v>
      </c>
      <c r="P58" s="919" t="s">
        <v>845</v>
      </c>
      <c r="R58" s="909">
        <v>0</v>
      </c>
      <c r="S58" s="909"/>
      <c r="T58" s="909">
        <f t="shared" si="51"/>
        <v>168</v>
      </c>
      <c r="U58" s="909"/>
      <c r="V58" s="909">
        <v>0</v>
      </c>
      <c r="W58" s="909"/>
      <c r="X58" s="909">
        <f t="shared" si="52"/>
        <v>168</v>
      </c>
      <c r="Y58" s="909"/>
      <c r="Z58" s="449" t="s">
        <v>1534</v>
      </c>
      <c r="AA58" s="909"/>
      <c r="AB58" s="909">
        <v>0</v>
      </c>
      <c r="AC58" s="909"/>
      <c r="AD58" s="914">
        <v>12.418034498608018</v>
      </c>
      <c r="AE58" s="909"/>
      <c r="AF58" s="909">
        <v>0</v>
      </c>
      <c r="AG58" s="909"/>
      <c r="AH58" s="449" t="s">
        <v>856</v>
      </c>
      <c r="AI58" s="909"/>
      <c r="AJ58" s="448">
        <f t="shared" si="42"/>
        <v>0</v>
      </c>
      <c r="AK58" s="909"/>
      <c r="AL58" s="448">
        <f t="shared" si="43"/>
        <v>155.58196550139198</v>
      </c>
      <c r="AM58" s="909"/>
      <c r="AN58" s="448">
        <f t="shared" si="44"/>
        <v>0</v>
      </c>
      <c r="AO58" s="909"/>
      <c r="AP58" s="909">
        <f t="shared" si="45"/>
        <v>155.58196550139198</v>
      </c>
      <c r="AR58" s="909">
        <v>0</v>
      </c>
      <c r="AS58" s="909"/>
      <c r="AT58" s="914">
        <v>4.6469829811532914</v>
      </c>
      <c r="AU58" s="909"/>
      <c r="AV58" s="909">
        <v>0</v>
      </c>
      <c r="AW58" s="909"/>
      <c r="AX58" s="448">
        <f t="shared" si="46"/>
        <v>0</v>
      </c>
      <c r="AY58" s="909"/>
      <c r="AZ58" s="448">
        <f t="shared" si="47"/>
        <v>150.93498252023869</v>
      </c>
      <c r="BA58" s="909"/>
      <c r="BB58" s="448">
        <f t="shared" si="48"/>
        <v>0</v>
      </c>
      <c r="BC58" s="909"/>
      <c r="BD58" s="909">
        <f t="shared" si="49"/>
        <v>150.93498252023869</v>
      </c>
      <c r="BF58" s="909">
        <f t="shared" si="50"/>
        <v>209.58418154786781</v>
      </c>
      <c r="BI58" s="437">
        <f t="shared" si="40"/>
        <v>324</v>
      </c>
    </row>
    <row r="59" spans="1:61" ht="15">
      <c r="A59" s="437">
        <f t="shared" si="41"/>
        <v>325</v>
      </c>
      <c r="B59" s="913" t="s">
        <v>1728</v>
      </c>
      <c r="F59" s="917" t="s">
        <v>1524</v>
      </c>
      <c r="H59" s="914">
        <v>-274950112.13962507</v>
      </c>
      <c r="J59" s="914">
        <v>8506956.4695999995</v>
      </c>
      <c r="K59" s="909"/>
      <c r="L59" s="914">
        <v>5103074.2178012161</v>
      </c>
      <c r="M59" s="909"/>
      <c r="N59" s="914">
        <v>3402793.7276601344</v>
      </c>
      <c r="P59" s="919" t="s">
        <v>845</v>
      </c>
      <c r="R59" s="909">
        <v>0</v>
      </c>
      <c r="S59" s="909"/>
      <c r="T59" s="909">
        <f t="shared" si="51"/>
        <v>3402793.7276601344</v>
      </c>
      <c r="U59" s="909"/>
      <c r="V59" s="909">
        <v>0</v>
      </c>
      <c r="W59" s="909"/>
      <c r="X59" s="909">
        <f t="shared" si="52"/>
        <v>3402793.7276601344</v>
      </c>
      <c r="Y59" s="909"/>
      <c r="Z59" s="449" t="s">
        <v>1534</v>
      </c>
      <c r="AA59" s="909"/>
      <c r="AB59" s="909">
        <v>0</v>
      </c>
      <c r="AC59" s="909"/>
      <c r="AD59" s="914">
        <v>251523.86846268171</v>
      </c>
      <c r="AE59" s="909"/>
      <c r="AF59" s="909">
        <v>0</v>
      </c>
      <c r="AG59" s="909"/>
      <c r="AH59" s="449" t="s">
        <v>856</v>
      </c>
      <c r="AI59" s="909"/>
      <c r="AJ59" s="448">
        <f t="shared" si="42"/>
        <v>0</v>
      </c>
      <c r="AK59" s="909"/>
      <c r="AL59" s="448">
        <f t="shared" si="43"/>
        <v>3151269.8591974527</v>
      </c>
      <c r="AM59" s="909"/>
      <c r="AN59" s="448">
        <f t="shared" si="44"/>
        <v>0</v>
      </c>
      <c r="AO59" s="909"/>
      <c r="AP59" s="909">
        <f t="shared" si="45"/>
        <v>3151269.8591974527</v>
      </c>
      <c r="AR59" s="909">
        <v>0</v>
      </c>
      <c r="AS59" s="909"/>
      <c r="AT59" s="914">
        <v>94123.360361975079</v>
      </c>
      <c r="AU59" s="909"/>
      <c r="AV59" s="909">
        <v>0</v>
      </c>
      <c r="AW59" s="909"/>
      <c r="AX59" s="448">
        <f t="shared" si="46"/>
        <v>0</v>
      </c>
      <c r="AY59" s="909"/>
      <c r="AZ59" s="448">
        <f t="shared" si="47"/>
        <v>3057146.4988354775</v>
      </c>
      <c r="BA59" s="909"/>
      <c r="BB59" s="448">
        <f t="shared" si="48"/>
        <v>0</v>
      </c>
      <c r="BC59" s="909"/>
      <c r="BD59" s="909">
        <f t="shared" si="49"/>
        <v>3057146.4988354775</v>
      </c>
      <c r="BF59" s="909">
        <f t="shared" si="50"/>
        <v>4245069.8713563541</v>
      </c>
      <c r="BI59" s="437">
        <f t="shared" si="40"/>
        <v>325</v>
      </c>
    </row>
    <row r="60" spans="1:61" ht="15">
      <c r="A60" s="437">
        <f t="shared" si="41"/>
        <v>326</v>
      </c>
      <c r="B60" s="913" t="s">
        <v>1729</v>
      </c>
      <c r="F60" s="917" t="s">
        <v>1524</v>
      </c>
      <c r="H60" s="914">
        <v>-144745762.01680672</v>
      </c>
      <c r="J60" s="914">
        <v>4478433.8767999997</v>
      </c>
      <c r="K60" s="909"/>
      <c r="L60" s="914">
        <v>2686481.6133693438</v>
      </c>
      <c r="M60" s="909"/>
      <c r="N60" s="914">
        <v>1791373.7774865497</v>
      </c>
      <c r="P60" s="919" t="s">
        <v>845</v>
      </c>
      <c r="R60" s="909">
        <v>0</v>
      </c>
      <c r="S60" s="909"/>
      <c r="T60" s="909">
        <f t="shared" si="51"/>
        <v>1791373.7774865497</v>
      </c>
      <c r="U60" s="909"/>
      <c r="V60" s="909">
        <v>0</v>
      </c>
      <c r="W60" s="909"/>
      <c r="X60" s="909">
        <f t="shared" si="52"/>
        <v>1791373.7774865497</v>
      </c>
      <c r="Y60" s="909"/>
      <c r="Z60" s="449" t="s">
        <v>1534</v>
      </c>
      <c r="AA60" s="909"/>
      <c r="AB60" s="909">
        <v>0</v>
      </c>
      <c r="AC60" s="909"/>
      <c r="AD60" s="914">
        <v>132412.74624243894</v>
      </c>
      <c r="AE60" s="909"/>
      <c r="AF60" s="909">
        <v>0</v>
      </c>
      <c r="AG60" s="909"/>
      <c r="AH60" s="449" t="s">
        <v>856</v>
      </c>
      <c r="AI60" s="909"/>
      <c r="AJ60" s="448">
        <f t="shared" si="42"/>
        <v>0</v>
      </c>
      <c r="AK60" s="909"/>
      <c r="AL60" s="448">
        <f t="shared" si="43"/>
        <v>1658961.0312441108</v>
      </c>
      <c r="AM60" s="909"/>
      <c r="AN60" s="448">
        <f t="shared" si="44"/>
        <v>0</v>
      </c>
      <c r="AO60" s="909"/>
      <c r="AP60" s="909">
        <f t="shared" si="45"/>
        <v>1658961.0312441108</v>
      </c>
      <c r="AR60" s="909">
        <v>0</v>
      </c>
      <c r="AS60" s="909"/>
      <c r="AT60" s="914">
        <v>49550.496767049277</v>
      </c>
      <c r="AU60" s="909"/>
      <c r="AV60" s="909">
        <v>0</v>
      </c>
      <c r="AW60" s="909"/>
      <c r="AX60" s="448">
        <f t="shared" si="46"/>
        <v>0</v>
      </c>
      <c r="AY60" s="909"/>
      <c r="AZ60" s="448">
        <f t="shared" si="47"/>
        <v>1609410.5344770616</v>
      </c>
      <c r="BA60" s="909"/>
      <c r="BB60" s="448">
        <f t="shared" si="48"/>
        <v>0</v>
      </c>
      <c r="BC60" s="909"/>
      <c r="BD60" s="909">
        <f t="shared" si="49"/>
        <v>1609410.5344770616</v>
      </c>
      <c r="BF60" s="909">
        <f t="shared" si="50"/>
        <v>2234783.3750049453</v>
      </c>
      <c r="BI60" s="437">
        <f t="shared" si="40"/>
        <v>326</v>
      </c>
    </row>
    <row r="61" spans="1:61" ht="15">
      <c r="A61" s="437">
        <f t="shared" si="41"/>
        <v>327</v>
      </c>
      <c r="B61" s="913" t="s">
        <v>1730</v>
      </c>
      <c r="F61" s="917" t="s">
        <v>1524</v>
      </c>
      <c r="H61" s="914">
        <v>-141115490.96315449</v>
      </c>
      <c r="J61" s="914">
        <v>4366113.2904000003</v>
      </c>
      <c r="K61" s="909"/>
      <c r="L61" s="914">
        <v>2619103.5449277442</v>
      </c>
      <c r="M61" s="909"/>
      <c r="N61" s="914">
        <v>1746445.7617024286</v>
      </c>
      <c r="P61" s="919" t="s">
        <v>845</v>
      </c>
      <c r="R61" s="909">
        <v>0</v>
      </c>
      <c r="S61" s="909"/>
      <c r="T61" s="909">
        <f t="shared" si="51"/>
        <v>1746445.7617024286</v>
      </c>
      <c r="U61" s="909"/>
      <c r="V61" s="909">
        <v>0</v>
      </c>
      <c r="W61" s="909"/>
      <c r="X61" s="909">
        <f t="shared" si="52"/>
        <v>1746445.7617024286</v>
      </c>
      <c r="Y61" s="909"/>
      <c r="Z61" s="449" t="s">
        <v>1534</v>
      </c>
      <c r="AA61" s="909"/>
      <c r="AB61" s="909">
        <v>0</v>
      </c>
      <c r="AC61" s="909"/>
      <c r="AD61" s="914">
        <v>129091.80784981261</v>
      </c>
      <c r="AE61" s="909"/>
      <c r="AF61" s="909">
        <v>0</v>
      </c>
      <c r="AG61" s="909"/>
      <c r="AH61" s="449" t="s">
        <v>856</v>
      </c>
      <c r="AI61" s="909"/>
      <c r="AJ61" s="448">
        <f t="shared" si="42"/>
        <v>0</v>
      </c>
      <c r="AK61" s="909"/>
      <c r="AL61" s="448">
        <f t="shared" si="43"/>
        <v>1617353.953852616</v>
      </c>
      <c r="AM61" s="909"/>
      <c r="AN61" s="448">
        <f t="shared" si="44"/>
        <v>0</v>
      </c>
      <c r="AO61" s="909"/>
      <c r="AP61" s="909">
        <f t="shared" si="45"/>
        <v>1617353.953852616</v>
      </c>
      <c r="AR61" s="909">
        <v>0</v>
      </c>
      <c r="AS61" s="909"/>
      <c r="AT61" s="914">
        <v>48307.760310348109</v>
      </c>
      <c r="AU61" s="909"/>
      <c r="AV61" s="909">
        <v>0</v>
      </c>
      <c r="AW61" s="909"/>
      <c r="AX61" s="448">
        <f t="shared" si="46"/>
        <v>0</v>
      </c>
      <c r="AY61" s="909"/>
      <c r="AZ61" s="448">
        <f t="shared" si="47"/>
        <v>1569046.1935422679</v>
      </c>
      <c r="BA61" s="909"/>
      <c r="BB61" s="448">
        <f t="shared" si="48"/>
        <v>0</v>
      </c>
      <c r="BC61" s="909"/>
      <c r="BD61" s="909">
        <f t="shared" si="49"/>
        <v>1569046.1935422679</v>
      </c>
      <c r="BF61" s="909">
        <f t="shared" si="50"/>
        <v>2178734.5570484884</v>
      </c>
      <c r="BI61" s="437">
        <f t="shared" si="40"/>
        <v>327</v>
      </c>
    </row>
    <row r="62" spans="1:61" ht="15">
      <c r="A62" s="437">
        <f t="shared" si="41"/>
        <v>328</v>
      </c>
      <c r="B62" s="913" t="s">
        <v>1731</v>
      </c>
      <c r="F62" s="917" t="s">
        <v>1524</v>
      </c>
      <c r="H62" s="914">
        <v>-3968619.5216548159</v>
      </c>
      <c r="J62" s="914">
        <v>122789.088</v>
      </c>
      <c r="K62" s="909"/>
      <c r="L62" s="914">
        <v>74088.701864447998</v>
      </c>
      <c r="M62" s="909"/>
      <c r="N62" s="914">
        <v>48700.386135551998</v>
      </c>
      <c r="P62" s="919" t="s">
        <v>845</v>
      </c>
      <c r="R62" s="909">
        <v>0</v>
      </c>
      <c r="S62" s="909"/>
      <c r="T62" s="909">
        <f t="shared" si="51"/>
        <v>48700.386135551998</v>
      </c>
      <c r="U62" s="909"/>
      <c r="V62" s="909">
        <v>0</v>
      </c>
      <c r="W62" s="909"/>
      <c r="X62" s="909">
        <f t="shared" si="52"/>
        <v>48700.386135551998</v>
      </c>
      <c r="Y62" s="909"/>
      <c r="Z62" s="449" t="s">
        <v>1534</v>
      </c>
      <c r="AA62" s="909"/>
      <c r="AB62" s="909">
        <v>0</v>
      </c>
      <c r="AC62" s="909"/>
      <c r="AD62" s="914">
        <v>3599.7802090881924</v>
      </c>
      <c r="AE62" s="909"/>
      <c r="AF62" s="909">
        <v>0</v>
      </c>
      <c r="AG62" s="909"/>
      <c r="AH62" s="449" t="s">
        <v>856</v>
      </c>
      <c r="AI62" s="909"/>
      <c r="AJ62" s="448">
        <f t="shared" si="42"/>
        <v>0</v>
      </c>
      <c r="AK62" s="909"/>
      <c r="AL62" s="448">
        <f t="shared" si="43"/>
        <v>45100.605926463802</v>
      </c>
      <c r="AM62" s="909"/>
      <c r="AN62" s="448">
        <f t="shared" si="44"/>
        <v>0</v>
      </c>
      <c r="AO62" s="909"/>
      <c r="AP62" s="909">
        <f t="shared" si="45"/>
        <v>45100.605926463802</v>
      </c>
      <c r="AR62" s="909">
        <v>0</v>
      </c>
      <c r="AS62" s="909"/>
      <c r="AT62" s="914">
        <v>1347.0825330208563</v>
      </c>
      <c r="AU62" s="909"/>
      <c r="AV62" s="909">
        <v>0</v>
      </c>
      <c r="AW62" s="909"/>
      <c r="AX62" s="448">
        <f t="shared" si="46"/>
        <v>0</v>
      </c>
      <c r="AY62" s="909"/>
      <c r="AZ62" s="448">
        <f t="shared" si="47"/>
        <v>43753.523393442949</v>
      </c>
      <c r="BA62" s="909"/>
      <c r="BB62" s="448">
        <f t="shared" si="48"/>
        <v>0</v>
      </c>
      <c r="BC62" s="909"/>
      <c r="BD62" s="909">
        <f t="shared" si="49"/>
        <v>43753.523393442949</v>
      </c>
      <c r="BF62" s="909">
        <f t="shared" si="50"/>
        <v>60754.943864790446</v>
      </c>
      <c r="BI62" s="437">
        <f t="shared" si="40"/>
        <v>328</v>
      </c>
    </row>
    <row r="63" spans="1:61" ht="15">
      <c r="A63" s="437">
        <f t="shared" si="41"/>
        <v>329</v>
      </c>
      <c r="B63" s="913" t="s">
        <v>1732</v>
      </c>
      <c r="F63" s="917" t="s">
        <v>1524</v>
      </c>
      <c r="H63" s="914">
        <v>-880.87912087912093</v>
      </c>
      <c r="J63" s="914">
        <v>27.2544</v>
      </c>
      <c r="K63" s="909"/>
      <c r="L63" s="914">
        <v>16.506803712</v>
      </c>
      <c r="M63" s="909"/>
      <c r="N63" s="914">
        <v>10.747596287999999</v>
      </c>
      <c r="P63" s="919" t="s">
        <v>845</v>
      </c>
      <c r="R63" s="909">
        <v>0</v>
      </c>
      <c r="S63" s="909"/>
      <c r="T63" s="909">
        <f t="shared" si="51"/>
        <v>10.747596287999999</v>
      </c>
      <c r="U63" s="909"/>
      <c r="V63" s="909">
        <v>0</v>
      </c>
      <c r="W63" s="909"/>
      <c r="X63" s="909">
        <f t="shared" si="52"/>
        <v>10.747596287999999</v>
      </c>
      <c r="Y63" s="909"/>
      <c r="Z63" s="449" t="s">
        <v>1534</v>
      </c>
      <c r="AA63" s="909"/>
      <c r="AB63" s="909">
        <v>0</v>
      </c>
      <c r="AC63" s="909"/>
      <c r="AD63" s="914">
        <v>0.7944286992946159</v>
      </c>
      <c r="AE63" s="909"/>
      <c r="AF63" s="909">
        <v>0</v>
      </c>
      <c r="AG63" s="909"/>
      <c r="AH63" s="449" t="s">
        <v>856</v>
      </c>
      <c r="AI63" s="909"/>
      <c r="AJ63" s="448">
        <f t="shared" si="42"/>
        <v>0</v>
      </c>
      <c r="AK63" s="909"/>
      <c r="AL63" s="448">
        <f t="shared" si="43"/>
        <v>9.9531675887053837</v>
      </c>
      <c r="AM63" s="909"/>
      <c r="AN63" s="448">
        <f t="shared" si="44"/>
        <v>0</v>
      </c>
      <c r="AO63" s="909"/>
      <c r="AP63" s="909">
        <f t="shared" si="45"/>
        <v>9.9531675887053837</v>
      </c>
      <c r="AR63" s="909">
        <v>0</v>
      </c>
      <c r="AS63" s="909"/>
      <c r="AT63" s="914">
        <v>0.29728510142048975</v>
      </c>
      <c r="AU63" s="909"/>
      <c r="AV63" s="909">
        <v>0</v>
      </c>
      <c r="AW63" s="909"/>
      <c r="AX63" s="448">
        <f t="shared" si="46"/>
        <v>0</v>
      </c>
      <c r="AY63" s="909"/>
      <c r="AZ63" s="448">
        <f t="shared" si="47"/>
        <v>9.6558824872848934</v>
      </c>
      <c r="BA63" s="909"/>
      <c r="BB63" s="448">
        <f t="shared" si="48"/>
        <v>0</v>
      </c>
      <c r="BC63" s="909"/>
      <c r="BD63" s="909">
        <f t="shared" si="49"/>
        <v>9.6558824872848934</v>
      </c>
      <c r="BF63" s="909">
        <f t="shared" si="50"/>
        <v>13.407893878734416</v>
      </c>
      <c r="BI63" s="437">
        <f t="shared" si="40"/>
        <v>329</v>
      </c>
    </row>
    <row r="64" spans="1:61" ht="15">
      <c r="A64" s="437">
        <f t="shared" si="41"/>
        <v>330</v>
      </c>
      <c r="B64" s="913" t="s">
        <v>1733</v>
      </c>
      <c r="F64" s="917" t="s">
        <v>1524</v>
      </c>
      <c r="H64" s="914">
        <v>15589528.118939884</v>
      </c>
      <c r="J64" s="914">
        <v>-482340</v>
      </c>
      <c r="K64" s="909"/>
      <c r="L64" s="914">
        <v>-289341.62112000003</v>
      </c>
      <c r="M64" s="909"/>
      <c r="N64" s="914">
        <v>-192935.65226813068</v>
      </c>
      <c r="P64" s="919" t="s">
        <v>845</v>
      </c>
      <c r="R64" s="909">
        <v>0</v>
      </c>
      <c r="S64" s="909"/>
      <c r="T64" s="909">
        <f t="shared" si="51"/>
        <v>-192935.65226813068</v>
      </c>
      <c r="U64" s="909"/>
      <c r="V64" s="909">
        <v>0</v>
      </c>
      <c r="W64" s="909"/>
      <c r="X64" s="909">
        <f t="shared" si="52"/>
        <v>-192935.65226813068</v>
      </c>
      <c r="Y64" s="909"/>
      <c r="Z64" s="449" t="s">
        <v>1534</v>
      </c>
      <c r="AA64" s="909"/>
      <c r="AB64" s="909">
        <v>0</v>
      </c>
      <c r="AC64" s="909"/>
      <c r="AD64" s="914">
        <v>-14261.199915935042</v>
      </c>
      <c r="AE64" s="909"/>
      <c r="AF64" s="909">
        <v>0</v>
      </c>
      <c r="AG64" s="909"/>
      <c r="AH64" s="449" t="s">
        <v>856</v>
      </c>
      <c r="AI64" s="909"/>
      <c r="AJ64" s="448">
        <f t="shared" si="42"/>
        <v>0</v>
      </c>
      <c r="AK64" s="909"/>
      <c r="AL64" s="448">
        <f t="shared" si="43"/>
        <v>-178674.45235219563</v>
      </c>
      <c r="AM64" s="909"/>
      <c r="AN64" s="448">
        <f t="shared" si="44"/>
        <v>0</v>
      </c>
      <c r="AO64" s="909"/>
      <c r="AP64" s="909">
        <f t="shared" si="45"/>
        <v>-178674.45235219563</v>
      </c>
      <c r="AR64" s="909">
        <v>0</v>
      </c>
      <c r="AS64" s="909"/>
      <c r="AT64" s="914">
        <v>-5336.7184080220995</v>
      </c>
      <c r="AU64" s="909"/>
      <c r="AV64" s="909">
        <v>0</v>
      </c>
      <c r="AW64" s="909"/>
      <c r="AX64" s="448">
        <f t="shared" si="46"/>
        <v>0</v>
      </c>
      <c r="AY64" s="909"/>
      <c r="AZ64" s="448">
        <f t="shared" si="47"/>
        <v>-173337.73394417352</v>
      </c>
      <c r="BA64" s="909"/>
      <c r="BB64" s="448">
        <f t="shared" si="48"/>
        <v>0</v>
      </c>
      <c r="BC64" s="909"/>
      <c r="BD64" s="909">
        <f t="shared" si="49"/>
        <v>-173337.73394417352</v>
      </c>
      <c r="BF64" s="909">
        <f t="shared" si="50"/>
        <v>-240692.02840488209</v>
      </c>
      <c r="BI64" s="437">
        <f t="shared" si="40"/>
        <v>330</v>
      </c>
    </row>
    <row r="65" spans="1:61" ht="15">
      <c r="A65" s="437">
        <f t="shared" si="41"/>
        <v>331</v>
      </c>
      <c r="B65" s="913" t="s">
        <v>1734</v>
      </c>
      <c r="F65" s="917" t="s">
        <v>1524</v>
      </c>
      <c r="H65" s="914">
        <v>-14443083.387201035</v>
      </c>
      <c r="J65" s="914">
        <v>446869</v>
      </c>
      <c r="K65" s="909"/>
      <c r="L65" s="914">
        <v>268063.47200000001</v>
      </c>
      <c r="M65" s="909"/>
      <c r="N65" s="914">
        <v>178747.69686545752</v>
      </c>
      <c r="P65" s="919" t="s">
        <v>845</v>
      </c>
      <c r="R65" s="909">
        <v>0</v>
      </c>
      <c r="S65" s="909"/>
      <c r="T65" s="909">
        <f t="shared" si="51"/>
        <v>178747.69686545752</v>
      </c>
      <c r="U65" s="909"/>
      <c r="V65" s="909">
        <v>0</v>
      </c>
      <c r="W65" s="909"/>
      <c r="X65" s="909">
        <f t="shared" si="52"/>
        <v>178747.69686545752</v>
      </c>
      <c r="Y65" s="909"/>
      <c r="Z65" s="449" t="s">
        <v>1534</v>
      </c>
      <c r="AA65" s="909"/>
      <c r="AB65" s="909">
        <v>0</v>
      </c>
      <c r="AC65" s="909"/>
      <c r="AD65" s="914">
        <v>13212.470632273689</v>
      </c>
      <c r="AE65" s="909"/>
      <c r="AF65" s="909">
        <v>0</v>
      </c>
      <c r="AG65" s="909"/>
      <c r="AH65" s="449" t="s">
        <v>856</v>
      </c>
      <c r="AI65" s="909"/>
      <c r="AJ65" s="448">
        <f t="shared" si="42"/>
        <v>0</v>
      </c>
      <c r="AK65" s="909"/>
      <c r="AL65" s="448">
        <f t="shared" si="43"/>
        <v>165535.22623318381</v>
      </c>
      <c r="AM65" s="909"/>
      <c r="AN65" s="448">
        <f t="shared" si="44"/>
        <v>0</v>
      </c>
      <c r="AO65" s="909"/>
      <c r="AP65" s="909">
        <f t="shared" si="45"/>
        <v>165535.22623318381</v>
      </c>
      <c r="AR65" s="909">
        <v>0</v>
      </c>
      <c r="AS65" s="909"/>
      <c r="AT65" s="914">
        <v>4944.2708646079082</v>
      </c>
      <c r="AU65" s="909"/>
      <c r="AV65" s="909">
        <v>0</v>
      </c>
      <c r="AW65" s="909"/>
      <c r="AX65" s="448">
        <f t="shared" si="46"/>
        <v>0</v>
      </c>
      <c r="AY65" s="909"/>
      <c r="AZ65" s="448">
        <f t="shared" si="47"/>
        <v>160590.9553685759</v>
      </c>
      <c r="BA65" s="909"/>
      <c r="BB65" s="448">
        <f t="shared" si="48"/>
        <v>0</v>
      </c>
      <c r="BC65" s="909"/>
      <c r="BD65" s="909">
        <f t="shared" si="49"/>
        <v>160590.9553685759</v>
      </c>
      <c r="BF65" s="909">
        <f t="shared" si="50"/>
        <v>222992.20089948384</v>
      </c>
      <c r="BI65" s="437">
        <f t="shared" si="40"/>
        <v>331</v>
      </c>
    </row>
    <row r="66" spans="1:61" ht="15">
      <c r="A66" s="437">
        <f t="shared" si="41"/>
        <v>332</v>
      </c>
      <c r="B66" s="913" t="s">
        <v>1735</v>
      </c>
      <c r="F66" s="917" t="s">
        <v>1524</v>
      </c>
      <c r="H66" s="914">
        <v>-886600032.32062054</v>
      </c>
      <c r="J66" s="914">
        <v>27431405</v>
      </c>
      <c r="K66" s="909"/>
      <c r="L66" s="914">
        <v>16458843.48416</v>
      </c>
      <c r="M66" s="909"/>
      <c r="N66" s="914">
        <v>10969014.385444462</v>
      </c>
      <c r="P66" s="919" t="s">
        <v>845</v>
      </c>
      <c r="R66" s="909">
        <v>0</v>
      </c>
      <c r="S66" s="909"/>
      <c r="T66" s="909">
        <f t="shared" si="51"/>
        <v>10969014.385444462</v>
      </c>
      <c r="U66" s="909"/>
      <c r="V66" s="909">
        <v>0</v>
      </c>
      <c r="W66" s="909"/>
      <c r="X66" s="909">
        <f t="shared" si="52"/>
        <v>10969014.385444462</v>
      </c>
      <c r="Y66" s="909"/>
      <c r="Z66" s="449" t="s">
        <v>1534</v>
      </c>
      <c r="AA66" s="909"/>
      <c r="AB66" s="909">
        <v>0</v>
      </c>
      <c r="AC66" s="909"/>
      <c r="AD66" s="914">
        <v>810795.23246533913</v>
      </c>
      <c r="AE66" s="909"/>
      <c r="AF66" s="909">
        <v>0</v>
      </c>
      <c r="AG66" s="909"/>
      <c r="AH66" s="449" t="s">
        <v>856</v>
      </c>
      <c r="AI66" s="909"/>
      <c r="AJ66" s="448">
        <f t="shared" si="42"/>
        <v>0</v>
      </c>
      <c r="AK66" s="909"/>
      <c r="AL66" s="448">
        <f t="shared" si="43"/>
        <v>10158219.152979122</v>
      </c>
      <c r="AM66" s="909"/>
      <c r="AN66" s="448">
        <f t="shared" si="44"/>
        <v>0</v>
      </c>
      <c r="AO66" s="909"/>
      <c r="AP66" s="909">
        <f t="shared" si="45"/>
        <v>10158219.152979122</v>
      </c>
      <c r="AR66" s="909">
        <v>0</v>
      </c>
      <c r="AS66" s="909"/>
      <c r="AT66" s="914">
        <v>303409.6617213455</v>
      </c>
      <c r="AU66" s="909"/>
      <c r="AV66" s="909">
        <v>0</v>
      </c>
      <c r="AW66" s="909"/>
      <c r="AX66" s="448">
        <f t="shared" si="46"/>
        <v>0</v>
      </c>
      <c r="AY66" s="909"/>
      <c r="AZ66" s="448">
        <f t="shared" si="47"/>
        <v>9854809.4912577774</v>
      </c>
      <c r="BA66" s="909"/>
      <c r="BB66" s="448">
        <f t="shared" si="48"/>
        <v>0</v>
      </c>
      <c r="BC66" s="909"/>
      <c r="BD66" s="909">
        <f t="shared" si="49"/>
        <v>9854809.4912577774</v>
      </c>
      <c r="BF66" s="909">
        <f t="shared" si="50"/>
        <v>13684118.466429558</v>
      </c>
      <c r="BI66" s="437">
        <f t="shared" si="40"/>
        <v>332</v>
      </c>
    </row>
    <row r="67" spans="1:61" ht="15">
      <c r="A67" s="437">
        <f t="shared" si="41"/>
        <v>333</v>
      </c>
      <c r="B67" s="913" t="s">
        <v>1736</v>
      </c>
      <c r="F67" s="917" t="s">
        <v>1524</v>
      </c>
      <c r="H67" s="914">
        <v>1286820103.4259858</v>
      </c>
      <c r="J67" s="914">
        <v>-39814214</v>
      </c>
      <c r="K67" s="909"/>
      <c r="L67" s="914">
        <v>-23929738.219519999</v>
      </c>
      <c r="M67" s="909"/>
      <c r="N67" s="914">
        <v>-15879318.904024091</v>
      </c>
      <c r="P67" s="919" t="s">
        <v>845</v>
      </c>
      <c r="R67" s="909">
        <f>+N67</f>
        <v>-15879318.904024091</v>
      </c>
      <c r="S67" s="909"/>
      <c r="T67" s="909"/>
      <c r="U67" s="909"/>
      <c r="V67" s="909">
        <v>0</v>
      </c>
      <c r="W67" s="909"/>
      <c r="X67" s="909">
        <f t="shared" si="52"/>
        <v>-15879318.904024091</v>
      </c>
      <c r="Y67" s="909"/>
      <c r="Z67" s="449" t="s">
        <v>831</v>
      </c>
      <c r="AA67" s="909"/>
      <c r="AB67" s="914">
        <v>-3495214.1445797235</v>
      </c>
      <c r="AC67" s="909"/>
      <c r="AD67" s="909">
        <v>0</v>
      </c>
      <c r="AE67" s="909"/>
      <c r="AF67" s="909">
        <v>0</v>
      </c>
      <c r="AG67" s="909"/>
      <c r="AH67" s="449" t="s">
        <v>856</v>
      </c>
      <c r="AI67" s="909"/>
      <c r="AJ67" s="448">
        <f t="shared" si="42"/>
        <v>-12384104.759444367</v>
      </c>
      <c r="AK67" s="909"/>
      <c r="AL67" s="448">
        <f t="shared" si="43"/>
        <v>0</v>
      </c>
      <c r="AM67" s="909"/>
      <c r="AN67" s="448">
        <f t="shared" si="44"/>
        <v>0</v>
      </c>
      <c r="AO67" s="909"/>
      <c r="AP67" s="909">
        <f t="shared" si="45"/>
        <v>-12384104.759444367</v>
      </c>
      <c r="AR67" s="914">
        <v>-1537745.3264169826</v>
      </c>
      <c r="AS67" s="909"/>
      <c r="AT67" s="909"/>
      <c r="AU67" s="909"/>
      <c r="AV67" s="909">
        <v>0</v>
      </c>
      <c r="AW67" s="909"/>
      <c r="AX67" s="448">
        <f t="shared" si="46"/>
        <v>-10846359.433027385</v>
      </c>
      <c r="AY67" s="909"/>
      <c r="AZ67" s="448">
        <f t="shared" si="47"/>
        <v>0</v>
      </c>
      <c r="BA67" s="909"/>
      <c r="BB67" s="448">
        <f t="shared" si="48"/>
        <v>0</v>
      </c>
      <c r="BC67" s="909"/>
      <c r="BD67" s="909">
        <f t="shared" si="49"/>
        <v>-10846359.433027385</v>
      </c>
      <c r="BF67" s="909">
        <f t="shared" si="50"/>
        <v>-15060957.54998498</v>
      </c>
      <c r="BI67" s="437">
        <f t="shared" si="40"/>
        <v>333</v>
      </c>
    </row>
    <row r="68" spans="1:61" ht="15">
      <c r="A68" s="437">
        <f t="shared" si="41"/>
        <v>334</v>
      </c>
      <c r="B68" s="913" t="s">
        <v>1737</v>
      </c>
      <c r="F68" s="917" t="s">
        <v>1524</v>
      </c>
      <c r="H68" s="914">
        <v>-1894440.8532643828</v>
      </c>
      <c r="J68" s="914">
        <v>58614</v>
      </c>
      <c r="K68" s="909"/>
      <c r="L68" s="914">
        <v>35160.973440000002</v>
      </c>
      <c r="M68" s="909"/>
      <c r="N68" s="914">
        <v>23445</v>
      </c>
      <c r="P68" s="919" t="s">
        <v>845</v>
      </c>
      <c r="R68" s="909">
        <v>0</v>
      </c>
      <c r="S68" s="909"/>
      <c r="T68" s="909">
        <f t="shared" si="51"/>
        <v>23445</v>
      </c>
      <c r="U68" s="909"/>
      <c r="V68" s="909">
        <v>0</v>
      </c>
      <c r="W68" s="909"/>
      <c r="X68" s="909">
        <f t="shared" si="52"/>
        <v>23445</v>
      </c>
      <c r="Y68" s="909"/>
      <c r="Z68" s="449" t="s">
        <v>1534</v>
      </c>
      <c r="AA68" s="909"/>
      <c r="AB68" s="909">
        <v>0</v>
      </c>
      <c r="AC68" s="909"/>
      <c r="AD68" s="914">
        <v>1732.9810644039583</v>
      </c>
      <c r="AE68" s="909"/>
      <c r="AF68" s="909">
        <v>0</v>
      </c>
      <c r="AG68" s="909"/>
      <c r="AH68" s="449" t="s">
        <v>856</v>
      </c>
      <c r="AI68" s="909"/>
      <c r="AJ68" s="448">
        <f t="shared" si="42"/>
        <v>0</v>
      </c>
      <c r="AK68" s="909"/>
      <c r="AL68" s="448">
        <f t="shared" si="43"/>
        <v>21712.018935596043</v>
      </c>
      <c r="AM68" s="909"/>
      <c r="AN68" s="448">
        <f t="shared" si="44"/>
        <v>0</v>
      </c>
      <c r="AO68" s="909"/>
      <c r="AP68" s="909">
        <f t="shared" si="45"/>
        <v>21712.018935596043</v>
      </c>
      <c r="AR68" s="909">
        <v>0</v>
      </c>
      <c r="AS68" s="909"/>
      <c r="AT68" s="914">
        <v>648.50307138773155</v>
      </c>
      <c r="AU68" s="909"/>
      <c r="AV68" s="909">
        <v>0</v>
      </c>
      <c r="AW68" s="909"/>
      <c r="AX68" s="448">
        <f t="shared" si="46"/>
        <v>0</v>
      </c>
      <c r="AY68" s="909"/>
      <c r="AZ68" s="448">
        <f t="shared" si="47"/>
        <v>21063.515864208312</v>
      </c>
      <c r="BA68" s="909"/>
      <c r="BB68" s="448">
        <f t="shared" si="48"/>
        <v>0</v>
      </c>
      <c r="BC68" s="909"/>
      <c r="BD68" s="909">
        <f t="shared" si="49"/>
        <v>21063.515864208312</v>
      </c>
      <c r="BF68" s="909">
        <f t="shared" si="50"/>
        <v>29248.221049939057</v>
      </c>
      <c r="BI68" s="437">
        <f t="shared" si="40"/>
        <v>334</v>
      </c>
    </row>
    <row r="69" spans="1:61" ht="15">
      <c r="A69" s="437">
        <f t="shared" si="41"/>
        <v>335</v>
      </c>
      <c r="B69" s="913" t="s">
        <v>1738</v>
      </c>
      <c r="F69" s="917" t="s">
        <v>1524</v>
      </c>
      <c r="H69" s="914">
        <v>-9917200.7756948937</v>
      </c>
      <c r="J69" s="914">
        <v>306838.19199999998</v>
      </c>
      <c r="K69" s="909"/>
      <c r="L69" s="914">
        <v>185140.45328640001</v>
      </c>
      <c r="M69" s="909"/>
      <c r="N69" s="914">
        <v>121673.12137318996</v>
      </c>
      <c r="P69" s="919" t="s">
        <v>845</v>
      </c>
      <c r="R69" s="909">
        <v>0</v>
      </c>
      <c r="S69" s="909"/>
      <c r="T69" s="909">
        <f t="shared" si="51"/>
        <v>121673.12137318996</v>
      </c>
      <c r="U69" s="909"/>
      <c r="V69" s="909">
        <v>0</v>
      </c>
      <c r="W69" s="909"/>
      <c r="X69" s="909">
        <f t="shared" si="52"/>
        <v>121673.12137318996</v>
      </c>
      <c r="Y69" s="909"/>
      <c r="Z69" s="449" t="s">
        <v>1534</v>
      </c>
      <c r="AA69" s="909"/>
      <c r="AB69" s="909">
        <v>0</v>
      </c>
      <c r="AC69" s="909"/>
      <c r="AD69" s="914">
        <v>8993.6965402713904</v>
      </c>
      <c r="AE69" s="909"/>
      <c r="AF69" s="909">
        <v>0</v>
      </c>
      <c r="AG69" s="909"/>
      <c r="AH69" s="449" t="s">
        <v>856</v>
      </c>
      <c r="AI69" s="909"/>
      <c r="AJ69" s="448">
        <f t="shared" si="42"/>
        <v>0</v>
      </c>
      <c r="AK69" s="909"/>
      <c r="AL69" s="448">
        <f t="shared" si="43"/>
        <v>112679.42483291856</v>
      </c>
      <c r="AM69" s="909"/>
      <c r="AN69" s="448">
        <f t="shared" si="44"/>
        <v>0</v>
      </c>
      <c r="AO69" s="909"/>
      <c r="AP69" s="909">
        <f t="shared" si="45"/>
        <v>112679.42483291856</v>
      </c>
      <c r="AR69" s="909">
        <v>0</v>
      </c>
      <c r="AS69" s="909"/>
      <c r="AT69" s="914">
        <v>3365.5531207441227</v>
      </c>
      <c r="AU69" s="909"/>
      <c r="AV69" s="909">
        <v>0</v>
      </c>
      <c r="AW69" s="909"/>
      <c r="AX69" s="448">
        <f t="shared" si="46"/>
        <v>0</v>
      </c>
      <c r="AY69" s="909"/>
      <c r="AZ69" s="448">
        <f t="shared" si="47"/>
        <v>109313.87171217444</v>
      </c>
      <c r="BA69" s="909"/>
      <c r="BB69" s="448">
        <f t="shared" si="48"/>
        <v>0</v>
      </c>
      <c r="BC69" s="909"/>
      <c r="BD69" s="909">
        <f t="shared" si="49"/>
        <v>109313.87171217444</v>
      </c>
      <c r="BF69" s="909">
        <f t="shared" si="50"/>
        <v>151790.24737722857</v>
      </c>
      <c r="BI69" s="437">
        <f t="shared" si="40"/>
        <v>335</v>
      </c>
    </row>
    <row r="70" spans="1:61" ht="15">
      <c r="A70" s="437">
        <f t="shared" si="41"/>
        <v>336</v>
      </c>
      <c r="B70" s="913" t="s">
        <v>1739</v>
      </c>
      <c r="F70" s="917" t="s">
        <v>1524</v>
      </c>
      <c r="H70" s="914">
        <v>3811317.8539107954</v>
      </c>
      <c r="J70" s="914">
        <v>-117922.1744</v>
      </c>
      <c r="K70" s="909"/>
      <c r="L70" s="914">
        <v>-71151.934237184003</v>
      </c>
      <c r="M70" s="909"/>
      <c r="N70" s="914">
        <v>-46771.162561949262</v>
      </c>
      <c r="P70" s="919" t="s">
        <v>845</v>
      </c>
      <c r="R70" s="909">
        <v>0</v>
      </c>
      <c r="S70" s="909"/>
      <c r="T70" s="909">
        <f t="shared" si="51"/>
        <v>-46771.162561949262</v>
      </c>
      <c r="U70" s="909"/>
      <c r="V70" s="909">
        <v>0</v>
      </c>
      <c r="W70" s="909"/>
      <c r="X70" s="909">
        <f t="shared" si="52"/>
        <v>-46771.162561949262</v>
      </c>
      <c r="Y70" s="909"/>
      <c r="Z70" s="449" t="s">
        <v>1534</v>
      </c>
      <c r="AA70" s="909"/>
      <c r="AB70" s="909">
        <v>0</v>
      </c>
      <c r="AC70" s="909"/>
      <c r="AD70" s="914">
        <v>-3457.1780371088676</v>
      </c>
      <c r="AE70" s="909"/>
      <c r="AF70" s="909">
        <v>0</v>
      </c>
      <c r="AG70" s="909"/>
      <c r="AH70" s="449" t="s">
        <v>856</v>
      </c>
      <c r="AI70" s="909"/>
      <c r="AJ70" s="448">
        <f t="shared" si="42"/>
        <v>0</v>
      </c>
      <c r="AK70" s="909"/>
      <c r="AL70" s="448">
        <f t="shared" si="43"/>
        <v>-43313.984524840394</v>
      </c>
      <c r="AM70" s="909"/>
      <c r="AN70" s="448">
        <f t="shared" si="44"/>
        <v>0</v>
      </c>
      <c r="AO70" s="909"/>
      <c r="AP70" s="909">
        <f t="shared" si="45"/>
        <v>-43313.984524840394</v>
      </c>
      <c r="AR70" s="909">
        <v>0</v>
      </c>
      <c r="AS70" s="909"/>
      <c r="AT70" s="914">
        <v>-1293.7190263936441</v>
      </c>
      <c r="AU70" s="909"/>
      <c r="AV70" s="909">
        <v>0</v>
      </c>
      <c r="AW70" s="909"/>
      <c r="AX70" s="448">
        <f t="shared" si="46"/>
        <v>0</v>
      </c>
      <c r="AY70" s="909"/>
      <c r="AZ70" s="448">
        <f t="shared" si="47"/>
        <v>-42020.265498446752</v>
      </c>
      <c r="BA70" s="909"/>
      <c r="BB70" s="448">
        <f t="shared" si="48"/>
        <v>0</v>
      </c>
      <c r="BC70" s="909"/>
      <c r="BD70" s="909">
        <f t="shared" si="49"/>
        <v>-42020.265498446752</v>
      </c>
      <c r="BF70" s="909">
        <f t="shared" si="50"/>
        <v>-58348.189438026267</v>
      </c>
      <c r="BI70" s="437">
        <f t="shared" si="40"/>
        <v>336</v>
      </c>
    </row>
    <row r="71" spans="1:61" ht="15">
      <c r="A71" s="437">
        <f t="shared" si="41"/>
        <v>337</v>
      </c>
      <c r="B71" s="913" t="s">
        <v>1740</v>
      </c>
      <c r="F71" s="917" t="s">
        <v>1524</v>
      </c>
      <c r="H71" s="914">
        <v>82548642.301228195</v>
      </c>
      <c r="J71" s="914">
        <v>-2554054.9928000001</v>
      </c>
      <c r="K71" s="909"/>
      <c r="L71" s="914">
        <v>-1541067.8169226239</v>
      </c>
      <c r="M71" s="909"/>
      <c r="N71" s="914">
        <v>-1012669.8247086008</v>
      </c>
      <c r="P71" s="919" t="s">
        <v>845</v>
      </c>
      <c r="R71" s="909">
        <v>0</v>
      </c>
      <c r="S71" s="909"/>
      <c r="T71" s="909">
        <f t="shared" si="51"/>
        <v>-1012669.8247086008</v>
      </c>
      <c r="U71" s="909"/>
      <c r="V71" s="909">
        <v>0</v>
      </c>
      <c r="W71" s="909"/>
      <c r="X71" s="909">
        <f t="shared" si="52"/>
        <v>-1012669.8247086008</v>
      </c>
      <c r="Y71" s="909"/>
      <c r="Z71" s="449" t="s">
        <v>1534</v>
      </c>
      <c r="AA71" s="909"/>
      <c r="AB71" s="909">
        <v>0</v>
      </c>
      <c r="AC71" s="909"/>
      <c r="AD71" s="914">
        <v>-74853.38582696869</v>
      </c>
      <c r="AE71" s="909"/>
      <c r="AF71" s="909">
        <v>0</v>
      </c>
      <c r="AG71" s="909"/>
      <c r="AH71" s="449" t="s">
        <v>856</v>
      </c>
      <c r="AI71" s="909"/>
      <c r="AJ71" s="448">
        <f t="shared" si="42"/>
        <v>0</v>
      </c>
      <c r="AK71" s="909"/>
      <c r="AL71" s="448">
        <f t="shared" si="43"/>
        <v>-937816.43888163206</v>
      </c>
      <c r="AM71" s="909"/>
      <c r="AN71" s="448">
        <f t="shared" si="44"/>
        <v>0</v>
      </c>
      <c r="AO71" s="909"/>
      <c r="AP71" s="909">
        <f t="shared" si="45"/>
        <v>-937816.43888163206</v>
      </c>
      <c r="AR71" s="909">
        <v>0</v>
      </c>
      <c r="AS71" s="909"/>
      <c r="AT71" s="914">
        <v>-28011.068100883065</v>
      </c>
      <c r="AU71" s="909"/>
      <c r="AV71" s="909">
        <v>0</v>
      </c>
      <c r="AW71" s="909"/>
      <c r="AX71" s="448">
        <f t="shared" si="46"/>
        <v>0</v>
      </c>
      <c r="AY71" s="909"/>
      <c r="AZ71" s="448">
        <f t="shared" si="47"/>
        <v>-909805.37078074901</v>
      </c>
      <c r="BA71" s="909"/>
      <c r="BB71" s="448">
        <f t="shared" si="48"/>
        <v>0</v>
      </c>
      <c r="BC71" s="909"/>
      <c r="BD71" s="909">
        <f t="shared" si="49"/>
        <v>-909805.37078074901</v>
      </c>
      <c r="BF71" s="909">
        <f t="shared" si="50"/>
        <v>-1263330.8118438979</v>
      </c>
      <c r="BI71" s="437">
        <f t="shared" si="40"/>
        <v>337</v>
      </c>
    </row>
    <row r="72" spans="1:61" ht="15">
      <c r="A72" s="437">
        <f t="shared" si="41"/>
        <v>338</v>
      </c>
      <c r="B72" s="913" t="s">
        <v>1741</v>
      </c>
      <c r="F72" s="917" t="s">
        <v>1524</v>
      </c>
      <c r="H72" s="914">
        <v>-206829414.58306399</v>
      </c>
      <c r="J72" s="914">
        <v>6399302.0872</v>
      </c>
      <c r="K72" s="909"/>
      <c r="L72" s="914">
        <v>3859009.5899391999</v>
      </c>
      <c r="M72" s="909"/>
      <c r="N72" s="914">
        <v>2539444.1115617389</v>
      </c>
      <c r="P72" s="919" t="s">
        <v>845</v>
      </c>
      <c r="R72" s="909">
        <v>0</v>
      </c>
      <c r="S72" s="909"/>
      <c r="T72" s="909">
        <f t="shared" si="51"/>
        <v>2539444.1115617389</v>
      </c>
      <c r="U72" s="909"/>
      <c r="V72" s="909">
        <v>0</v>
      </c>
      <c r="W72" s="909"/>
      <c r="X72" s="909">
        <f t="shared" si="52"/>
        <v>2539444.1115617389</v>
      </c>
      <c r="Y72" s="909"/>
      <c r="Z72" s="449" t="s">
        <v>1534</v>
      </c>
      <c r="AA72" s="909"/>
      <c r="AB72" s="909">
        <v>0</v>
      </c>
      <c r="AC72" s="909"/>
      <c r="AD72" s="914">
        <v>187707.7653848849</v>
      </c>
      <c r="AE72" s="909"/>
      <c r="AF72" s="909">
        <v>0</v>
      </c>
      <c r="AG72" s="909"/>
      <c r="AH72" s="449" t="s">
        <v>856</v>
      </c>
      <c r="AI72" s="909"/>
      <c r="AJ72" s="448">
        <f t="shared" si="42"/>
        <v>0</v>
      </c>
      <c r="AK72" s="909"/>
      <c r="AL72" s="448">
        <f t="shared" si="43"/>
        <v>2351736.3461768539</v>
      </c>
      <c r="AM72" s="909"/>
      <c r="AN72" s="448">
        <f t="shared" si="44"/>
        <v>0</v>
      </c>
      <c r="AO72" s="909"/>
      <c r="AP72" s="909">
        <f t="shared" si="45"/>
        <v>2351736.3461768539</v>
      </c>
      <c r="AR72" s="909">
        <v>0</v>
      </c>
      <c r="AS72" s="909"/>
      <c r="AT72" s="914">
        <v>70242.580762007972</v>
      </c>
      <c r="AU72" s="909"/>
      <c r="AV72" s="909">
        <v>0</v>
      </c>
      <c r="AW72" s="909"/>
      <c r="AX72" s="448">
        <f t="shared" si="46"/>
        <v>0</v>
      </c>
      <c r="AY72" s="909"/>
      <c r="AZ72" s="448">
        <f t="shared" si="47"/>
        <v>2281493.7654148461</v>
      </c>
      <c r="BA72" s="909"/>
      <c r="BB72" s="448">
        <f t="shared" si="48"/>
        <v>0</v>
      </c>
      <c r="BC72" s="909"/>
      <c r="BD72" s="909">
        <f t="shared" si="49"/>
        <v>2281493.7654148461</v>
      </c>
      <c r="BF72" s="909">
        <f t="shared" si="50"/>
        <v>3168019.7363584489</v>
      </c>
      <c r="BI72" s="437">
        <f t="shared" si="40"/>
        <v>338</v>
      </c>
    </row>
    <row r="73" spans="1:61" ht="15">
      <c r="A73" s="437">
        <f t="shared" si="41"/>
        <v>339</v>
      </c>
      <c r="B73" s="913" t="s">
        <v>1742</v>
      </c>
      <c r="F73" s="917" t="s">
        <v>1524</v>
      </c>
      <c r="H73" s="914">
        <v>2780935.7983193276</v>
      </c>
      <c r="J73" s="914">
        <v>-86042.153599999991</v>
      </c>
      <c r="K73" s="909"/>
      <c r="L73" s="914">
        <v>-52236.797545984009</v>
      </c>
      <c r="M73" s="909"/>
      <c r="N73" s="914">
        <v>-33825.769305745198</v>
      </c>
      <c r="P73" s="919" t="s">
        <v>845</v>
      </c>
      <c r="R73" s="909">
        <v>0</v>
      </c>
      <c r="S73" s="909"/>
      <c r="T73" s="909">
        <f t="shared" si="51"/>
        <v>-33825.769305745198</v>
      </c>
      <c r="U73" s="909"/>
      <c r="V73" s="909">
        <v>0</v>
      </c>
      <c r="W73" s="909"/>
      <c r="X73" s="909">
        <f t="shared" si="52"/>
        <v>-33825.769305745198</v>
      </c>
      <c r="Y73" s="909"/>
      <c r="Z73" s="449" t="s">
        <v>1534</v>
      </c>
      <c r="AA73" s="909"/>
      <c r="AB73" s="909">
        <v>0</v>
      </c>
      <c r="AC73" s="909"/>
      <c r="AD73" s="914">
        <v>-2500.2950605994056</v>
      </c>
      <c r="AE73" s="909"/>
      <c r="AF73" s="909">
        <v>0</v>
      </c>
      <c r="AG73" s="909"/>
      <c r="AH73" s="449" t="s">
        <v>856</v>
      </c>
      <c r="AI73" s="909"/>
      <c r="AJ73" s="448">
        <f t="shared" si="42"/>
        <v>0</v>
      </c>
      <c r="AK73" s="909"/>
      <c r="AL73" s="448">
        <f t="shared" si="43"/>
        <v>-31325.474245145793</v>
      </c>
      <c r="AM73" s="909"/>
      <c r="AN73" s="448">
        <f t="shared" si="44"/>
        <v>0</v>
      </c>
      <c r="AO73" s="909"/>
      <c r="AP73" s="909">
        <f t="shared" si="45"/>
        <v>-31325.474245145793</v>
      </c>
      <c r="AR73" s="909">
        <v>0</v>
      </c>
      <c r="AS73" s="909"/>
      <c r="AT73" s="914">
        <v>-935.64151362032931</v>
      </c>
      <c r="AU73" s="909"/>
      <c r="AV73" s="909">
        <v>0</v>
      </c>
      <c r="AW73" s="909"/>
      <c r="AX73" s="448">
        <f t="shared" si="46"/>
        <v>0</v>
      </c>
      <c r="AY73" s="909"/>
      <c r="AZ73" s="448">
        <f t="shared" si="47"/>
        <v>-30389.832731525465</v>
      </c>
      <c r="BA73" s="909"/>
      <c r="BB73" s="448">
        <f t="shared" si="48"/>
        <v>0</v>
      </c>
      <c r="BC73" s="909"/>
      <c r="BD73" s="909">
        <f t="shared" si="49"/>
        <v>-30389.832731525465</v>
      </c>
      <c r="BF73" s="909">
        <f t="shared" si="50"/>
        <v>-42198.489137926168</v>
      </c>
      <c r="BI73" s="437">
        <f t="shared" si="40"/>
        <v>339</v>
      </c>
    </row>
    <row r="74" spans="1:61" ht="15">
      <c r="A74" s="437">
        <f t="shared" si="41"/>
        <v>340</v>
      </c>
      <c r="B74" s="913" t="s">
        <v>1743</v>
      </c>
      <c r="F74" s="917" t="s">
        <v>1524</v>
      </c>
      <c r="H74" s="914">
        <v>20214246.877828054</v>
      </c>
      <c r="J74" s="914">
        <v>-625428.79839999997</v>
      </c>
      <c r="K74" s="909"/>
      <c r="L74" s="914">
        <v>-375176.48781004804</v>
      </c>
      <c r="M74" s="909"/>
      <c r="N74" s="914">
        <v>-250183.84381963813</v>
      </c>
      <c r="P74" s="919" t="s">
        <v>845</v>
      </c>
      <c r="R74" s="909">
        <v>0</v>
      </c>
      <c r="S74" s="909"/>
      <c r="T74" s="909">
        <f t="shared" si="51"/>
        <v>-250183.84381963813</v>
      </c>
      <c r="U74" s="909"/>
      <c r="V74" s="909">
        <v>0</v>
      </c>
      <c r="W74" s="909"/>
      <c r="X74" s="909">
        <f t="shared" si="52"/>
        <v>-250183.84381963813</v>
      </c>
      <c r="Y74" s="909"/>
      <c r="Z74" s="449" t="s">
        <v>1534</v>
      </c>
      <c r="AA74" s="909"/>
      <c r="AB74" s="909">
        <v>0</v>
      </c>
      <c r="AC74" s="909"/>
      <c r="AD74" s="914">
        <v>-18492.80716396802</v>
      </c>
      <c r="AE74" s="909"/>
      <c r="AF74" s="909">
        <v>0</v>
      </c>
      <c r="AG74" s="909"/>
      <c r="AH74" s="449" t="s">
        <v>856</v>
      </c>
      <c r="AI74" s="909"/>
      <c r="AJ74" s="448">
        <f t="shared" si="42"/>
        <v>0</v>
      </c>
      <c r="AK74" s="909"/>
      <c r="AL74" s="448">
        <f t="shared" si="43"/>
        <v>-231691.03665567012</v>
      </c>
      <c r="AM74" s="909"/>
      <c r="AN74" s="448">
        <f t="shared" si="44"/>
        <v>0</v>
      </c>
      <c r="AO74" s="909"/>
      <c r="AP74" s="909">
        <f t="shared" si="45"/>
        <v>-231691.03665567012</v>
      </c>
      <c r="AR74" s="909">
        <v>0</v>
      </c>
      <c r="AS74" s="909"/>
      <c r="AT74" s="914">
        <v>-6920.2384785081631</v>
      </c>
      <c r="AU74" s="909"/>
      <c r="AV74" s="909">
        <v>0</v>
      </c>
      <c r="AW74" s="909"/>
      <c r="AX74" s="448">
        <f t="shared" si="46"/>
        <v>0</v>
      </c>
      <c r="AY74" s="909"/>
      <c r="AZ74" s="448">
        <f t="shared" si="47"/>
        <v>-224770.79817716195</v>
      </c>
      <c r="BA74" s="909"/>
      <c r="BB74" s="448">
        <f t="shared" si="48"/>
        <v>0</v>
      </c>
      <c r="BC74" s="909"/>
      <c r="BD74" s="909">
        <f t="shared" si="49"/>
        <v>-224770.79817716195</v>
      </c>
      <c r="BF74" s="909">
        <f t="shared" si="50"/>
        <v>-312110.57228237169</v>
      </c>
      <c r="BI74" s="437">
        <f t="shared" si="40"/>
        <v>340</v>
      </c>
    </row>
    <row r="75" spans="1:61" ht="15">
      <c r="A75" s="437">
        <f t="shared" si="41"/>
        <v>341</v>
      </c>
      <c r="B75" s="913" t="s">
        <v>1744</v>
      </c>
      <c r="F75" s="917" t="s">
        <v>1524</v>
      </c>
      <c r="H75" s="914">
        <v>-1683355106.5287654</v>
      </c>
      <c r="J75" s="914">
        <v>52083006.995999999</v>
      </c>
      <c r="K75" s="909"/>
      <c r="L75" s="914">
        <v>32797969.86714112</v>
      </c>
      <c r="M75" s="909"/>
      <c r="N75" s="914">
        <v>19278002.225408651</v>
      </c>
      <c r="P75" s="919" t="s">
        <v>845</v>
      </c>
      <c r="R75" s="909">
        <v>0</v>
      </c>
      <c r="S75" s="909"/>
      <c r="T75" s="909">
        <f t="shared" si="51"/>
        <v>19278002.225408651</v>
      </c>
      <c r="U75" s="909"/>
      <c r="V75" s="909">
        <v>0</v>
      </c>
      <c r="W75" s="909"/>
      <c r="X75" s="909">
        <f t="shared" si="52"/>
        <v>19278002.225408651</v>
      </c>
      <c r="Y75" s="909"/>
      <c r="Z75" s="449" t="s">
        <v>1534</v>
      </c>
      <c r="AA75" s="909"/>
      <c r="AB75" s="909">
        <v>0</v>
      </c>
      <c r="AC75" s="909"/>
      <c r="AD75" s="914">
        <v>1424969.6232105165</v>
      </c>
      <c r="AE75" s="909"/>
      <c r="AF75" s="909">
        <v>0</v>
      </c>
      <c r="AG75" s="909"/>
      <c r="AH75" s="449" t="s">
        <v>856</v>
      </c>
      <c r="AI75" s="909"/>
      <c r="AJ75" s="448">
        <f t="shared" si="42"/>
        <v>0</v>
      </c>
      <c r="AK75" s="909"/>
      <c r="AL75" s="448">
        <f t="shared" si="43"/>
        <v>17853032.602198135</v>
      </c>
      <c r="AM75" s="909"/>
      <c r="AN75" s="448">
        <f t="shared" si="44"/>
        <v>0</v>
      </c>
      <c r="AO75" s="909"/>
      <c r="AP75" s="909">
        <f t="shared" si="45"/>
        <v>17853032.602198135</v>
      </c>
      <c r="AR75" s="909">
        <v>0</v>
      </c>
      <c r="AS75" s="909"/>
      <c r="AT75" s="914">
        <v>533241.35864350758</v>
      </c>
      <c r="AU75" s="909"/>
      <c r="AV75" s="909">
        <v>0</v>
      </c>
      <c r="AW75" s="909"/>
      <c r="AX75" s="448">
        <f t="shared" si="46"/>
        <v>0</v>
      </c>
      <c r="AY75" s="909"/>
      <c r="AZ75" s="448">
        <f t="shared" si="47"/>
        <v>17319791.243554629</v>
      </c>
      <c r="BA75" s="909"/>
      <c r="BB75" s="448">
        <f t="shared" si="48"/>
        <v>0</v>
      </c>
      <c r="BC75" s="909"/>
      <c r="BD75" s="909">
        <f t="shared" si="49"/>
        <v>17319791.243554629</v>
      </c>
      <c r="BF75" s="909">
        <f t="shared" si="50"/>
        <v>24049787.608870517</v>
      </c>
      <c r="BI75" s="437">
        <f t="shared" si="40"/>
        <v>341</v>
      </c>
    </row>
    <row r="76" spans="1:61" ht="15">
      <c r="A76" s="437">
        <f t="shared" si="41"/>
        <v>342</v>
      </c>
      <c r="B76" s="913" t="s">
        <v>1745</v>
      </c>
      <c r="F76" s="917" t="s">
        <v>1524</v>
      </c>
      <c r="H76" s="914">
        <v>-80030.458952811881</v>
      </c>
      <c r="J76" s="914">
        <v>2476.1423999999997</v>
      </c>
      <c r="K76" s="909"/>
      <c r="L76" s="914">
        <v>1485.4561182719999</v>
      </c>
      <c r="M76" s="909"/>
      <c r="N76" s="914">
        <v>990.68628172799993</v>
      </c>
      <c r="P76" s="919" t="s">
        <v>845</v>
      </c>
      <c r="R76" s="909">
        <v>0</v>
      </c>
      <c r="S76" s="909"/>
      <c r="T76" s="909">
        <f t="shared" si="51"/>
        <v>990.68628172799993</v>
      </c>
      <c r="U76" s="909"/>
      <c r="V76" s="909">
        <v>0</v>
      </c>
      <c r="W76" s="909"/>
      <c r="X76" s="909">
        <f t="shared" si="52"/>
        <v>990.68628172799993</v>
      </c>
      <c r="Y76" s="909"/>
      <c r="Z76" s="449" t="s">
        <v>1534</v>
      </c>
      <c r="AA76" s="909"/>
      <c r="AB76" s="909">
        <v>0</v>
      </c>
      <c r="AC76" s="909"/>
      <c r="AD76" s="914">
        <v>73.228431094023847</v>
      </c>
      <c r="AE76" s="909"/>
      <c r="AF76" s="909">
        <v>0</v>
      </c>
      <c r="AG76" s="909"/>
      <c r="AH76" s="449" t="s">
        <v>856</v>
      </c>
      <c r="AI76" s="909"/>
      <c r="AJ76" s="448">
        <f t="shared" si="42"/>
        <v>0</v>
      </c>
      <c r="AK76" s="909"/>
      <c r="AL76" s="448">
        <f t="shared" si="43"/>
        <v>917.45785063397602</v>
      </c>
      <c r="AM76" s="909"/>
      <c r="AN76" s="448">
        <f t="shared" si="44"/>
        <v>0</v>
      </c>
      <c r="AO76" s="909"/>
      <c r="AP76" s="909">
        <f t="shared" si="45"/>
        <v>917.45785063397602</v>
      </c>
      <c r="AR76" s="909">
        <v>0</v>
      </c>
      <c r="AS76" s="909"/>
      <c r="AT76" s="914">
        <v>27.402989826500303</v>
      </c>
      <c r="AU76" s="909"/>
      <c r="AV76" s="909">
        <v>0</v>
      </c>
      <c r="AW76" s="909"/>
      <c r="AX76" s="448">
        <f t="shared" si="46"/>
        <v>0</v>
      </c>
      <c r="AY76" s="909"/>
      <c r="AZ76" s="448">
        <f t="shared" si="47"/>
        <v>890.05486080747573</v>
      </c>
      <c r="BA76" s="909"/>
      <c r="BB76" s="448">
        <f t="shared" si="48"/>
        <v>0</v>
      </c>
      <c r="BC76" s="909"/>
      <c r="BD76" s="909">
        <f t="shared" si="49"/>
        <v>890.05486080747573</v>
      </c>
      <c r="BF76" s="909">
        <f t="shared" si="50"/>
        <v>1235.905794801567</v>
      </c>
      <c r="BI76" s="437">
        <f t="shared" si="40"/>
        <v>342</v>
      </c>
    </row>
    <row r="77" spans="1:61" ht="15">
      <c r="A77" s="437">
        <f t="shared" si="41"/>
        <v>343</v>
      </c>
      <c r="B77" s="913" t="s">
        <v>1746</v>
      </c>
      <c r="F77" s="917" t="s">
        <v>1524</v>
      </c>
      <c r="H77" s="914">
        <v>-101522526.36069812</v>
      </c>
      <c r="J77" s="914">
        <v>3141106.9655999998</v>
      </c>
      <c r="K77" s="909"/>
      <c r="L77" s="914">
        <v>33370.798588416001</v>
      </c>
      <c r="M77" s="909"/>
      <c r="N77" s="914">
        <v>3107736.1670115842</v>
      </c>
      <c r="P77" s="919" t="s">
        <v>845</v>
      </c>
      <c r="R77" s="909">
        <v>0</v>
      </c>
      <c r="S77" s="909"/>
      <c r="T77" s="909">
        <f t="shared" si="51"/>
        <v>3107736.1670115842</v>
      </c>
      <c r="U77" s="909"/>
      <c r="V77" s="909">
        <v>0</v>
      </c>
      <c r="W77" s="909"/>
      <c r="X77" s="909">
        <f t="shared" si="52"/>
        <v>3107736.1670115842</v>
      </c>
      <c r="Y77" s="909"/>
      <c r="Z77" s="449" t="s">
        <v>1534</v>
      </c>
      <c r="AA77" s="909"/>
      <c r="AB77" s="909">
        <v>0</v>
      </c>
      <c r="AC77" s="909"/>
      <c r="AD77" s="914">
        <v>229714.13651501015</v>
      </c>
      <c r="AE77" s="909"/>
      <c r="AF77" s="909">
        <v>0</v>
      </c>
      <c r="AG77" s="909"/>
      <c r="AH77" s="449" t="s">
        <v>856</v>
      </c>
      <c r="AI77" s="909"/>
      <c r="AJ77" s="448">
        <f t="shared" si="42"/>
        <v>0</v>
      </c>
      <c r="AK77" s="909"/>
      <c r="AL77" s="448">
        <f t="shared" si="43"/>
        <v>2878022.030496574</v>
      </c>
      <c r="AM77" s="909"/>
      <c r="AN77" s="448">
        <f t="shared" si="44"/>
        <v>0</v>
      </c>
      <c r="AO77" s="909"/>
      <c r="AP77" s="909">
        <f t="shared" si="45"/>
        <v>2878022.030496574</v>
      </c>
      <c r="AR77" s="909">
        <v>0</v>
      </c>
      <c r="AS77" s="909"/>
      <c r="AT77" s="914">
        <v>85961.887369151154</v>
      </c>
      <c r="AU77" s="909"/>
      <c r="AV77" s="909">
        <v>0</v>
      </c>
      <c r="AW77" s="909"/>
      <c r="AX77" s="448">
        <f t="shared" si="46"/>
        <v>0</v>
      </c>
      <c r="AY77" s="909"/>
      <c r="AZ77" s="448">
        <f t="shared" si="47"/>
        <v>2792060.1431274228</v>
      </c>
      <c r="BA77" s="909"/>
      <c r="BB77" s="448">
        <f t="shared" si="48"/>
        <v>0</v>
      </c>
      <c r="BC77" s="909"/>
      <c r="BD77" s="909">
        <f t="shared" si="49"/>
        <v>2792060.1431274228</v>
      </c>
      <c r="BF77" s="909">
        <f t="shared" si="50"/>
        <v>3876978.2204156588</v>
      </c>
      <c r="BI77" s="437">
        <f t="shared" si="40"/>
        <v>343</v>
      </c>
    </row>
    <row r="78" spans="1:61" ht="15">
      <c r="A78" s="437">
        <f t="shared" si="41"/>
        <v>344</v>
      </c>
      <c r="B78" s="913" t="s">
        <v>1747</v>
      </c>
      <c r="F78" s="917" t="s">
        <v>1524</v>
      </c>
      <c r="H78" s="914">
        <v>-316188914.02714932</v>
      </c>
      <c r="J78" s="914">
        <v>9782885</v>
      </c>
      <c r="K78" s="909"/>
      <c r="L78" s="914">
        <v>5862332.2937600007</v>
      </c>
      <c r="M78" s="909"/>
      <c r="N78" s="914">
        <v>3919288.6145502506</v>
      </c>
      <c r="P78" s="919" t="s">
        <v>845</v>
      </c>
      <c r="R78" s="909">
        <v>0</v>
      </c>
      <c r="S78" s="909"/>
      <c r="T78" s="909">
        <f t="shared" si="51"/>
        <v>3919288.6145502506</v>
      </c>
      <c r="U78" s="909"/>
      <c r="V78" s="909">
        <v>0</v>
      </c>
      <c r="W78" s="909"/>
      <c r="X78" s="909">
        <f t="shared" si="52"/>
        <v>3919288.6145502506</v>
      </c>
      <c r="Y78" s="909"/>
      <c r="Z78" s="449" t="s">
        <v>1534</v>
      </c>
      <c r="AA78" s="909"/>
      <c r="AB78" s="909">
        <v>0</v>
      </c>
      <c r="AC78" s="909"/>
      <c r="AD78" s="914">
        <v>289701.55491361092</v>
      </c>
      <c r="AE78" s="909"/>
      <c r="AF78" s="909">
        <v>0</v>
      </c>
      <c r="AG78" s="909"/>
      <c r="AH78" s="449" t="s">
        <v>856</v>
      </c>
      <c r="AI78" s="909"/>
      <c r="AJ78" s="448">
        <f t="shared" si="42"/>
        <v>0</v>
      </c>
      <c r="AK78" s="909"/>
      <c r="AL78" s="448">
        <f t="shared" si="43"/>
        <v>3629587.0596366394</v>
      </c>
      <c r="AM78" s="909"/>
      <c r="AN78" s="448">
        <f t="shared" si="44"/>
        <v>0</v>
      </c>
      <c r="AO78" s="909"/>
      <c r="AP78" s="909">
        <f t="shared" si="45"/>
        <v>3629587.0596366394</v>
      </c>
      <c r="AR78" s="909">
        <v>0</v>
      </c>
      <c r="AS78" s="909"/>
      <c r="AT78" s="914">
        <v>108409.92553596949</v>
      </c>
      <c r="AU78" s="909"/>
      <c r="AV78" s="909">
        <v>0</v>
      </c>
      <c r="AW78" s="909"/>
      <c r="AX78" s="448">
        <f t="shared" si="46"/>
        <v>0</v>
      </c>
      <c r="AY78" s="909"/>
      <c r="AZ78" s="448">
        <f t="shared" si="47"/>
        <v>3521177.13410067</v>
      </c>
      <c r="BA78" s="909"/>
      <c r="BB78" s="448">
        <f t="shared" si="48"/>
        <v>0</v>
      </c>
      <c r="BC78" s="909"/>
      <c r="BD78" s="909">
        <f t="shared" si="49"/>
        <v>3521177.13410067</v>
      </c>
      <c r="BF78" s="909">
        <f t="shared" si="50"/>
        <v>4889410.0983951846</v>
      </c>
      <c r="BI78" s="437">
        <f t="shared" si="40"/>
        <v>344</v>
      </c>
    </row>
    <row r="79" spans="1:61" ht="15">
      <c r="A79" s="437">
        <f t="shared" si="41"/>
        <v>345</v>
      </c>
      <c r="B79" s="913" t="s">
        <v>1748</v>
      </c>
      <c r="F79" s="917" t="s">
        <v>1524</v>
      </c>
      <c r="H79" s="914">
        <v>-705076955.39754367</v>
      </c>
      <c r="J79" s="914">
        <v>21815081</v>
      </c>
      <c r="K79" s="909"/>
      <c r="L79" s="914">
        <v>13093466.90752</v>
      </c>
      <c r="M79" s="909"/>
      <c r="N79" s="914">
        <v>8718792.3050656114</v>
      </c>
      <c r="P79" s="919" t="s">
        <v>845</v>
      </c>
      <c r="R79" s="909">
        <v>0</v>
      </c>
      <c r="S79" s="909"/>
      <c r="T79" s="909">
        <f t="shared" si="51"/>
        <v>8718792.3050656114</v>
      </c>
      <c r="U79" s="909"/>
      <c r="V79" s="909">
        <v>0</v>
      </c>
      <c r="W79" s="909"/>
      <c r="X79" s="909">
        <f t="shared" si="52"/>
        <v>8718792.3050656114</v>
      </c>
      <c r="Y79" s="909"/>
      <c r="Z79" s="449" t="s">
        <v>1534</v>
      </c>
      <c r="AA79" s="909"/>
      <c r="AB79" s="909">
        <v>0</v>
      </c>
      <c r="AC79" s="909"/>
      <c r="AD79" s="914">
        <v>644465.85494346952</v>
      </c>
      <c r="AE79" s="909"/>
      <c r="AF79" s="909">
        <v>0</v>
      </c>
      <c r="AG79" s="909"/>
      <c r="AH79" s="449" t="s">
        <v>856</v>
      </c>
      <c r="AI79" s="909"/>
      <c r="AJ79" s="448">
        <f t="shared" si="42"/>
        <v>0</v>
      </c>
      <c r="AK79" s="909"/>
      <c r="AL79" s="448">
        <f t="shared" si="43"/>
        <v>8074326.4501221422</v>
      </c>
      <c r="AM79" s="909"/>
      <c r="AN79" s="448">
        <f t="shared" si="44"/>
        <v>0</v>
      </c>
      <c r="AO79" s="909"/>
      <c r="AP79" s="909">
        <f t="shared" si="45"/>
        <v>8074326.4501221422</v>
      </c>
      <c r="AR79" s="909">
        <v>0</v>
      </c>
      <c r="AS79" s="909"/>
      <c r="AT79" s="914">
        <v>241167.13963006056</v>
      </c>
      <c r="AU79" s="909"/>
      <c r="AV79" s="909">
        <v>0</v>
      </c>
      <c r="AW79" s="909"/>
      <c r="AX79" s="448">
        <f t="shared" si="46"/>
        <v>0</v>
      </c>
      <c r="AY79" s="909"/>
      <c r="AZ79" s="448">
        <f t="shared" si="47"/>
        <v>7833159.3104920816</v>
      </c>
      <c r="BA79" s="909"/>
      <c r="BB79" s="448">
        <f t="shared" si="48"/>
        <v>0</v>
      </c>
      <c r="BC79" s="909"/>
      <c r="BD79" s="909">
        <f t="shared" si="49"/>
        <v>7833159.3104920816</v>
      </c>
      <c r="BF79" s="909">
        <f t="shared" si="50"/>
        <v>10876910.412756097</v>
      </c>
      <c r="BI79" s="437">
        <f t="shared" si="40"/>
        <v>345</v>
      </c>
    </row>
    <row r="80" spans="1:61" ht="15">
      <c r="A80" s="437">
        <f t="shared" si="41"/>
        <v>346</v>
      </c>
      <c r="B80" s="913" t="s">
        <v>1749</v>
      </c>
      <c r="F80" s="917" t="s">
        <v>1524</v>
      </c>
      <c r="H80" s="914">
        <v>396525958.06076276</v>
      </c>
      <c r="J80" s="914">
        <v>-12268513.1424</v>
      </c>
      <c r="K80" s="909"/>
      <c r="L80" s="914">
        <v>-7359521.8983582715</v>
      </c>
      <c r="M80" s="909"/>
      <c r="N80" s="914">
        <v>-4907405.0094369473</v>
      </c>
      <c r="P80" s="919" t="s">
        <v>845</v>
      </c>
      <c r="R80" s="909">
        <v>0</v>
      </c>
      <c r="S80" s="909"/>
      <c r="T80" s="909">
        <f t="shared" si="51"/>
        <v>-4907405.0094369473</v>
      </c>
      <c r="U80" s="909"/>
      <c r="V80" s="909">
        <v>0</v>
      </c>
      <c r="W80" s="909"/>
      <c r="X80" s="909">
        <f t="shared" si="52"/>
        <v>-4907405.0094369473</v>
      </c>
      <c r="Y80" s="909"/>
      <c r="Z80" s="449" t="s">
        <v>1534</v>
      </c>
      <c r="AA80" s="909"/>
      <c r="AB80" s="909">
        <v>0</v>
      </c>
      <c r="AC80" s="909"/>
      <c r="AD80" s="914">
        <v>-362740.02801089175</v>
      </c>
      <c r="AE80" s="909"/>
      <c r="AF80" s="909">
        <v>0</v>
      </c>
      <c r="AG80" s="909"/>
      <c r="AH80" s="449" t="s">
        <v>856</v>
      </c>
      <c r="AI80" s="909"/>
      <c r="AJ80" s="448">
        <f t="shared" si="42"/>
        <v>0</v>
      </c>
      <c r="AK80" s="909"/>
      <c r="AL80" s="448">
        <f t="shared" si="43"/>
        <v>-4544664.9814260555</v>
      </c>
      <c r="AM80" s="909"/>
      <c r="AN80" s="448">
        <f t="shared" si="44"/>
        <v>0</v>
      </c>
      <c r="AO80" s="909"/>
      <c r="AP80" s="909">
        <f t="shared" si="45"/>
        <v>-4544664.9814260555</v>
      </c>
      <c r="AR80" s="909">
        <v>0</v>
      </c>
      <c r="AS80" s="909"/>
      <c r="AT80" s="914">
        <v>-135741.83071714226</v>
      </c>
      <c r="AU80" s="909"/>
      <c r="AV80" s="909">
        <v>0</v>
      </c>
      <c r="AW80" s="909"/>
      <c r="AX80" s="448">
        <f t="shared" si="46"/>
        <v>0</v>
      </c>
      <c r="AY80" s="909"/>
      <c r="AZ80" s="448">
        <f t="shared" si="47"/>
        <v>-4408923.1507089129</v>
      </c>
      <c r="BA80" s="909"/>
      <c r="BB80" s="448">
        <f t="shared" si="48"/>
        <v>0</v>
      </c>
      <c r="BC80" s="909"/>
      <c r="BD80" s="909">
        <f t="shared" si="49"/>
        <v>-4408923.1507089129</v>
      </c>
      <c r="BF80" s="909">
        <f t="shared" si="50"/>
        <v>-6122109.8953973157</v>
      </c>
      <c r="BI80" s="437">
        <f t="shared" si="40"/>
        <v>346</v>
      </c>
    </row>
    <row r="81" spans="1:61" ht="15">
      <c r="A81" s="437">
        <f t="shared" si="41"/>
        <v>347</v>
      </c>
      <c r="B81" s="913" t="s">
        <v>1750</v>
      </c>
      <c r="F81" s="917" t="s">
        <v>1524</v>
      </c>
      <c r="H81" s="914">
        <v>-818712863.60698128</v>
      </c>
      <c r="J81" s="914">
        <v>25330976</v>
      </c>
      <c r="K81" s="909"/>
      <c r="L81" s="914">
        <v>15195310.978560001</v>
      </c>
      <c r="M81" s="909"/>
      <c r="N81" s="914">
        <v>10132390.552993109</v>
      </c>
      <c r="P81" s="919" t="s">
        <v>845</v>
      </c>
      <c r="R81" s="909">
        <v>0</v>
      </c>
      <c r="S81" s="909"/>
      <c r="T81" s="909">
        <f t="shared" si="51"/>
        <v>10132390.552993109</v>
      </c>
      <c r="U81" s="909"/>
      <c r="V81" s="909">
        <v>0</v>
      </c>
      <c r="W81" s="909"/>
      <c r="X81" s="909">
        <f t="shared" si="52"/>
        <v>10132390.552993109</v>
      </c>
      <c r="Y81" s="909"/>
      <c r="Z81" s="449" t="s">
        <v>1534</v>
      </c>
      <c r="AA81" s="909"/>
      <c r="AB81" s="909">
        <v>0</v>
      </c>
      <c r="AC81" s="909"/>
      <c r="AD81" s="914">
        <v>748954.61571689532</v>
      </c>
      <c r="AE81" s="909"/>
      <c r="AF81" s="909">
        <v>0</v>
      </c>
      <c r="AG81" s="909"/>
      <c r="AH81" s="449" t="s">
        <v>856</v>
      </c>
      <c r="AI81" s="909"/>
      <c r="AJ81" s="448">
        <f t="shared" si="42"/>
        <v>0</v>
      </c>
      <c r="AK81" s="909"/>
      <c r="AL81" s="448">
        <f t="shared" si="43"/>
        <v>9383435.9372762144</v>
      </c>
      <c r="AM81" s="909"/>
      <c r="AN81" s="448">
        <f t="shared" si="44"/>
        <v>0</v>
      </c>
      <c r="AO81" s="909"/>
      <c r="AP81" s="909">
        <f t="shared" si="45"/>
        <v>9383435.9372762144</v>
      </c>
      <c r="AR81" s="909">
        <v>0</v>
      </c>
      <c r="AS81" s="909"/>
      <c r="AT81" s="914">
        <v>280268.13367950812</v>
      </c>
      <c r="AU81" s="909"/>
      <c r="AV81" s="909">
        <v>0</v>
      </c>
      <c r="AW81" s="909"/>
      <c r="AX81" s="448">
        <f t="shared" si="46"/>
        <v>0</v>
      </c>
      <c r="AY81" s="909"/>
      <c r="AZ81" s="448">
        <f t="shared" si="47"/>
        <v>9103167.8035967071</v>
      </c>
      <c r="BA81" s="909"/>
      <c r="BB81" s="448">
        <f t="shared" si="48"/>
        <v>0</v>
      </c>
      <c r="BC81" s="909"/>
      <c r="BD81" s="909">
        <f t="shared" si="49"/>
        <v>9103167.8035967071</v>
      </c>
      <c r="BF81" s="909">
        <f t="shared" si="50"/>
        <v>12640409.411740528</v>
      </c>
      <c r="BI81" s="437">
        <f t="shared" si="40"/>
        <v>347</v>
      </c>
    </row>
    <row r="82" spans="1:61" ht="15">
      <c r="A82" s="437">
        <f t="shared" si="41"/>
        <v>348</v>
      </c>
      <c r="B82" s="913" t="s">
        <v>1751</v>
      </c>
      <c r="F82" s="917" t="s">
        <v>1524</v>
      </c>
      <c r="H82" s="914">
        <v>-25044326.102133159</v>
      </c>
      <c r="J82" s="914">
        <v>774871.44959999993</v>
      </c>
      <c r="K82" s="909"/>
      <c r="L82" s="914">
        <v>465181.65727795195</v>
      </c>
      <c r="M82" s="909"/>
      <c r="N82" s="914">
        <v>309689.79232204799</v>
      </c>
      <c r="P82" s="919" t="s">
        <v>845</v>
      </c>
      <c r="R82" s="909">
        <v>0</v>
      </c>
      <c r="S82" s="909"/>
      <c r="T82" s="909">
        <f t="shared" si="51"/>
        <v>309689.79232204799</v>
      </c>
      <c r="U82" s="909"/>
      <c r="V82" s="909">
        <v>0</v>
      </c>
      <c r="W82" s="909"/>
      <c r="X82" s="909">
        <f t="shared" si="52"/>
        <v>309689.79232204799</v>
      </c>
      <c r="Y82" s="909"/>
      <c r="Z82" s="449" t="s">
        <v>1534</v>
      </c>
      <c r="AA82" s="909"/>
      <c r="AB82" s="909">
        <v>0</v>
      </c>
      <c r="AC82" s="909"/>
      <c r="AD82" s="914">
        <v>22891.300743583</v>
      </c>
      <c r="AE82" s="909"/>
      <c r="AF82" s="909">
        <v>0</v>
      </c>
      <c r="AG82" s="909"/>
      <c r="AH82" s="449" t="s">
        <v>856</v>
      </c>
      <c r="AI82" s="909"/>
      <c r="AJ82" s="448">
        <f t="shared" si="42"/>
        <v>0</v>
      </c>
      <c r="AK82" s="909"/>
      <c r="AL82" s="448">
        <f t="shared" si="43"/>
        <v>286798.49157846498</v>
      </c>
      <c r="AM82" s="909"/>
      <c r="AN82" s="448">
        <f t="shared" si="44"/>
        <v>0</v>
      </c>
      <c r="AO82" s="909"/>
      <c r="AP82" s="909">
        <f t="shared" si="45"/>
        <v>286798.49157846498</v>
      </c>
      <c r="AR82" s="909">
        <v>0</v>
      </c>
      <c r="AS82" s="909"/>
      <c r="AT82" s="914">
        <v>8566.2094902229419</v>
      </c>
      <c r="AU82" s="909"/>
      <c r="AV82" s="909">
        <v>0</v>
      </c>
      <c r="AW82" s="909"/>
      <c r="AX82" s="448">
        <f t="shared" si="46"/>
        <v>0</v>
      </c>
      <c r="AY82" s="909"/>
      <c r="AZ82" s="448">
        <f t="shared" si="47"/>
        <v>278232.28208824206</v>
      </c>
      <c r="BA82" s="909"/>
      <c r="BB82" s="448">
        <f t="shared" si="48"/>
        <v>0</v>
      </c>
      <c r="BC82" s="909"/>
      <c r="BD82" s="909">
        <f t="shared" si="49"/>
        <v>278232.28208824206</v>
      </c>
      <c r="BF82" s="909">
        <f t="shared" si="50"/>
        <v>386345.72415205708</v>
      </c>
      <c r="BI82" s="437">
        <f t="shared" si="40"/>
        <v>348</v>
      </c>
    </row>
    <row r="83" spans="1:61" ht="15">
      <c r="A83" s="437">
        <f t="shared" si="41"/>
        <v>349</v>
      </c>
      <c r="B83" s="913" t="s">
        <v>1752</v>
      </c>
      <c r="F83" s="917" t="s">
        <v>1524</v>
      </c>
      <c r="H83" s="914">
        <v>-9911897.9961215258</v>
      </c>
      <c r="J83" s="914">
        <v>306674.12400000001</v>
      </c>
      <c r="K83" s="909"/>
      <c r="L83" s="914">
        <v>183964.734406656</v>
      </c>
      <c r="M83" s="909"/>
      <c r="N83" s="914">
        <v>122709.38959334401</v>
      </c>
      <c r="P83" s="919" t="s">
        <v>845</v>
      </c>
      <c r="R83" s="909">
        <v>0</v>
      </c>
      <c r="S83" s="909"/>
      <c r="T83" s="909">
        <f t="shared" si="51"/>
        <v>122709.38959334401</v>
      </c>
      <c r="U83" s="909"/>
      <c r="V83" s="909">
        <v>0</v>
      </c>
      <c r="W83" s="909"/>
      <c r="X83" s="909">
        <f t="shared" si="52"/>
        <v>122709.38959334401</v>
      </c>
      <c r="Y83" s="909"/>
      <c r="Z83" s="449" t="s">
        <v>1534</v>
      </c>
      <c r="AA83" s="909"/>
      <c r="AB83" s="909">
        <v>0</v>
      </c>
      <c r="AC83" s="909"/>
      <c r="AD83" s="914">
        <v>9070.2942456742712</v>
      </c>
      <c r="AE83" s="909"/>
      <c r="AF83" s="909">
        <v>0</v>
      </c>
      <c r="AG83" s="909"/>
      <c r="AH83" s="449" t="s">
        <v>856</v>
      </c>
      <c r="AI83" s="909"/>
      <c r="AJ83" s="448">
        <f t="shared" si="42"/>
        <v>0</v>
      </c>
      <c r="AK83" s="909"/>
      <c r="AL83" s="448">
        <f t="shared" si="43"/>
        <v>113639.09534766973</v>
      </c>
      <c r="AM83" s="909"/>
      <c r="AN83" s="448">
        <f t="shared" si="44"/>
        <v>0</v>
      </c>
      <c r="AO83" s="909"/>
      <c r="AP83" s="909">
        <f t="shared" si="45"/>
        <v>113639.09534766973</v>
      </c>
      <c r="AR83" s="909">
        <v>0</v>
      </c>
      <c r="AS83" s="909"/>
      <c r="AT83" s="914">
        <v>3394.2169349284427</v>
      </c>
      <c r="AU83" s="909"/>
      <c r="AV83" s="909">
        <v>0</v>
      </c>
      <c r="AW83" s="909"/>
      <c r="AX83" s="448">
        <f t="shared" si="46"/>
        <v>0</v>
      </c>
      <c r="AY83" s="909"/>
      <c r="AZ83" s="448">
        <f t="shared" si="47"/>
        <v>110244.87841274129</v>
      </c>
      <c r="BA83" s="909"/>
      <c r="BB83" s="448">
        <f t="shared" si="48"/>
        <v>0</v>
      </c>
      <c r="BC83" s="909"/>
      <c r="BD83" s="909">
        <f t="shared" si="49"/>
        <v>110244.87841274129</v>
      </c>
      <c r="BF83" s="909">
        <f t="shared" si="50"/>
        <v>153083.01777475866</v>
      </c>
      <c r="BI83" s="437">
        <f t="shared" si="40"/>
        <v>349</v>
      </c>
    </row>
    <row r="84" spans="1:61" ht="15">
      <c r="A84" s="437">
        <f t="shared" si="41"/>
        <v>350</v>
      </c>
      <c r="B84" s="913" t="s">
        <v>1753</v>
      </c>
      <c r="F84" s="917" t="s">
        <v>1524</v>
      </c>
      <c r="H84" s="914">
        <v>-71671356.535229474</v>
      </c>
      <c r="J84" s="914">
        <v>2217511.7711999998</v>
      </c>
      <c r="K84" s="909"/>
      <c r="L84" s="914">
        <v>1330220.482639872</v>
      </c>
      <c r="M84" s="909"/>
      <c r="N84" s="914">
        <v>887291.28856012796</v>
      </c>
      <c r="P84" s="919" t="s">
        <v>845</v>
      </c>
      <c r="R84" s="909">
        <v>0</v>
      </c>
      <c r="S84" s="909"/>
      <c r="T84" s="909">
        <f t="shared" si="51"/>
        <v>887291.28856012796</v>
      </c>
      <c r="U84" s="909"/>
      <c r="V84" s="909">
        <v>0</v>
      </c>
      <c r="W84" s="909"/>
      <c r="X84" s="909">
        <f t="shared" si="52"/>
        <v>887291.28856012796</v>
      </c>
      <c r="Y84" s="909"/>
      <c r="Z84" s="449" t="s">
        <v>1534</v>
      </c>
      <c r="AA84" s="909"/>
      <c r="AB84" s="909">
        <v>0</v>
      </c>
      <c r="AC84" s="909"/>
      <c r="AD84" s="914">
        <v>65585.796616988286</v>
      </c>
      <c r="AE84" s="909"/>
      <c r="AF84" s="909">
        <v>0</v>
      </c>
      <c r="AG84" s="909"/>
      <c r="AH84" s="449" t="s">
        <v>856</v>
      </c>
      <c r="AI84" s="909"/>
      <c r="AJ84" s="448">
        <f t="shared" si="42"/>
        <v>0</v>
      </c>
      <c r="AK84" s="909"/>
      <c r="AL84" s="448">
        <f t="shared" si="43"/>
        <v>821705.4919431397</v>
      </c>
      <c r="AM84" s="909"/>
      <c r="AN84" s="448">
        <f t="shared" si="44"/>
        <v>0</v>
      </c>
      <c r="AO84" s="909"/>
      <c r="AP84" s="909">
        <f t="shared" si="45"/>
        <v>821705.4919431397</v>
      </c>
      <c r="AR84" s="909">
        <v>0</v>
      </c>
      <c r="AS84" s="909"/>
      <c r="AT84" s="914">
        <v>24543.020936098146</v>
      </c>
      <c r="AU84" s="909"/>
      <c r="AV84" s="909">
        <v>0</v>
      </c>
      <c r="AW84" s="909"/>
      <c r="AX84" s="448">
        <f t="shared" si="46"/>
        <v>0</v>
      </c>
      <c r="AY84" s="909"/>
      <c r="AZ84" s="448">
        <f t="shared" si="47"/>
        <v>797162.47100704152</v>
      </c>
      <c r="BA84" s="909"/>
      <c r="BB84" s="448">
        <f t="shared" si="48"/>
        <v>0</v>
      </c>
      <c r="BC84" s="909"/>
      <c r="BD84" s="909">
        <f t="shared" si="49"/>
        <v>797162.47100704152</v>
      </c>
      <c r="BF84" s="909">
        <f t="shared" si="50"/>
        <v>1106917.9673061157</v>
      </c>
      <c r="BI84" s="437">
        <f t="shared" si="40"/>
        <v>350</v>
      </c>
    </row>
    <row r="85" spans="1:61" ht="15">
      <c r="A85" s="437">
        <f t="shared" si="41"/>
        <v>351</v>
      </c>
      <c r="B85" s="913" t="s">
        <v>1754</v>
      </c>
      <c r="F85" s="917" t="s">
        <v>1524</v>
      </c>
      <c r="H85" s="914">
        <v>38249585.210084036</v>
      </c>
      <c r="J85" s="914">
        <v>-1183442.1664</v>
      </c>
      <c r="K85" s="909"/>
      <c r="L85" s="914">
        <v>-709912.49233152007</v>
      </c>
      <c r="M85" s="909"/>
      <c r="N85" s="914">
        <v>-473374.28936369304</v>
      </c>
      <c r="P85" s="919" t="s">
        <v>845</v>
      </c>
      <c r="R85" s="909">
        <v>0</v>
      </c>
      <c r="S85" s="909"/>
      <c r="T85" s="909">
        <f t="shared" si="51"/>
        <v>-473374.28936369304</v>
      </c>
      <c r="U85" s="909"/>
      <c r="V85" s="909">
        <v>0</v>
      </c>
      <c r="W85" s="909"/>
      <c r="X85" s="909">
        <f t="shared" si="52"/>
        <v>-473374.28936369304</v>
      </c>
      <c r="Y85" s="909"/>
      <c r="Z85" s="449" t="s">
        <v>1534</v>
      </c>
      <c r="AA85" s="909"/>
      <c r="AB85" s="909">
        <v>0</v>
      </c>
      <c r="AC85" s="909"/>
      <c r="AD85" s="914">
        <v>-34990.346762335685</v>
      </c>
      <c r="AE85" s="909"/>
      <c r="AF85" s="909">
        <v>0</v>
      </c>
      <c r="AG85" s="909"/>
      <c r="AH85" s="449" t="s">
        <v>856</v>
      </c>
      <c r="AI85" s="909"/>
      <c r="AJ85" s="448">
        <f t="shared" si="42"/>
        <v>0</v>
      </c>
      <c r="AK85" s="909"/>
      <c r="AL85" s="448">
        <f t="shared" si="43"/>
        <v>-438383.94260135735</v>
      </c>
      <c r="AM85" s="909"/>
      <c r="AN85" s="448">
        <f t="shared" si="44"/>
        <v>0</v>
      </c>
      <c r="AO85" s="909"/>
      <c r="AP85" s="909">
        <f t="shared" si="45"/>
        <v>-438383.94260135735</v>
      </c>
      <c r="AR85" s="909">
        <v>0</v>
      </c>
      <c r="AS85" s="909"/>
      <c r="AT85" s="914">
        <v>-13093.823014217947</v>
      </c>
      <c r="AU85" s="909"/>
      <c r="AV85" s="909">
        <v>0</v>
      </c>
      <c r="AW85" s="909"/>
      <c r="AX85" s="448">
        <f t="shared" si="46"/>
        <v>0</v>
      </c>
      <c r="AY85" s="909"/>
      <c r="AZ85" s="448">
        <f t="shared" si="47"/>
        <v>-425290.1195871394</v>
      </c>
      <c r="BA85" s="909"/>
      <c r="BB85" s="448">
        <f t="shared" si="48"/>
        <v>0</v>
      </c>
      <c r="BC85" s="909"/>
      <c r="BD85" s="909">
        <f t="shared" si="49"/>
        <v>-425290.1195871394</v>
      </c>
      <c r="BF85" s="909">
        <f t="shared" si="50"/>
        <v>-590546.20834579261</v>
      </c>
      <c r="BI85" s="437">
        <f t="shared" si="40"/>
        <v>351</v>
      </c>
    </row>
    <row r="86" spans="1:61" ht="15">
      <c r="A86" s="437">
        <f t="shared" si="41"/>
        <v>352</v>
      </c>
      <c r="B86" s="913" t="s">
        <v>1755</v>
      </c>
      <c r="F86" s="917" t="s">
        <v>1524</v>
      </c>
      <c r="H86" s="914">
        <v>21102.236586942468</v>
      </c>
      <c r="J86" s="914">
        <v>-652.90319999999997</v>
      </c>
      <c r="K86" s="909"/>
      <c r="L86" s="914">
        <v>-391.595836416</v>
      </c>
      <c r="M86" s="909"/>
      <c r="N86" s="914">
        <v>-261.30736358399997</v>
      </c>
      <c r="P86" s="919" t="s">
        <v>845</v>
      </c>
      <c r="R86" s="909">
        <v>0</v>
      </c>
      <c r="S86" s="909"/>
      <c r="T86" s="909">
        <f t="shared" si="51"/>
        <v>-261.30736358399997</v>
      </c>
      <c r="U86" s="909"/>
      <c r="V86" s="909">
        <v>0</v>
      </c>
      <c r="W86" s="909"/>
      <c r="X86" s="909">
        <f t="shared" si="52"/>
        <v>-261.30736358399997</v>
      </c>
      <c r="Y86" s="909"/>
      <c r="Z86" s="449" t="s">
        <v>1534</v>
      </c>
      <c r="AA86" s="909"/>
      <c r="AB86" s="909">
        <v>0</v>
      </c>
      <c r="AC86" s="909"/>
      <c r="AD86" s="914">
        <v>-19.3150229507525</v>
      </c>
      <c r="AE86" s="909"/>
      <c r="AF86" s="909">
        <v>0</v>
      </c>
      <c r="AG86" s="909"/>
      <c r="AH86" s="449" t="s">
        <v>856</v>
      </c>
      <c r="AI86" s="909"/>
      <c r="AJ86" s="448">
        <f t="shared" si="42"/>
        <v>0</v>
      </c>
      <c r="AK86" s="909"/>
      <c r="AL86" s="448">
        <f t="shared" si="43"/>
        <v>-241.99234063324747</v>
      </c>
      <c r="AM86" s="909"/>
      <c r="AN86" s="448">
        <f t="shared" si="44"/>
        <v>0</v>
      </c>
      <c r="AO86" s="909"/>
      <c r="AP86" s="909">
        <f t="shared" si="45"/>
        <v>-241.99234063324747</v>
      </c>
      <c r="AR86" s="909">
        <v>0</v>
      </c>
      <c r="AS86" s="909"/>
      <c r="AT86" s="914">
        <v>-7.2279218537195424</v>
      </c>
      <c r="AU86" s="909"/>
      <c r="AV86" s="909">
        <v>0</v>
      </c>
      <c r="AW86" s="909"/>
      <c r="AX86" s="448">
        <f t="shared" si="46"/>
        <v>0</v>
      </c>
      <c r="AY86" s="909"/>
      <c r="AZ86" s="448">
        <f t="shared" si="47"/>
        <v>-234.76441877952792</v>
      </c>
      <c r="BA86" s="909"/>
      <c r="BB86" s="448">
        <f t="shared" si="48"/>
        <v>0</v>
      </c>
      <c r="BC86" s="909"/>
      <c r="BD86" s="909">
        <f t="shared" si="49"/>
        <v>-234.76441877952792</v>
      </c>
      <c r="BF86" s="909">
        <f t="shared" si="50"/>
        <v>-325.98744005466517</v>
      </c>
      <c r="BI86" s="437">
        <f t="shared" si="40"/>
        <v>352</v>
      </c>
    </row>
    <row r="87" spans="1:61" ht="15">
      <c r="A87" s="437">
        <f t="shared" si="41"/>
        <v>353</v>
      </c>
      <c r="B87" s="913" t="s">
        <v>1756</v>
      </c>
      <c r="F87" s="917" t="s">
        <v>1524</v>
      </c>
      <c r="H87" s="914">
        <v>102566504.22753718</v>
      </c>
      <c r="J87" s="914">
        <v>-3173407.6408000002</v>
      </c>
      <c r="K87" s="909"/>
      <c r="L87" s="914">
        <v>-1905700.722070528</v>
      </c>
      <c r="M87" s="909"/>
      <c r="N87" s="914">
        <v>-1267301.6551422826</v>
      </c>
      <c r="P87" s="919" t="s">
        <v>845</v>
      </c>
      <c r="R87" s="909">
        <v>0</v>
      </c>
      <c r="S87" s="909"/>
      <c r="T87" s="909">
        <f t="shared" si="51"/>
        <v>-1267301.6551422826</v>
      </c>
      <c r="U87" s="909"/>
      <c r="V87" s="909">
        <v>0</v>
      </c>
      <c r="W87" s="909"/>
      <c r="X87" s="909">
        <f t="shared" si="52"/>
        <v>-1267301.6551422826</v>
      </c>
      <c r="Y87" s="909"/>
      <c r="Z87" s="449" t="s">
        <v>1534</v>
      </c>
      <c r="AA87" s="909"/>
      <c r="AB87" s="909">
        <v>0</v>
      </c>
      <c r="AC87" s="909"/>
      <c r="AD87" s="914">
        <v>-93674.974248213723</v>
      </c>
      <c r="AE87" s="909"/>
      <c r="AF87" s="909">
        <v>0</v>
      </c>
      <c r="AG87" s="909"/>
      <c r="AH87" s="449" t="s">
        <v>856</v>
      </c>
      <c r="AI87" s="909"/>
      <c r="AJ87" s="448">
        <f t="shared" si="42"/>
        <v>0</v>
      </c>
      <c r="AK87" s="909"/>
      <c r="AL87" s="448">
        <f t="shared" si="43"/>
        <v>-1173626.6808940689</v>
      </c>
      <c r="AM87" s="909"/>
      <c r="AN87" s="448">
        <f t="shared" si="44"/>
        <v>0</v>
      </c>
      <c r="AO87" s="909"/>
      <c r="AP87" s="909">
        <f t="shared" si="45"/>
        <v>-1173626.6808940689</v>
      </c>
      <c r="AR87" s="909">
        <v>0</v>
      </c>
      <c r="AS87" s="909"/>
      <c r="AT87" s="914">
        <v>-35054.340615676098</v>
      </c>
      <c r="AU87" s="909"/>
      <c r="AV87" s="909">
        <v>0</v>
      </c>
      <c r="AW87" s="909"/>
      <c r="AX87" s="448">
        <f t="shared" si="46"/>
        <v>0</v>
      </c>
      <c r="AY87" s="909"/>
      <c r="AZ87" s="448">
        <f t="shared" si="47"/>
        <v>-1138572.3402783929</v>
      </c>
      <c r="BA87" s="909"/>
      <c r="BB87" s="448">
        <f t="shared" si="48"/>
        <v>0</v>
      </c>
      <c r="BC87" s="909"/>
      <c r="BD87" s="909">
        <f t="shared" si="49"/>
        <v>-1138572.3402783929</v>
      </c>
      <c r="BF87" s="909">
        <f t="shared" si="50"/>
        <v>-1580990.3581384141</v>
      </c>
      <c r="BI87" s="437">
        <f t="shared" si="40"/>
        <v>353</v>
      </c>
    </row>
    <row r="88" spans="1:61" ht="15">
      <c r="A88" s="437">
        <f t="shared" si="41"/>
        <v>354</v>
      </c>
      <c r="B88" s="913" t="s">
        <v>1757</v>
      </c>
      <c r="F88" s="917" t="s">
        <v>1524</v>
      </c>
      <c r="H88" s="914">
        <v>123.2579185520362</v>
      </c>
      <c r="J88" s="914">
        <v>-3.8136000000000001</v>
      </c>
      <c r="K88" s="909"/>
      <c r="L88" s="914">
        <v>-2.1798348799999996</v>
      </c>
      <c r="M88" s="909"/>
      <c r="N88" s="914">
        <v>0.35215487999999961</v>
      </c>
      <c r="P88" s="919" t="s">
        <v>845</v>
      </c>
      <c r="R88" s="909">
        <v>0</v>
      </c>
      <c r="S88" s="909"/>
      <c r="T88" s="909">
        <f t="shared" si="51"/>
        <v>0.35215487999999961</v>
      </c>
      <c r="U88" s="909"/>
      <c r="V88" s="909">
        <v>0</v>
      </c>
      <c r="W88" s="909"/>
      <c r="X88" s="909">
        <f t="shared" si="52"/>
        <v>0.35215487999999961</v>
      </c>
      <c r="Y88" s="909"/>
      <c r="Z88" s="449" t="s">
        <v>1534</v>
      </c>
      <c r="AA88" s="909"/>
      <c r="AB88" s="909">
        <v>0</v>
      </c>
      <c r="AC88" s="909"/>
      <c r="AD88" s="914">
        <v>2.6030187194602157E-2</v>
      </c>
      <c r="AE88" s="909"/>
      <c r="AF88" s="909">
        <v>0</v>
      </c>
      <c r="AG88" s="909"/>
      <c r="AH88" s="449" t="s">
        <v>856</v>
      </c>
      <c r="AI88" s="909"/>
      <c r="AJ88" s="448">
        <f t="shared" si="42"/>
        <v>0</v>
      </c>
      <c r="AK88" s="909"/>
      <c r="AL88" s="448">
        <f t="shared" si="43"/>
        <v>0.32612469280539746</v>
      </c>
      <c r="AM88" s="909"/>
      <c r="AN88" s="448">
        <f t="shared" si="44"/>
        <v>0</v>
      </c>
      <c r="AO88" s="909"/>
      <c r="AP88" s="909">
        <f t="shared" si="45"/>
        <v>0.32612469280539746</v>
      </c>
      <c r="AR88" s="909">
        <v>0</v>
      </c>
      <c r="AS88" s="909"/>
      <c r="AT88" s="914">
        <v>0</v>
      </c>
      <c r="AU88" s="909"/>
      <c r="AV88" s="909">
        <v>0</v>
      </c>
      <c r="AW88" s="909"/>
      <c r="AX88" s="448">
        <f t="shared" si="46"/>
        <v>0</v>
      </c>
      <c r="AY88" s="909"/>
      <c r="AZ88" s="448">
        <f t="shared" si="47"/>
        <v>0.32612469280539746</v>
      </c>
      <c r="BA88" s="909"/>
      <c r="BB88" s="448">
        <f t="shared" si="48"/>
        <v>0</v>
      </c>
      <c r="BC88" s="909"/>
      <c r="BD88" s="909">
        <f t="shared" si="49"/>
        <v>0.32612469280539746</v>
      </c>
      <c r="BF88" s="909">
        <f t="shared" si="50"/>
        <v>0.45284781356107418</v>
      </c>
      <c r="BI88" s="437">
        <f t="shared" si="40"/>
        <v>354</v>
      </c>
    </row>
    <row r="89" spans="1:61" ht="15">
      <c r="A89" s="437">
        <f t="shared" si="41"/>
        <v>355</v>
      </c>
      <c r="B89" s="913" t="s">
        <v>1758</v>
      </c>
      <c r="F89" s="917" t="s">
        <v>1524</v>
      </c>
      <c r="H89" s="914">
        <v>-60668.054298642535</v>
      </c>
      <c r="J89" s="914">
        <v>1877.0696</v>
      </c>
      <c r="K89" s="909"/>
      <c r="L89" s="914">
        <v>1132.7570529279999</v>
      </c>
      <c r="M89" s="909"/>
      <c r="N89" s="914">
        <v>744.50171015989156</v>
      </c>
      <c r="P89" s="919" t="s">
        <v>845</v>
      </c>
      <c r="R89" s="909">
        <v>0</v>
      </c>
      <c r="S89" s="909"/>
      <c r="T89" s="909">
        <f t="shared" si="51"/>
        <v>744.50171015989156</v>
      </c>
      <c r="U89" s="909"/>
      <c r="V89" s="909">
        <v>0</v>
      </c>
      <c r="W89" s="909"/>
      <c r="X89" s="909">
        <f t="shared" si="52"/>
        <v>744.50171015989156</v>
      </c>
      <c r="Y89" s="909"/>
      <c r="Z89" s="449" t="s">
        <v>1534</v>
      </c>
      <c r="AA89" s="909"/>
      <c r="AB89" s="909">
        <v>0</v>
      </c>
      <c r="AC89" s="909"/>
      <c r="AD89" s="914">
        <v>55.031237625227384</v>
      </c>
      <c r="AE89" s="909"/>
      <c r="AF89" s="909">
        <v>0</v>
      </c>
      <c r="AG89" s="909"/>
      <c r="AH89" s="449" t="s">
        <v>856</v>
      </c>
      <c r="AI89" s="909"/>
      <c r="AJ89" s="448">
        <f t="shared" si="42"/>
        <v>0</v>
      </c>
      <c r="AK89" s="909"/>
      <c r="AL89" s="448">
        <f t="shared" si="43"/>
        <v>689.47047253466417</v>
      </c>
      <c r="AM89" s="909"/>
      <c r="AN89" s="448">
        <f t="shared" si="44"/>
        <v>0</v>
      </c>
      <c r="AO89" s="909"/>
      <c r="AP89" s="909">
        <f t="shared" si="45"/>
        <v>689.47047253466417</v>
      </c>
      <c r="AR89" s="909">
        <v>0</v>
      </c>
      <c r="AS89" s="909"/>
      <c r="AT89" s="914">
        <v>20.593373669955575</v>
      </c>
      <c r="AU89" s="909"/>
      <c r="AV89" s="909">
        <v>0</v>
      </c>
      <c r="AW89" s="909"/>
      <c r="AX89" s="448">
        <f t="shared" si="46"/>
        <v>0</v>
      </c>
      <c r="AY89" s="909"/>
      <c r="AZ89" s="448">
        <f t="shared" si="47"/>
        <v>668.87709886470861</v>
      </c>
      <c r="BA89" s="909"/>
      <c r="BB89" s="448">
        <f t="shared" si="48"/>
        <v>0</v>
      </c>
      <c r="BC89" s="909"/>
      <c r="BD89" s="909">
        <f t="shared" si="49"/>
        <v>668.87709886470861</v>
      </c>
      <c r="BF89" s="909">
        <f t="shared" si="50"/>
        <v>928.78441419552848</v>
      </c>
      <c r="BI89" s="437">
        <f t="shared" si="40"/>
        <v>355</v>
      </c>
    </row>
    <row r="90" spans="1:61" ht="15">
      <c r="A90" s="437">
        <f t="shared" si="41"/>
        <v>356</v>
      </c>
      <c r="B90" s="915" t="s">
        <v>370</v>
      </c>
      <c r="F90" s="917"/>
      <c r="H90" s="914"/>
      <c r="J90" s="914"/>
      <c r="K90" s="909"/>
      <c r="L90" s="914"/>
      <c r="M90" s="909"/>
      <c r="N90" s="914"/>
      <c r="P90" s="919"/>
      <c r="R90" s="909">
        <v>0</v>
      </c>
      <c r="S90" s="909"/>
      <c r="T90" s="909">
        <f t="shared" si="51"/>
        <v>0</v>
      </c>
      <c r="U90" s="909"/>
      <c r="V90" s="909">
        <v>0</v>
      </c>
      <c r="W90" s="909"/>
      <c r="X90" s="909">
        <f t="shared" si="52"/>
        <v>0</v>
      </c>
      <c r="Y90" s="909"/>
      <c r="Z90" s="449"/>
      <c r="AA90" s="909"/>
      <c r="AB90" s="909">
        <v>0</v>
      </c>
      <c r="AC90" s="909"/>
      <c r="AD90" s="914"/>
      <c r="AE90" s="909"/>
      <c r="AF90" s="909">
        <v>0</v>
      </c>
      <c r="AG90" s="909"/>
      <c r="AH90" s="449"/>
      <c r="AI90" s="909"/>
      <c r="AJ90" s="448">
        <f t="shared" si="42"/>
        <v>0</v>
      </c>
      <c r="AK90" s="909"/>
      <c r="AL90" s="448">
        <f t="shared" si="43"/>
        <v>0</v>
      </c>
      <c r="AM90" s="909"/>
      <c r="AN90" s="448">
        <f t="shared" si="44"/>
        <v>0</v>
      </c>
      <c r="AO90" s="909"/>
      <c r="AP90" s="909">
        <f t="shared" si="45"/>
        <v>0</v>
      </c>
      <c r="AR90" s="909">
        <v>0</v>
      </c>
      <c r="AS90" s="909"/>
      <c r="AT90" s="914"/>
      <c r="AU90" s="909"/>
      <c r="AV90" s="909">
        <v>0</v>
      </c>
      <c r="AW90" s="909"/>
      <c r="AX90" s="448">
        <f t="shared" si="46"/>
        <v>0</v>
      </c>
      <c r="AY90" s="909"/>
      <c r="AZ90" s="448">
        <f t="shared" si="47"/>
        <v>0</v>
      </c>
      <c r="BA90" s="909"/>
      <c r="BB90" s="448">
        <f t="shared" si="48"/>
        <v>0</v>
      </c>
      <c r="BC90" s="909"/>
      <c r="BD90" s="909">
        <f t="shared" si="49"/>
        <v>0</v>
      </c>
      <c r="BF90" s="909">
        <f t="shared" si="50"/>
        <v>0</v>
      </c>
      <c r="BI90" s="437">
        <f t="shared" si="40"/>
        <v>356</v>
      </c>
    </row>
    <row r="91" spans="1:61" ht="15">
      <c r="A91" s="437">
        <f t="shared" si="41"/>
        <v>357</v>
      </c>
      <c r="B91" s="915" t="s">
        <v>370</v>
      </c>
      <c r="F91" s="917"/>
      <c r="H91" s="914"/>
      <c r="J91" s="914"/>
      <c r="K91" s="909"/>
      <c r="L91" s="914"/>
      <c r="M91" s="909"/>
      <c r="N91" s="914"/>
      <c r="P91" s="919"/>
      <c r="R91" s="909">
        <v>0</v>
      </c>
      <c r="S91" s="909"/>
      <c r="T91" s="909">
        <f t="shared" si="51"/>
        <v>0</v>
      </c>
      <c r="U91" s="909"/>
      <c r="V91" s="909">
        <v>0</v>
      </c>
      <c r="W91" s="909"/>
      <c r="X91" s="909">
        <f t="shared" si="52"/>
        <v>0</v>
      </c>
      <c r="Y91" s="909"/>
      <c r="Z91" s="449"/>
      <c r="AA91" s="909"/>
      <c r="AB91" s="909">
        <v>0</v>
      </c>
      <c r="AC91" s="909"/>
      <c r="AD91" s="914"/>
      <c r="AE91" s="909"/>
      <c r="AF91" s="909">
        <v>0</v>
      </c>
      <c r="AG91" s="909"/>
      <c r="AH91" s="449"/>
      <c r="AI91" s="909"/>
      <c r="AJ91" s="448">
        <f t="shared" si="42"/>
        <v>0</v>
      </c>
      <c r="AK91" s="909"/>
      <c r="AL91" s="448">
        <f t="shared" si="43"/>
        <v>0</v>
      </c>
      <c r="AM91" s="909"/>
      <c r="AN91" s="448">
        <f t="shared" si="44"/>
        <v>0</v>
      </c>
      <c r="AO91" s="909"/>
      <c r="AP91" s="909">
        <f t="shared" si="45"/>
        <v>0</v>
      </c>
      <c r="AR91" s="909">
        <v>0</v>
      </c>
      <c r="AS91" s="909"/>
      <c r="AT91" s="914"/>
      <c r="AU91" s="909"/>
      <c r="AV91" s="909">
        <v>0</v>
      </c>
      <c r="AW91" s="909"/>
      <c r="AX91" s="448">
        <f t="shared" si="46"/>
        <v>0</v>
      </c>
      <c r="AY91" s="909"/>
      <c r="AZ91" s="448">
        <f t="shared" si="47"/>
        <v>0</v>
      </c>
      <c r="BA91" s="909"/>
      <c r="BB91" s="448">
        <f t="shared" si="48"/>
        <v>0</v>
      </c>
      <c r="BC91" s="909"/>
      <c r="BD91" s="909">
        <f t="shared" si="49"/>
        <v>0</v>
      </c>
      <c r="BF91" s="909">
        <f t="shared" si="50"/>
        <v>0</v>
      </c>
      <c r="BI91" s="437">
        <f t="shared" si="40"/>
        <v>357</v>
      </c>
    </row>
    <row r="92" spans="1:61" ht="15">
      <c r="A92" s="437"/>
      <c r="B92" s="784"/>
      <c r="F92" s="917"/>
      <c r="H92" s="909"/>
      <c r="J92" s="909"/>
      <c r="K92" s="909"/>
      <c r="L92" s="909"/>
      <c r="M92" s="909"/>
      <c r="N92" s="909"/>
      <c r="P92" s="919"/>
      <c r="R92" s="909"/>
      <c r="S92" s="909"/>
      <c r="T92" s="909"/>
      <c r="U92" s="909"/>
      <c r="V92" s="909"/>
      <c r="W92" s="909"/>
      <c r="X92" s="909"/>
      <c r="Y92" s="909"/>
      <c r="Z92" s="449"/>
      <c r="AA92" s="909"/>
      <c r="AB92" s="909"/>
      <c r="AC92" s="909"/>
      <c r="AD92" s="909"/>
      <c r="AE92" s="909"/>
      <c r="AF92" s="909"/>
      <c r="AG92" s="909"/>
      <c r="AH92" s="449"/>
      <c r="AI92" s="909"/>
      <c r="AJ92" s="909"/>
      <c r="AK92" s="909"/>
      <c r="AL92" s="909"/>
      <c r="AM92" s="909"/>
      <c r="AN92" s="909"/>
      <c r="AO92" s="909"/>
      <c r="AP92" s="909"/>
      <c r="AR92" s="909"/>
      <c r="AS92" s="909"/>
      <c r="AT92" s="909"/>
      <c r="AU92" s="909"/>
      <c r="AV92" s="909"/>
      <c r="AW92" s="909"/>
      <c r="AX92" s="909"/>
      <c r="AY92" s="909"/>
      <c r="AZ92" s="909"/>
      <c r="BA92" s="909"/>
      <c r="BB92" s="909"/>
      <c r="BC92" s="909"/>
      <c r="BD92" s="909"/>
      <c r="BF92" s="909"/>
      <c r="BI92" s="437"/>
    </row>
    <row r="93" spans="1:61" ht="15">
      <c r="A93" s="787" t="s">
        <v>86</v>
      </c>
      <c r="F93" s="917"/>
      <c r="H93" s="908"/>
      <c r="P93" s="919"/>
      <c r="X93" s="909"/>
      <c r="Z93" s="896"/>
      <c r="AH93" s="896"/>
      <c r="BI93" s="907" t="s">
        <v>86</v>
      </c>
    </row>
    <row r="94" spans="1:61" ht="15">
      <c r="A94" s="437">
        <v>400</v>
      </c>
      <c r="B94" s="900" t="s">
        <v>841</v>
      </c>
      <c r="F94" s="917"/>
      <c r="H94" s="920">
        <f>ROUND(SUM(H95:H105),0)</f>
        <v>93137648</v>
      </c>
      <c r="J94" s="912">
        <f>ROUND(SUM(J95:J105),0)</f>
        <v>19293379</v>
      </c>
      <c r="K94" s="909"/>
      <c r="L94" s="912">
        <f>ROUND(SUM(L95:L105),0)</f>
        <v>11576713</v>
      </c>
      <c r="M94" s="909"/>
      <c r="N94" s="912">
        <f>ROUND(SUM(N95:N105),0)</f>
        <v>7716800</v>
      </c>
      <c r="O94" s="437"/>
      <c r="P94" s="919"/>
      <c r="Q94" s="437"/>
      <c r="R94" s="912">
        <f>ROUND(SUM(R95:R105),0)</f>
        <v>0</v>
      </c>
      <c r="S94" s="909"/>
      <c r="T94" s="912">
        <f>ROUND(SUM(T95:T105),0)</f>
        <v>0</v>
      </c>
      <c r="U94" s="909"/>
      <c r="V94" s="912">
        <f>ROUND(SUM(V95:V105),0)</f>
        <v>7716800</v>
      </c>
      <c r="W94" s="909"/>
      <c r="X94" s="912">
        <f>ROUND(SUM(X95:X105),0)</f>
        <v>7716800</v>
      </c>
      <c r="Y94" s="909"/>
      <c r="Z94" s="449"/>
      <c r="AA94" s="909"/>
      <c r="AB94" s="912">
        <f>SUM(AB95:AB105)</f>
        <v>0</v>
      </c>
      <c r="AC94" s="909"/>
      <c r="AD94" s="912">
        <f>SUM(AD95:AD105)</f>
        <v>0</v>
      </c>
      <c r="AE94" s="909"/>
      <c r="AF94" s="912">
        <f>SUM(AF95:AF105)</f>
        <v>6015457.8759244867</v>
      </c>
      <c r="AG94" s="909"/>
      <c r="AH94" s="449"/>
      <c r="AI94" s="909"/>
      <c r="AJ94" s="912">
        <f>SUM(AJ95:AJ105)</f>
        <v>0</v>
      </c>
      <c r="AK94" s="909"/>
      <c r="AL94" s="912">
        <f>SUM(AL95:AL105)</f>
        <v>0</v>
      </c>
      <c r="AM94" s="909"/>
      <c r="AN94" s="912">
        <f>SUM(AN95:AN105)</f>
        <v>1701342.2679340818</v>
      </c>
      <c r="AO94" s="909"/>
      <c r="AP94" s="912">
        <f>SUM(AP95:AP105)</f>
        <v>1701342.2679340818</v>
      </c>
      <c r="AR94" s="912">
        <f>SUM(AR95:AR105)</f>
        <v>0</v>
      </c>
      <c r="AS94" s="909"/>
      <c r="AT94" s="912">
        <f>SUM(AT95:AT105)</f>
        <v>0</v>
      </c>
      <c r="AU94" s="909"/>
      <c r="AV94" s="912">
        <f>SUM(AV95:AV105)</f>
        <v>50816.356116388662</v>
      </c>
      <c r="AW94" s="909"/>
      <c r="AX94" s="912">
        <f>SUM(AX95:AX105)</f>
        <v>0</v>
      </c>
      <c r="AY94" s="909"/>
      <c r="AZ94" s="912">
        <f>SUM(AZ95:AZ105)</f>
        <v>0</v>
      </c>
      <c r="BA94" s="909"/>
      <c r="BB94" s="912">
        <f>SUM(BB95:BB105)</f>
        <v>1650525.9118176927</v>
      </c>
      <c r="BC94" s="909"/>
      <c r="BD94" s="912">
        <f>SUM(BD95:BD105)</f>
        <v>1650525.9118176927</v>
      </c>
      <c r="BF94" s="920">
        <f>ROUND(SUM(BF95:BF105),0)</f>
        <v>2291875</v>
      </c>
      <c r="BI94" s="437">
        <f t="shared" ref="BI94:BI105" si="53">A94</f>
        <v>400</v>
      </c>
    </row>
    <row r="95" spans="1:61" ht="15">
      <c r="A95" s="437">
        <f t="shared" ref="A95:A99" si="54">A94+1</f>
        <v>401</v>
      </c>
      <c r="B95" s="788" t="s">
        <v>1759</v>
      </c>
      <c r="F95" s="784" t="s">
        <v>1533</v>
      </c>
      <c r="H95" s="914">
        <v>41837921.444019467</v>
      </c>
      <c r="J95" s="914">
        <v>14643272.505406814</v>
      </c>
      <c r="K95" s="909"/>
      <c r="L95" s="914">
        <v>8785963.5032440871</v>
      </c>
      <c r="M95" s="909"/>
      <c r="N95" s="914">
        <v>5857309.0021627257</v>
      </c>
      <c r="P95" s="919" t="s">
        <v>1530</v>
      </c>
      <c r="R95" s="909">
        <v>0</v>
      </c>
      <c r="S95" s="909"/>
      <c r="T95" s="909">
        <v>0</v>
      </c>
      <c r="U95" s="909"/>
      <c r="V95" s="909">
        <f>+N95</f>
        <v>5857309.0021627257</v>
      </c>
      <c r="W95" s="909"/>
      <c r="X95" s="909">
        <f t="shared" si="52"/>
        <v>5857309.0021627257</v>
      </c>
      <c r="Y95" s="909"/>
      <c r="Z95" s="449" t="s">
        <v>1610</v>
      </c>
      <c r="AA95" s="909"/>
      <c r="AB95" s="909">
        <v>0</v>
      </c>
      <c r="AC95" s="909"/>
      <c r="AD95" s="909">
        <v>0</v>
      </c>
      <c r="AE95" s="909"/>
      <c r="AF95" s="914">
        <v>5857309.0021627257</v>
      </c>
      <c r="AG95" s="909"/>
      <c r="AH95" s="449" t="s">
        <v>1531</v>
      </c>
      <c r="AI95" s="909"/>
      <c r="AJ95" s="448">
        <f t="shared" ref="AJ95:AJ105" si="55">+R95-AB95</f>
        <v>0</v>
      </c>
      <c r="AK95" s="909"/>
      <c r="AL95" s="448">
        <f t="shared" ref="AL95:AL105" si="56">+T95-AD95</f>
        <v>0</v>
      </c>
      <c r="AM95" s="909"/>
      <c r="AN95" s="448">
        <f t="shared" ref="AN95:AN105" si="57">+V95-AF95</f>
        <v>0</v>
      </c>
      <c r="AO95" s="909"/>
      <c r="AP95" s="909">
        <f t="shared" ref="AP95:AP105" si="58">SUM(AJ95:AN95)</f>
        <v>0</v>
      </c>
      <c r="AR95" s="909">
        <v>0</v>
      </c>
      <c r="AS95" s="909"/>
      <c r="AT95" s="909">
        <v>0</v>
      </c>
      <c r="AU95" s="909"/>
      <c r="AV95" s="914"/>
      <c r="AW95" s="909"/>
      <c r="AX95" s="448">
        <f t="shared" ref="AX95:AX105" si="59">+AJ95-AR95</f>
        <v>0</v>
      </c>
      <c r="AY95" s="909"/>
      <c r="AZ95" s="448">
        <f t="shared" ref="AZ95:AZ105" si="60">+AL95-AT95</f>
        <v>0</v>
      </c>
      <c r="BA95" s="909"/>
      <c r="BB95" s="448">
        <f t="shared" ref="BB95:BB105" si="61">+AN95-AV95</f>
        <v>0</v>
      </c>
      <c r="BC95" s="909"/>
      <c r="BD95" s="909">
        <f>SUM(AX95:BB95)</f>
        <v>0</v>
      </c>
      <c r="BF95" s="909">
        <f t="shared" ref="BF95:BF105" si="62">+BD95*$BF$10</f>
        <v>0</v>
      </c>
      <c r="BI95" s="437">
        <f t="shared" si="53"/>
        <v>401</v>
      </c>
    </row>
    <row r="96" spans="1:61" ht="15">
      <c r="A96" s="437">
        <f t="shared" si="54"/>
        <v>402</v>
      </c>
      <c r="B96" s="788" t="s">
        <v>1760</v>
      </c>
      <c r="F96" s="784" t="s">
        <v>1533</v>
      </c>
      <c r="H96" s="914">
        <v>122045506.50833847</v>
      </c>
      <c r="J96" s="914">
        <v>42715927.277918458</v>
      </c>
      <c r="K96" s="909"/>
      <c r="L96" s="914">
        <v>25629556.366751075</v>
      </c>
      <c r="M96" s="909"/>
      <c r="N96" s="914">
        <v>17086370.911167383</v>
      </c>
      <c r="P96" s="919" t="s">
        <v>1530</v>
      </c>
      <c r="R96" s="909">
        <v>0</v>
      </c>
      <c r="S96" s="909"/>
      <c r="T96" s="909">
        <v>0</v>
      </c>
      <c r="U96" s="909"/>
      <c r="V96" s="909">
        <f>+N96</f>
        <v>17086370.911167383</v>
      </c>
      <c r="W96" s="909"/>
      <c r="X96" s="909">
        <f t="shared" si="52"/>
        <v>17086370.911167383</v>
      </c>
      <c r="Y96" s="909"/>
      <c r="Z96" s="449" t="s">
        <v>1610</v>
      </c>
      <c r="AA96" s="909"/>
      <c r="AB96" s="909">
        <v>0</v>
      </c>
      <c r="AC96" s="909"/>
      <c r="AD96" s="909">
        <v>0</v>
      </c>
      <c r="AE96" s="909"/>
      <c r="AF96" s="914">
        <v>17086370.911167383</v>
      </c>
      <c r="AG96" s="909"/>
      <c r="AH96" s="449" t="s">
        <v>1531</v>
      </c>
      <c r="AI96" s="909"/>
      <c r="AJ96" s="448">
        <f t="shared" si="55"/>
        <v>0</v>
      </c>
      <c r="AK96" s="909"/>
      <c r="AL96" s="448">
        <f t="shared" si="56"/>
        <v>0</v>
      </c>
      <c r="AM96" s="909"/>
      <c r="AN96" s="448">
        <f t="shared" si="57"/>
        <v>0</v>
      </c>
      <c r="AO96" s="909"/>
      <c r="AP96" s="909">
        <f t="shared" si="58"/>
        <v>0</v>
      </c>
      <c r="AR96" s="909">
        <v>0</v>
      </c>
      <c r="AS96" s="909"/>
      <c r="AT96" s="909">
        <v>0</v>
      </c>
      <c r="AU96" s="909"/>
      <c r="AV96" s="914"/>
      <c r="AW96" s="909"/>
      <c r="AX96" s="448">
        <f t="shared" si="59"/>
        <v>0</v>
      </c>
      <c r="AY96" s="909"/>
      <c r="AZ96" s="448">
        <f>+AL96-AT96</f>
        <v>0</v>
      </c>
      <c r="BA96" s="909"/>
      <c r="BB96" s="448">
        <f t="shared" si="61"/>
        <v>0</v>
      </c>
      <c r="BC96" s="909"/>
      <c r="BD96" s="909">
        <f t="shared" ref="BD96:BD105" si="63">SUM(AX96:BB96)</f>
        <v>0</v>
      </c>
      <c r="BF96" s="909">
        <f t="shared" si="62"/>
        <v>0</v>
      </c>
      <c r="BI96" s="437">
        <f t="shared" si="53"/>
        <v>402</v>
      </c>
    </row>
    <row r="97" spans="1:61" ht="15">
      <c r="A97" s="437" t="s">
        <v>1666</v>
      </c>
      <c r="B97" s="788" t="s">
        <v>1761</v>
      </c>
      <c r="F97" s="784" t="s">
        <v>1533</v>
      </c>
      <c r="H97" s="914">
        <v>-121885839.37756029</v>
      </c>
      <c r="J97" s="914">
        <v>-42660043.782146096</v>
      </c>
      <c r="K97" s="909"/>
      <c r="L97" s="914">
        <v>-25596026.269287657</v>
      </c>
      <c r="M97" s="909"/>
      <c r="N97" s="914">
        <v>-17064017.512858439</v>
      </c>
      <c r="P97" s="919" t="s">
        <v>1530</v>
      </c>
      <c r="R97" s="909">
        <v>0</v>
      </c>
      <c r="S97" s="909"/>
      <c r="T97" s="909">
        <v>0</v>
      </c>
      <c r="U97" s="909"/>
      <c r="V97" s="909">
        <f>+N97</f>
        <v>-17064017.512858439</v>
      </c>
      <c r="W97" s="909"/>
      <c r="X97" s="909">
        <f t="shared" si="52"/>
        <v>-17064017.512858439</v>
      </c>
      <c r="Y97" s="909"/>
      <c r="Z97" s="449" t="s">
        <v>1610</v>
      </c>
      <c r="AA97" s="909"/>
      <c r="AB97" s="909">
        <v>0</v>
      </c>
      <c r="AC97" s="909"/>
      <c r="AD97" s="909">
        <v>0</v>
      </c>
      <c r="AE97" s="909"/>
      <c r="AF97" s="914">
        <v>-17064017.512858439</v>
      </c>
      <c r="AG97" s="909"/>
      <c r="AH97" s="449" t="s">
        <v>1531</v>
      </c>
      <c r="AI97" s="909"/>
      <c r="AJ97" s="448">
        <f t="shared" si="55"/>
        <v>0</v>
      </c>
      <c r="AK97" s="909"/>
      <c r="AL97" s="448">
        <f t="shared" si="56"/>
        <v>0</v>
      </c>
      <c r="AM97" s="909"/>
      <c r="AN97" s="448">
        <f t="shared" si="57"/>
        <v>0</v>
      </c>
      <c r="AO97" s="909"/>
      <c r="AP97" s="909">
        <f t="shared" si="58"/>
        <v>0</v>
      </c>
      <c r="AR97" s="909">
        <v>0</v>
      </c>
      <c r="AS97" s="909"/>
      <c r="AT97" s="909">
        <v>0</v>
      </c>
      <c r="AU97" s="909"/>
      <c r="AV97" s="914"/>
      <c r="AW97" s="909"/>
      <c r="AX97" s="448">
        <f t="shared" si="59"/>
        <v>0</v>
      </c>
      <c r="AY97" s="909"/>
      <c r="AZ97" s="448">
        <f>+AL97-AT97</f>
        <v>0</v>
      </c>
      <c r="BA97" s="909"/>
      <c r="BB97" s="448">
        <f t="shared" si="61"/>
        <v>0</v>
      </c>
      <c r="BC97" s="909"/>
      <c r="BD97" s="909">
        <f t="shared" si="63"/>
        <v>0</v>
      </c>
      <c r="BF97" s="909">
        <f t="shared" si="62"/>
        <v>0</v>
      </c>
      <c r="BI97" s="437" t="str">
        <f t="shared" si="53"/>
        <v>402a</v>
      </c>
    </row>
    <row r="98" spans="1:61" ht="15">
      <c r="A98" s="437">
        <f>A96+1</f>
        <v>403</v>
      </c>
      <c r="B98" s="913" t="s">
        <v>1762</v>
      </c>
      <c r="F98" s="784" t="s">
        <v>1524</v>
      </c>
      <c r="H98" s="914">
        <v>-83282905.177142859</v>
      </c>
      <c r="J98" s="914">
        <v>-29149016.811999999</v>
      </c>
      <c r="K98" s="909"/>
      <c r="L98" s="914">
        <v>-17489410.881795358</v>
      </c>
      <c r="M98" s="909"/>
      <c r="N98" s="914">
        <v>-11659605.930204641</v>
      </c>
      <c r="P98" s="919" t="s">
        <v>845</v>
      </c>
      <c r="R98" s="909">
        <v>0</v>
      </c>
      <c r="S98" s="909"/>
      <c r="T98" s="909">
        <v>0</v>
      </c>
      <c r="U98" s="909"/>
      <c r="V98" s="909">
        <f>N98</f>
        <v>-11659605.930204641</v>
      </c>
      <c r="W98" s="909"/>
      <c r="X98" s="909">
        <f>SUM(R98:V98)</f>
        <v>-11659605.930204641</v>
      </c>
      <c r="Y98" s="909"/>
      <c r="Z98" s="449" t="s">
        <v>1534</v>
      </c>
      <c r="AA98" s="909"/>
      <c r="AB98" s="909">
        <v>0</v>
      </c>
      <c r="AC98" s="909"/>
      <c r="AD98" s="909">
        <v>0</v>
      </c>
      <c r="AE98" s="909"/>
      <c r="AF98" s="914">
        <v>-861841.59929438028</v>
      </c>
      <c r="AG98" s="909"/>
      <c r="AH98" s="449" t="s">
        <v>856</v>
      </c>
      <c r="AI98" s="909"/>
      <c r="AJ98" s="448">
        <f t="shared" si="55"/>
        <v>0</v>
      </c>
      <c r="AK98" s="909"/>
      <c r="AL98" s="448">
        <f t="shared" si="56"/>
        <v>0</v>
      </c>
      <c r="AM98" s="909"/>
      <c r="AN98" s="448">
        <f t="shared" si="57"/>
        <v>-10797764.330910262</v>
      </c>
      <c r="AO98" s="909"/>
      <c r="AP98" s="909">
        <f t="shared" si="58"/>
        <v>-10797764.330910262</v>
      </c>
      <c r="AR98" s="909">
        <v>0</v>
      </c>
      <c r="AS98" s="909"/>
      <c r="AT98" s="909">
        <v>0</v>
      </c>
      <c r="AU98" s="909"/>
      <c r="AV98" s="914">
        <v>-322511.84717032715</v>
      </c>
      <c r="AW98" s="909"/>
      <c r="AX98" s="448">
        <f t="shared" si="59"/>
        <v>0</v>
      </c>
      <c r="AY98" s="909"/>
      <c r="AZ98" s="448">
        <f t="shared" si="60"/>
        <v>0</v>
      </c>
      <c r="BA98" s="909"/>
      <c r="BB98" s="448">
        <f t="shared" si="61"/>
        <v>-10475252.483739935</v>
      </c>
      <c r="BC98" s="909"/>
      <c r="BD98" s="909">
        <f t="shared" si="63"/>
        <v>-10475252.483739935</v>
      </c>
      <c r="BF98" s="909">
        <f t="shared" si="62"/>
        <v>-14545648.607455987</v>
      </c>
      <c r="BI98" s="437">
        <f t="shared" si="53"/>
        <v>403</v>
      </c>
    </row>
    <row r="99" spans="1:61" ht="15">
      <c r="A99" s="437">
        <f t="shared" si="54"/>
        <v>404</v>
      </c>
      <c r="B99" s="913" t="s">
        <v>1763</v>
      </c>
      <c r="F99" s="917" t="s">
        <v>1524</v>
      </c>
      <c r="H99" s="914">
        <v>-268874.6537142857</v>
      </c>
      <c r="J99" s="914">
        <v>-94106.128799999991</v>
      </c>
      <c r="K99" s="909"/>
      <c r="L99" s="914">
        <v>-56463.31245544448</v>
      </c>
      <c r="M99" s="909"/>
      <c r="N99" s="914">
        <v>-37642.816344555518</v>
      </c>
      <c r="P99" s="919" t="s">
        <v>845</v>
      </c>
      <c r="R99" s="909">
        <v>0</v>
      </c>
      <c r="S99" s="909"/>
      <c r="T99" s="909">
        <v>0</v>
      </c>
      <c r="U99" s="909"/>
      <c r="V99" s="909">
        <f>N99</f>
        <v>-37642.816344555518</v>
      </c>
      <c r="W99" s="909"/>
      <c r="X99" s="909">
        <f>SUM(R99:V99)</f>
        <v>-37642.816344555518</v>
      </c>
      <c r="Y99" s="909"/>
      <c r="Z99" s="449" t="s">
        <v>1534</v>
      </c>
      <c r="AA99" s="909"/>
      <c r="AB99" s="909">
        <v>0</v>
      </c>
      <c r="AC99" s="909"/>
      <c r="AD99" s="909">
        <v>0</v>
      </c>
      <c r="AE99" s="909"/>
      <c r="AF99" s="914">
        <v>-2782.4392380443824</v>
      </c>
      <c r="AG99" s="909"/>
      <c r="AH99" s="449" t="s">
        <v>856</v>
      </c>
      <c r="AI99" s="909"/>
      <c r="AJ99" s="448">
        <f t="shared" si="55"/>
        <v>0</v>
      </c>
      <c r="AK99" s="909"/>
      <c r="AL99" s="448">
        <f t="shared" si="56"/>
        <v>0</v>
      </c>
      <c r="AM99" s="909"/>
      <c r="AN99" s="448">
        <f t="shared" si="57"/>
        <v>-34860.377106511136</v>
      </c>
      <c r="AO99" s="909"/>
      <c r="AP99" s="909">
        <f t="shared" si="58"/>
        <v>-34860.377106511136</v>
      </c>
      <c r="AR99" s="909">
        <v>0</v>
      </c>
      <c r="AS99" s="909"/>
      <c r="AT99" s="909">
        <v>0</v>
      </c>
      <c r="AU99" s="909"/>
      <c r="AV99" s="914">
        <v>-1041.2233744989787</v>
      </c>
      <c r="AW99" s="909"/>
      <c r="AX99" s="448">
        <f t="shared" si="59"/>
        <v>0</v>
      </c>
      <c r="AY99" s="909"/>
      <c r="AZ99" s="448">
        <f t="shared" si="60"/>
        <v>0</v>
      </c>
      <c r="BA99" s="909"/>
      <c r="BB99" s="448">
        <f t="shared" si="61"/>
        <v>-33819.153732012157</v>
      </c>
      <c r="BC99" s="909"/>
      <c r="BD99" s="909">
        <f t="shared" si="63"/>
        <v>-33819.153732012157</v>
      </c>
      <c r="BF99" s="909">
        <f t="shared" si="62"/>
        <v>-46960.350325776009</v>
      </c>
      <c r="BI99" s="437">
        <f t="shared" si="53"/>
        <v>404</v>
      </c>
    </row>
    <row r="100" spans="1:61" ht="15">
      <c r="A100" s="437">
        <f>+A99+1</f>
        <v>405</v>
      </c>
      <c r="B100" s="913" t="s">
        <v>1764</v>
      </c>
      <c r="F100" s="917" t="s">
        <v>1524</v>
      </c>
      <c r="H100" s="914">
        <v>99765608.752000004</v>
      </c>
      <c r="J100" s="914">
        <v>34917963.063199997</v>
      </c>
      <c r="K100" s="909"/>
      <c r="L100" s="914">
        <v>20950777.168212995</v>
      </c>
      <c r="M100" s="909"/>
      <c r="N100" s="914">
        <v>13967185.894987006</v>
      </c>
      <c r="P100" s="919" t="s">
        <v>845</v>
      </c>
      <c r="R100" s="909">
        <v>0</v>
      </c>
      <c r="S100" s="909"/>
      <c r="T100" s="909">
        <v>0</v>
      </c>
      <c r="U100" s="909"/>
      <c r="V100" s="909">
        <f>N100</f>
        <v>13967185.894987006</v>
      </c>
      <c r="W100" s="909"/>
      <c r="X100" s="909">
        <f>SUM(R100:V100)</f>
        <v>13967185.894987006</v>
      </c>
      <c r="Y100" s="909"/>
      <c r="Z100" s="449" t="s">
        <v>1534</v>
      </c>
      <c r="AA100" s="909"/>
      <c r="AB100" s="909">
        <v>0</v>
      </c>
      <c r="AC100" s="909"/>
      <c r="AD100" s="909">
        <v>0</v>
      </c>
      <c r="AE100" s="909"/>
      <c r="AF100" s="914">
        <v>1032410.6922167854</v>
      </c>
      <c r="AG100" s="909"/>
      <c r="AH100" s="449" t="s">
        <v>856</v>
      </c>
      <c r="AI100" s="909"/>
      <c r="AJ100" s="448">
        <f t="shared" si="55"/>
        <v>0</v>
      </c>
      <c r="AK100" s="909"/>
      <c r="AL100" s="448">
        <f t="shared" si="56"/>
        <v>0</v>
      </c>
      <c r="AM100" s="909"/>
      <c r="AN100" s="448">
        <f t="shared" si="57"/>
        <v>12934775.20277022</v>
      </c>
      <c r="AO100" s="909"/>
      <c r="AP100" s="909">
        <f t="shared" si="58"/>
        <v>12934775.20277022</v>
      </c>
      <c r="AR100" s="909">
        <v>0</v>
      </c>
      <c r="AS100" s="909"/>
      <c r="AT100" s="909">
        <v>0</v>
      </c>
      <c r="AU100" s="909"/>
      <c r="AV100" s="914">
        <v>386340.92350362451</v>
      </c>
      <c r="AW100" s="909"/>
      <c r="AX100" s="448">
        <f t="shared" si="59"/>
        <v>0</v>
      </c>
      <c r="AY100" s="909"/>
      <c r="AZ100" s="448">
        <f t="shared" si="60"/>
        <v>0</v>
      </c>
      <c r="BA100" s="909"/>
      <c r="BB100" s="448">
        <f t="shared" si="61"/>
        <v>12548434.279266596</v>
      </c>
      <c r="BC100" s="909"/>
      <c r="BD100" s="909">
        <f t="shared" si="63"/>
        <v>12548434.279266596</v>
      </c>
      <c r="BF100" s="909">
        <f t="shared" si="62"/>
        <v>17424412.049570091</v>
      </c>
      <c r="BI100" s="437">
        <f t="shared" si="53"/>
        <v>405</v>
      </c>
    </row>
    <row r="101" spans="1:61" ht="15">
      <c r="A101" s="437">
        <f>+A100+1</f>
        <v>406</v>
      </c>
      <c r="B101" s="913" t="s">
        <v>1765</v>
      </c>
      <c r="F101" s="917" t="s">
        <v>1524</v>
      </c>
      <c r="H101" s="914">
        <v>-83082302.262443438</v>
      </c>
      <c r="J101" s="914">
        <v>2570566.432</v>
      </c>
      <c r="K101" s="909"/>
      <c r="L101" s="914">
        <v>1545730.7397104639</v>
      </c>
      <c r="M101" s="909"/>
      <c r="N101" s="914">
        <v>1024565.7973965784</v>
      </c>
      <c r="P101" s="919" t="s">
        <v>845</v>
      </c>
      <c r="R101" s="909">
        <v>0</v>
      </c>
      <c r="S101" s="909"/>
      <c r="T101" s="909">
        <v>0</v>
      </c>
      <c r="U101" s="909"/>
      <c r="V101" s="909">
        <f>N101</f>
        <v>1024565.7973965784</v>
      </c>
      <c r="W101" s="909"/>
      <c r="X101" s="909">
        <f>SUM(R101:V101)</f>
        <v>1024565.7973965784</v>
      </c>
      <c r="Y101" s="909"/>
      <c r="Z101" s="449" t="s">
        <v>1534</v>
      </c>
      <c r="AA101" s="909"/>
      <c r="AB101" s="909">
        <v>0</v>
      </c>
      <c r="AC101" s="909"/>
      <c r="AD101" s="909">
        <v>0</v>
      </c>
      <c r="AE101" s="909"/>
      <c r="AF101" s="914">
        <v>75732.698917646107</v>
      </c>
      <c r="AG101" s="909"/>
      <c r="AH101" s="449" t="s">
        <v>856</v>
      </c>
      <c r="AI101" s="909"/>
      <c r="AJ101" s="448">
        <f t="shared" si="55"/>
        <v>0</v>
      </c>
      <c r="AK101" s="909"/>
      <c r="AL101" s="448">
        <f t="shared" si="56"/>
        <v>0</v>
      </c>
      <c r="AM101" s="909"/>
      <c r="AN101" s="448">
        <f t="shared" si="57"/>
        <v>948833.09847893228</v>
      </c>
      <c r="AO101" s="909"/>
      <c r="AP101" s="909">
        <f t="shared" si="58"/>
        <v>948833.09847893228</v>
      </c>
      <c r="AR101" s="909">
        <v>0</v>
      </c>
      <c r="AS101" s="909"/>
      <c r="AT101" s="909">
        <v>0</v>
      </c>
      <c r="AU101" s="909"/>
      <c r="AV101" s="914">
        <v>28340.117997462206</v>
      </c>
      <c r="AW101" s="909"/>
      <c r="AX101" s="448">
        <f t="shared" si="59"/>
        <v>0</v>
      </c>
      <c r="AY101" s="909"/>
      <c r="AZ101" s="448">
        <f t="shared" si="60"/>
        <v>0</v>
      </c>
      <c r="BA101" s="909"/>
      <c r="BB101" s="448">
        <f t="shared" si="61"/>
        <v>920492.98048147012</v>
      </c>
      <c r="BC101" s="909"/>
      <c r="BD101" s="909">
        <f t="shared" si="63"/>
        <v>920492.98048147012</v>
      </c>
      <c r="BF101" s="909">
        <f t="shared" si="62"/>
        <v>1278171.3338648835</v>
      </c>
      <c r="BI101" s="437">
        <f t="shared" si="53"/>
        <v>406</v>
      </c>
    </row>
    <row r="102" spans="1:61" ht="15">
      <c r="A102" s="437">
        <f t="shared" ref="A102:A104" si="64">+A101+1</f>
        <v>407</v>
      </c>
      <c r="B102" s="913" t="s">
        <v>1766</v>
      </c>
      <c r="F102" s="917" t="s">
        <v>1524</v>
      </c>
      <c r="H102" s="914">
        <v>-267315.21654815774</v>
      </c>
      <c r="J102" s="914">
        <v>8270.7327999999998</v>
      </c>
      <c r="K102" s="909"/>
      <c r="L102" s="914">
        <v>4990.2960650239993</v>
      </c>
      <c r="M102" s="909"/>
      <c r="N102" s="914">
        <v>3280.9595957260935</v>
      </c>
      <c r="P102" s="919" t="s">
        <v>845</v>
      </c>
      <c r="R102" s="909">
        <v>0</v>
      </c>
      <c r="S102" s="909"/>
      <c r="T102" s="909">
        <v>0</v>
      </c>
      <c r="U102" s="909"/>
      <c r="V102" s="909">
        <f t="shared" ref="V102:V105" si="65">N102</f>
        <v>3280.9595957260935</v>
      </c>
      <c r="W102" s="909"/>
      <c r="X102" s="909">
        <f t="shared" ref="X102:X105" si="66">SUM(R102:V102)</f>
        <v>3280.9595957260935</v>
      </c>
      <c r="Y102" s="909"/>
      <c r="Z102" s="449" t="s">
        <v>1534</v>
      </c>
      <c r="AA102" s="909"/>
      <c r="AB102" s="909">
        <v>0</v>
      </c>
      <c r="AC102" s="909"/>
      <c r="AD102" s="909">
        <v>0</v>
      </c>
      <c r="AE102" s="909"/>
      <c r="AF102" s="914">
        <v>242.51827052539079</v>
      </c>
      <c r="AG102" s="909"/>
      <c r="AH102" s="449" t="s">
        <v>856</v>
      </c>
      <c r="AI102" s="909"/>
      <c r="AJ102" s="448">
        <f t="shared" si="55"/>
        <v>0</v>
      </c>
      <c r="AK102" s="909"/>
      <c r="AL102" s="448">
        <f t="shared" si="56"/>
        <v>0</v>
      </c>
      <c r="AM102" s="909"/>
      <c r="AN102" s="448">
        <f t="shared" si="57"/>
        <v>3038.4413252007025</v>
      </c>
      <c r="AO102" s="909"/>
      <c r="AP102" s="909">
        <f t="shared" si="58"/>
        <v>3038.4413252007025</v>
      </c>
      <c r="AR102" s="909">
        <v>0</v>
      </c>
      <c r="AS102" s="909"/>
      <c r="AT102" s="909">
        <v>0</v>
      </c>
      <c r="AU102" s="909"/>
      <c r="AV102" s="914">
        <v>90.753353590421071</v>
      </c>
      <c r="AW102" s="909"/>
      <c r="AX102" s="448">
        <f t="shared" si="59"/>
        <v>0</v>
      </c>
      <c r="AY102" s="909"/>
      <c r="AZ102" s="448">
        <f t="shared" si="60"/>
        <v>0</v>
      </c>
      <c r="BA102" s="909"/>
      <c r="BB102" s="448">
        <f t="shared" si="61"/>
        <v>2947.6879716102812</v>
      </c>
      <c r="BC102" s="909"/>
      <c r="BD102" s="909">
        <f t="shared" si="63"/>
        <v>2947.6879716102812</v>
      </c>
      <c r="BF102" s="909">
        <f t="shared" si="62"/>
        <v>4093.0787592968836</v>
      </c>
      <c r="BI102" s="437">
        <f t="shared" si="53"/>
        <v>407</v>
      </c>
    </row>
    <row r="103" spans="1:61" ht="15">
      <c r="A103" s="437">
        <f t="shared" si="64"/>
        <v>408</v>
      </c>
      <c r="B103" s="913" t="s">
        <v>1767</v>
      </c>
      <c r="F103" s="917" t="s">
        <v>1524</v>
      </c>
      <c r="H103" s="914">
        <v>118275848.37750486</v>
      </c>
      <c r="J103" s="914">
        <v>-3659454.7488000002</v>
      </c>
      <c r="K103" s="909"/>
      <c r="L103" s="914">
        <v>-2198404.9817031678</v>
      </c>
      <c r="M103" s="909"/>
      <c r="N103" s="914">
        <v>-1460646.162043212</v>
      </c>
      <c r="P103" s="919" t="s">
        <v>1535</v>
      </c>
      <c r="R103" s="909">
        <v>0</v>
      </c>
      <c r="S103" s="909"/>
      <c r="T103" s="909">
        <v>0</v>
      </c>
      <c r="U103" s="909"/>
      <c r="V103" s="909">
        <f t="shared" si="65"/>
        <v>-1460646.162043212</v>
      </c>
      <c r="W103" s="909"/>
      <c r="X103" s="909">
        <f t="shared" si="66"/>
        <v>-1460646.162043212</v>
      </c>
      <c r="Y103" s="909"/>
      <c r="Z103" s="449" t="s">
        <v>1534</v>
      </c>
      <c r="AA103" s="909"/>
      <c r="AB103" s="909">
        <v>0</v>
      </c>
      <c r="AC103" s="909"/>
      <c r="AD103" s="909">
        <v>0</v>
      </c>
      <c r="AE103" s="909"/>
      <c r="AF103" s="914">
        <v>-107966.39541971433</v>
      </c>
      <c r="AG103" s="909"/>
      <c r="AH103" s="449" t="s">
        <v>856</v>
      </c>
      <c r="AI103" s="909"/>
      <c r="AJ103" s="448">
        <f t="shared" si="55"/>
        <v>0</v>
      </c>
      <c r="AK103" s="909"/>
      <c r="AL103" s="448">
        <f t="shared" si="56"/>
        <v>0</v>
      </c>
      <c r="AM103" s="909"/>
      <c r="AN103" s="448">
        <f t="shared" si="57"/>
        <v>-1352679.7666234977</v>
      </c>
      <c r="AO103" s="909"/>
      <c r="AP103" s="909">
        <f t="shared" si="58"/>
        <v>-1352679.7666234977</v>
      </c>
      <c r="AR103" s="909">
        <v>0</v>
      </c>
      <c r="AS103" s="909"/>
      <c r="AT103" s="909">
        <v>0</v>
      </c>
      <c r="AU103" s="909"/>
      <c r="AV103" s="914">
        <v>-40402.368193462375</v>
      </c>
      <c r="AW103" s="909"/>
      <c r="AX103" s="448">
        <f t="shared" si="59"/>
        <v>0</v>
      </c>
      <c r="AY103" s="909"/>
      <c r="AZ103" s="448">
        <f t="shared" si="60"/>
        <v>0</v>
      </c>
      <c r="BA103" s="909"/>
      <c r="BB103" s="448">
        <f t="shared" si="61"/>
        <v>-1312277.3984300354</v>
      </c>
      <c r="BC103" s="909"/>
      <c r="BD103" s="909">
        <f t="shared" si="63"/>
        <v>-1312277.3984300354</v>
      </c>
      <c r="BF103" s="909">
        <f t="shared" si="62"/>
        <v>-1822192.4428741722</v>
      </c>
      <c r="BI103" s="437">
        <f t="shared" si="53"/>
        <v>408</v>
      </c>
    </row>
    <row r="104" spans="1:61" ht="15">
      <c r="A104" s="437">
        <f t="shared" si="64"/>
        <v>409</v>
      </c>
      <c r="B104" s="915" t="s">
        <v>370</v>
      </c>
      <c r="F104" s="917"/>
      <c r="H104" s="914"/>
      <c r="J104" s="914"/>
      <c r="K104" s="909"/>
      <c r="L104" s="914"/>
      <c r="M104" s="909"/>
      <c r="N104" s="914"/>
      <c r="P104" s="918"/>
      <c r="R104" s="909">
        <v>0</v>
      </c>
      <c r="S104" s="909"/>
      <c r="T104" s="909">
        <v>0</v>
      </c>
      <c r="U104" s="909"/>
      <c r="V104" s="909">
        <f t="shared" si="65"/>
        <v>0</v>
      </c>
      <c r="W104" s="909"/>
      <c r="X104" s="909">
        <f t="shared" si="66"/>
        <v>0</v>
      </c>
      <c r="Y104" s="909"/>
      <c r="Z104" s="449"/>
      <c r="AA104" s="909"/>
      <c r="AB104" s="909">
        <v>0</v>
      </c>
      <c r="AC104" s="909"/>
      <c r="AD104" s="909">
        <v>0</v>
      </c>
      <c r="AE104" s="909"/>
      <c r="AF104" s="914"/>
      <c r="AG104" s="909"/>
      <c r="AH104" s="449"/>
      <c r="AI104" s="909"/>
      <c r="AJ104" s="448">
        <f t="shared" si="55"/>
        <v>0</v>
      </c>
      <c r="AK104" s="909"/>
      <c r="AL104" s="448">
        <f t="shared" si="56"/>
        <v>0</v>
      </c>
      <c r="AM104" s="909"/>
      <c r="AN104" s="448">
        <f t="shared" si="57"/>
        <v>0</v>
      </c>
      <c r="AO104" s="909"/>
      <c r="AP104" s="909">
        <f t="shared" si="58"/>
        <v>0</v>
      </c>
      <c r="AR104" s="909">
        <v>0</v>
      </c>
      <c r="AS104" s="909"/>
      <c r="AT104" s="909">
        <v>0</v>
      </c>
      <c r="AU104" s="909"/>
      <c r="AV104" s="914"/>
      <c r="AW104" s="909"/>
      <c r="AX104" s="448">
        <f t="shared" si="59"/>
        <v>0</v>
      </c>
      <c r="AY104" s="909"/>
      <c r="AZ104" s="448">
        <f t="shared" si="60"/>
        <v>0</v>
      </c>
      <c r="BA104" s="909"/>
      <c r="BB104" s="448">
        <f t="shared" si="61"/>
        <v>0</v>
      </c>
      <c r="BC104" s="909"/>
      <c r="BD104" s="909">
        <f t="shared" si="63"/>
        <v>0</v>
      </c>
      <c r="BF104" s="909">
        <f t="shared" si="62"/>
        <v>0</v>
      </c>
      <c r="BI104" s="437">
        <f t="shared" si="53"/>
        <v>409</v>
      </c>
    </row>
    <row r="105" spans="1:61" ht="15">
      <c r="A105" s="437">
        <f>+A102+1</f>
        <v>408</v>
      </c>
      <c r="B105" s="915" t="s">
        <v>370</v>
      </c>
      <c r="F105" s="917"/>
      <c r="H105" s="914"/>
      <c r="J105" s="914"/>
      <c r="K105" s="909"/>
      <c r="L105" s="914"/>
      <c r="M105" s="909"/>
      <c r="N105" s="914"/>
      <c r="P105" s="918"/>
      <c r="R105" s="909">
        <v>0</v>
      </c>
      <c r="S105" s="909"/>
      <c r="T105" s="909">
        <v>0</v>
      </c>
      <c r="U105" s="909"/>
      <c r="V105" s="909">
        <f t="shared" si="65"/>
        <v>0</v>
      </c>
      <c r="W105" s="909"/>
      <c r="X105" s="909">
        <f t="shared" si="66"/>
        <v>0</v>
      </c>
      <c r="Y105" s="909"/>
      <c r="Z105" s="449"/>
      <c r="AA105" s="909"/>
      <c r="AB105" s="909">
        <v>0</v>
      </c>
      <c r="AC105" s="909"/>
      <c r="AD105" s="909">
        <v>0</v>
      </c>
      <c r="AE105" s="909"/>
      <c r="AF105" s="914"/>
      <c r="AG105" s="909"/>
      <c r="AH105" s="449"/>
      <c r="AI105" s="909"/>
      <c r="AJ105" s="448">
        <f t="shared" si="55"/>
        <v>0</v>
      </c>
      <c r="AK105" s="909"/>
      <c r="AL105" s="448">
        <f t="shared" si="56"/>
        <v>0</v>
      </c>
      <c r="AM105" s="909"/>
      <c r="AN105" s="448">
        <f t="shared" si="57"/>
        <v>0</v>
      </c>
      <c r="AO105" s="909"/>
      <c r="AP105" s="909">
        <f t="shared" si="58"/>
        <v>0</v>
      </c>
      <c r="AR105" s="909">
        <v>0</v>
      </c>
      <c r="AS105" s="909"/>
      <c r="AT105" s="909">
        <v>0</v>
      </c>
      <c r="AU105" s="909"/>
      <c r="AV105" s="914"/>
      <c r="AW105" s="909"/>
      <c r="AX105" s="448">
        <f t="shared" si="59"/>
        <v>0</v>
      </c>
      <c r="AY105" s="909"/>
      <c r="AZ105" s="448">
        <f t="shared" si="60"/>
        <v>0</v>
      </c>
      <c r="BA105" s="909"/>
      <c r="BB105" s="448">
        <f t="shared" si="61"/>
        <v>0</v>
      </c>
      <c r="BC105" s="909"/>
      <c r="BD105" s="909">
        <f t="shared" si="63"/>
        <v>0</v>
      </c>
      <c r="BF105" s="909">
        <f t="shared" si="62"/>
        <v>0</v>
      </c>
      <c r="BI105" s="437">
        <f t="shared" si="53"/>
        <v>408</v>
      </c>
    </row>
    <row r="106" spans="1:61" ht="15">
      <c r="A106" s="437"/>
      <c r="B106" s="784"/>
      <c r="F106" s="917"/>
      <c r="H106" s="908"/>
      <c r="J106" s="909"/>
      <c r="K106" s="909"/>
      <c r="L106" s="909"/>
      <c r="M106" s="909"/>
      <c r="N106" s="909"/>
      <c r="P106" s="918"/>
      <c r="R106" s="909"/>
      <c r="S106" s="909"/>
      <c r="T106" s="909"/>
      <c r="U106" s="909"/>
      <c r="V106" s="909"/>
      <c r="W106" s="909"/>
      <c r="X106" s="909"/>
      <c r="Y106" s="909"/>
      <c r="Z106" s="449"/>
      <c r="AA106" s="909"/>
      <c r="AB106" s="909"/>
      <c r="AC106" s="909"/>
      <c r="AD106" s="909"/>
      <c r="AE106" s="909"/>
      <c r="AF106" s="909"/>
      <c r="AG106" s="909"/>
      <c r="AH106" s="449"/>
      <c r="AI106" s="909"/>
      <c r="AJ106" s="909"/>
      <c r="AK106" s="909"/>
      <c r="AL106" s="909"/>
      <c r="AM106" s="909"/>
      <c r="AN106" s="909"/>
      <c r="AO106" s="909"/>
      <c r="AP106" s="909"/>
      <c r="AR106" s="909"/>
      <c r="AS106" s="909"/>
      <c r="AT106" s="909"/>
      <c r="AU106" s="909"/>
      <c r="AV106" s="909"/>
      <c r="AW106" s="909"/>
      <c r="AX106" s="909"/>
      <c r="AY106" s="909"/>
      <c r="AZ106" s="909"/>
      <c r="BA106" s="909"/>
      <c r="BB106" s="909"/>
      <c r="BC106" s="909"/>
      <c r="BD106" s="909"/>
      <c r="BI106" s="437"/>
    </row>
    <row r="107" spans="1:61" ht="15">
      <c r="A107" s="787" t="s">
        <v>86</v>
      </c>
      <c r="F107" s="917"/>
      <c r="P107" s="918"/>
      <c r="Z107" s="896"/>
      <c r="AH107" s="896"/>
      <c r="BI107" s="907" t="s">
        <v>86</v>
      </c>
    </row>
    <row r="108" spans="1:61" ht="15">
      <c r="A108" s="437">
        <v>500</v>
      </c>
      <c r="B108" s="900" t="s">
        <v>842</v>
      </c>
      <c r="F108" s="917"/>
      <c r="H108" s="912">
        <f>ROUND(SUM(H109:H113),0)</f>
        <v>-83282905</v>
      </c>
      <c r="J108" s="912">
        <f>ROUND(SUM(J109:J113),0)</f>
        <v>434750466</v>
      </c>
      <c r="K108" s="909"/>
      <c r="L108" s="912">
        <f>ROUND(SUM(L109:L113),0)</f>
        <v>260850280</v>
      </c>
      <c r="M108" s="909"/>
      <c r="N108" s="912">
        <f>ROUND(SUM(N109:N113),0)</f>
        <v>173900186</v>
      </c>
      <c r="O108" s="437"/>
      <c r="P108" s="784"/>
      <c r="Q108" s="437"/>
      <c r="R108" s="912">
        <f>ROUND(SUM(R109:R113),0)</f>
        <v>173900186</v>
      </c>
      <c r="S108" s="909"/>
      <c r="T108" s="912">
        <f>ROUND(SUM(T109:T113),0)</f>
        <v>0</v>
      </c>
      <c r="U108" s="909"/>
      <c r="V108" s="912">
        <f>ROUND(SUM(V109:V113),0)</f>
        <v>0</v>
      </c>
      <c r="W108" s="909"/>
      <c r="X108" s="912">
        <f>ROUND(SUM(X109:X113),0)</f>
        <v>173900186</v>
      </c>
      <c r="Y108" s="909"/>
      <c r="Z108" s="449"/>
      <c r="AA108" s="909"/>
      <c r="AB108" s="912">
        <f>SUM(AB109:AB113)</f>
        <v>12326933.935202882</v>
      </c>
      <c r="AC108" s="909"/>
      <c r="AD108" s="912">
        <f>SUM(AD109:AD113)</f>
        <v>0</v>
      </c>
      <c r="AE108" s="909"/>
      <c r="AF108" s="912">
        <f>SUM(AF109:AF113)</f>
        <v>0</v>
      </c>
      <c r="AG108" s="909"/>
      <c r="AH108" s="449"/>
      <c r="AI108" s="909"/>
      <c r="AJ108" s="912">
        <f>SUM(AJ109:AJ113)</f>
        <v>161573252.51337314</v>
      </c>
      <c r="AK108" s="909"/>
      <c r="AL108" s="912">
        <f>SUM(AL109:AL113)</f>
        <v>0</v>
      </c>
      <c r="AM108" s="909"/>
      <c r="AN108" s="912">
        <f>SUM(AN109:AN113)</f>
        <v>0</v>
      </c>
      <c r="AO108" s="909"/>
      <c r="AP108" s="912">
        <f>SUM(AP109:AP113)</f>
        <v>161573252.51337314</v>
      </c>
      <c r="AR108" s="912">
        <f>SUM(AR109:AR113)</f>
        <v>3875785.7180344383</v>
      </c>
      <c r="AS108" s="909"/>
      <c r="AT108" s="912">
        <f>SUM(AT109:AT113)</f>
        <v>0</v>
      </c>
      <c r="AU108" s="909"/>
      <c r="AV108" s="912">
        <f>SUM(AV109:AV113)</f>
        <v>0</v>
      </c>
      <c r="AW108" s="909"/>
      <c r="AX108" s="912">
        <f>SUM(AX109:AX113)</f>
        <v>157697466.79533869</v>
      </c>
      <c r="AY108" s="909"/>
      <c r="AZ108" s="912">
        <f>SUM(AZ109:AZ113)</f>
        <v>0</v>
      </c>
      <c r="BA108" s="909"/>
      <c r="BB108" s="912">
        <f>SUM(BB109:BB113)</f>
        <v>0</v>
      </c>
      <c r="BC108" s="909"/>
      <c r="BD108" s="912">
        <f>SUM(BD109:BD113)</f>
        <v>157697466.79533869</v>
      </c>
      <c r="BF108" s="912">
        <f>ROUND(SUM(BF109:BF113),0)</f>
        <v>218974382</v>
      </c>
      <c r="BI108" s="437">
        <f t="shared" ref="BI108:BI113" si="67">A108</f>
        <v>500</v>
      </c>
    </row>
    <row r="109" spans="1:61" ht="15">
      <c r="A109" s="437">
        <f t="shared" ref="A109:A112" si="68">A108+1</f>
        <v>501</v>
      </c>
      <c r="B109" s="788" t="s">
        <v>1768</v>
      </c>
      <c r="F109" s="917" t="s">
        <v>1533</v>
      </c>
      <c r="H109" s="914">
        <v>-83282905</v>
      </c>
      <c r="J109" s="914">
        <v>434750466.12143999</v>
      </c>
      <c r="K109" s="909"/>
      <c r="L109" s="914">
        <v>260850279.67286399</v>
      </c>
      <c r="M109" s="909"/>
      <c r="N109" s="914">
        <v>173900186.448576</v>
      </c>
      <c r="P109" s="921" t="s">
        <v>1530</v>
      </c>
      <c r="R109" s="909">
        <f>+N109</f>
        <v>173900186.448576</v>
      </c>
      <c r="S109" s="909"/>
      <c r="T109" s="909">
        <v>0</v>
      </c>
      <c r="U109" s="909"/>
      <c r="V109" s="909">
        <v>0</v>
      </c>
      <c r="W109" s="909"/>
      <c r="X109" s="909">
        <f>SUM(R109:V109)</f>
        <v>173900186.448576</v>
      </c>
      <c r="Y109" s="909"/>
      <c r="Z109" s="449" t="s">
        <v>831</v>
      </c>
      <c r="AA109" s="909"/>
      <c r="AB109" s="914">
        <v>12326933.935202882</v>
      </c>
      <c r="AC109" s="909"/>
      <c r="AD109" s="909">
        <v>0</v>
      </c>
      <c r="AE109" s="909"/>
      <c r="AF109" s="909">
        <v>0</v>
      </c>
      <c r="AG109" s="909"/>
      <c r="AH109" s="449" t="s">
        <v>1531</v>
      </c>
      <c r="AI109" s="909"/>
      <c r="AJ109" s="448">
        <f t="shared" ref="AJ109:AJ114" si="69">+R109-AB109</f>
        <v>161573252.51337314</v>
      </c>
      <c r="AK109" s="909"/>
      <c r="AL109" s="448">
        <f t="shared" ref="AL109:AL114" si="70">+T109-AD109</f>
        <v>0</v>
      </c>
      <c r="AM109" s="909"/>
      <c r="AN109" s="448">
        <f t="shared" ref="AN109:AN114" si="71">+V109-AF109</f>
        <v>0</v>
      </c>
      <c r="AO109" s="909"/>
      <c r="AP109" s="909">
        <f t="shared" ref="AP109:AP114" si="72">SUM(AJ109:AN109)</f>
        <v>161573252.51337314</v>
      </c>
      <c r="AR109" s="914">
        <v>3875785.7180344383</v>
      </c>
      <c r="AS109" s="909"/>
      <c r="AT109" s="909">
        <v>0</v>
      </c>
      <c r="AU109" s="909"/>
      <c r="AV109" s="909">
        <v>0</v>
      </c>
      <c r="AW109" s="909"/>
      <c r="AX109" s="448">
        <f t="shared" ref="AX109:AX114" si="73">+AJ109-AR109</f>
        <v>157697466.79533869</v>
      </c>
      <c r="AY109" s="909"/>
      <c r="AZ109" s="448">
        <f t="shared" ref="AZ109:AZ114" si="74">+AL109-AT109</f>
        <v>0</v>
      </c>
      <c r="BA109" s="909"/>
      <c r="BB109" s="448">
        <f t="shared" ref="BB109:BB114" si="75">+AN109-AV109</f>
        <v>0</v>
      </c>
      <c r="BC109" s="909"/>
      <c r="BD109" s="909">
        <f>SUM(AX109:BB109)</f>
        <v>157697466.79533869</v>
      </c>
      <c r="BF109" s="909">
        <f>+BD109*$BF$10</f>
        <v>218974381.93986186</v>
      </c>
      <c r="BI109" s="437">
        <f t="shared" si="67"/>
        <v>501</v>
      </c>
    </row>
    <row r="110" spans="1:61" ht="15">
      <c r="A110" s="437">
        <f t="shared" si="68"/>
        <v>502</v>
      </c>
      <c r="B110" s="915" t="s">
        <v>370</v>
      </c>
      <c r="F110" s="917"/>
      <c r="H110" s="914"/>
      <c r="J110" s="914">
        <v>0</v>
      </c>
      <c r="K110" s="909"/>
      <c r="L110" s="914">
        <v>0</v>
      </c>
      <c r="M110" s="909"/>
      <c r="N110" s="914">
        <v>0</v>
      </c>
      <c r="P110" s="921"/>
      <c r="R110" s="909">
        <v>0</v>
      </c>
      <c r="S110" s="909"/>
      <c r="T110" s="909">
        <v>0</v>
      </c>
      <c r="U110" s="909"/>
      <c r="V110" s="909">
        <v>0</v>
      </c>
      <c r="W110" s="909"/>
      <c r="X110" s="909">
        <f t="shared" ref="X110:X113" si="76">SUM(R110:V110)</f>
        <v>0</v>
      </c>
      <c r="Y110" s="909"/>
      <c r="Z110" s="449"/>
      <c r="AA110" s="909"/>
      <c r="AB110" s="914"/>
      <c r="AC110" s="909"/>
      <c r="AD110" s="909">
        <v>0</v>
      </c>
      <c r="AE110" s="909"/>
      <c r="AF110" s="909">
        <v>0</v>
      </c>
      <c r="AG110" s="909"/>
      <c r="AH110" s="449"/>
      <c r="AI110" s="909"/>
      <c r="AJ110" s="448">
        <f t="shared" si="69"/>
        <v>0</v>
      </c>
      <c r="AK110" s="909"/>
      <c r="AL110" s="448">
        <f t="shared" si="70"/>
        <v>0</v>
      </c>
      <c r="AM110" s="909"/>
      <c r="AN110" s="448">
        <f t="shared" si="71"/>
        <v>0</v>
      </c>
      <c r="AO110" s="909"/>
      <c r="AP110" s="909">
        <f t="shared" si="72"/>
        <v>0</v>
      </c>
      <c r="AR110" s="914"/>
      <c r="AS110" s="909"/>
      <c r="AT110" s="909">
        <v>0</v>
      </c>
      <c r="AU110" s="909"/>
      <c r="AV110" s="909">
        <v>0</v>
      </c>
      <c r="AW110" s="909"/>
      <c r="AX110" s="448">
        <f t="shared" si="73"/>
        <v>0</v>
      </c>
      <c r="AY110" s="909"/>
      <c r="AZ110" s="448">
        <f t="shared" si="74"/>
        <v>0</v>
      </c>
      <c r="BA110" s="909"/>
      <c r="BB110" s="448">
        <f t="shared" si="75"/>
        <v>0</v>
      </c>
      <c r="BC110" s="909"/>
      <c r="BD110" s="909">
        <f t="shared" ref="BD110:BD113" si="77">SUM(AX110:BB110)</f>
        <v>0</v>
      </c>
      <c r="BF110" s="909">
        <f>+BD110*$BF$10</f>
        <v>0</v>
      </c>
      <c r="BI110" s="437">
        <f t="shared" si="67"/>
        <v>502</v>
      </c>
    </row>
    <row r="111" spans="1:61" ht="15">
      <c r="A111" s="437">
        <f t="shared" si="68"/>
        <v>503</v>
      </c>
      <c r="B111" s="915" t="s">
        <v>370</v>
      </c>
      <c r="F111" s="917"/>
      <c r="H111" s="914"/>
      <c r="J111" s="914">
        <v>0</v>
      </c>
      <c r="K111" s="909"/>
      <c r="L111" s="914">
        <v>0</v>
      </c>
      <c r="M111" s="909"/>
      <c r="N111" s="914">
        <v>0</v>
      </c>
      <c r="P111" s="921"/>
      <c r="R111" s="909">
        <v>0</v>
      </c>
      <c r="S111" s="909"/>
      <c r="T111" s="909">
        <v>0</v>
      </c>
      <c r="U111" s="909"/>
      <c r="V111" s="909">
        <v>0</v>
      </c>
      <c r="W111" s="909"/>
      <c r="X111" s="909">
        <f t="shared" si="76"/>
        <v>0</v>
      </c>
      <c r="Y111" s="909"/>
      <c r="Z111" s="449"/>
      <c r="AA111" s="909"/>
      <c r="AB111" s="914"/>
      <c r="AC111" s="909"/>
      <c r="AD111" s="909">
        <v>0</v>
      </c>
      <c r="AE111" s="909"/>
      <c r="AF111" s="909">
        <v>0</v>
      </c>
      <c r="AG111" s="909"/>
      <c r="AH111" s="449"/>
      <c r="AI111" s="909"/>
      <c r="AJ111" s="448">
        <f t="shared" si="69"/>
        <v>0</v>
      </c>
      <c r="AK111" s="909"/>
      <c r="AL111" s="448">
        <f t="shared" si="70"/>
        <v>0</v>
      </c>
      <c r="AM111" s="909"/>
      <c r="AN111" s="448">
        <f t="shared" si="71"/>
        <v>0</v>
      </c>
      <c r="AO111" s="909"/>
      <c r="AP111" s="909">
        <f t="shared" si="72"/>
        <v>0</v>
      </c>
      <c r="AR111" s="914"/>
      <c r="AS111" s="909"/>
      <c r="AT111" s="909">
        <v>0</v>
      </c>
      <c r="AU111" s="909"/>
      <c r="AV111" s="909">
        <v>0</v>
      </c>
      <c r="AW111" s="909"/>
      <c r="AX111" s="448">
        <f t="shared" si="73"/>
        <v>0</v>
      </c>
      <c r="AY111" s="909"/>
      <c r="AZ111" s="448">
        <f t="shared" si="74"/>
        <v>0</v>
      </c>
      <c r="BA111" s="909"/>
      <c r="BB111" s="448">
        <f t="shared" si="75"/>
        <v>0</v>
      </c>
      <c r="BC111" s="909"/>
      <c r="BD111" s="909">
        <f t="shared" si="77"/>
        <v>0</v>
      </c>
      <c r="BF111" s="909">
        <f>+BD110*$BF$10</f>
        <v>0</v>
      </c>
      <c r="BI111" s="437">
        <f t="shared" si="67"/>
        <v>503</v>
      </c>
    </row>
    <row r="112" spans="1:61" ht="15">
      <c r="A112" s="437">
        <f t="shared" si="68"/>
        <v>504</v>
      </c>
      <c r="B112" s="915" t="s">
        <v>370</v>
      </c>
      <c r="F112" s="910"/>
      <c r="H112" s="914"/>
      <c r="J112" s="914">
        <v>0</v>
      </c>
      <c r="K112" s="909"/>
      <c r="L112" s="914">
        <v>0</v>
      </c>
      <c r="M112" s="909"/>
      <c r="N112" s="914">
        <v>0</v>
      </c>
      <c r="P112" s="918"/>
      <c r="R112" s="909">
        <v>0</v>
      </c>
      <c r="S112" s="909"/>
      <c r="T112" s="909">
        <v>0</v>
      </c>
      <c r="U112" s="909"/>
      <c r="V112" s="909">
        <v>0</v>
      </c>
      <c r="W112" s="909"/>
      <c r="X112" s="909">
        <f t="shared" si="76"/>
        <v>0</v>
      </c>
      <c r="Y112" s="909"/>
      <c r="Z112" s="449"/>
      <c r="AA112" s="909"/>
      <c r="AB112" s="914"/>
      <c r="AC112" s="909"/>
      <c r="AD112" s="909">
        <v>0</v>
      </c>
      <c r="AE112" s="909"/>
      <c r="AF112" s="909">
        <v>0</v>
      </c>
      <c r="AG112" s="909"/>
      <c r="AH112" s="449"/>
      <c r="AI112" s="909"/>
      <c r="AJ112" s="448">
        <f t="shared" si="69"/>
        <v>0</v>
      </c>
      <c r="AK112" s="909"/>
      <c r="AL112" s="448">
        <f t="shared" si="70"/>
        <v>0</v>
      </c>
      <c r="AM112" s="909"/>
      <c r="AN112" s="448">
        <f t="shared" si="71"/>
        <v>0</v>
      </c>
      <c r="AO112" s="909"/>
      <c r="AP112" s="909">
        <f t="shared" si="72"/>
        <v>0</v>
      </c>
      <c r="AR112" s="914"/>
      <c r="AS112" s="909"/>
      <c r="AT112" s="909">
        <v>0</v>
      </c>
      <c r="AU112" s="909"/>
      <c r="AV112" s="909">
        <v>0</v>
      </c>
      <c r="AW112" s="909"/>
      <c r="AX112" s="448">
        <f t="shared" si="73"/>
        <v>0</v>
      </c>
      <c r="AY112" s="909"/>
      <c r="AZ112" s="448">
        <f t="shared" si="74"/>
        <v>0</v>
      </c>
      <c r="BA112" s="909"/>
      <c r="BB112" s="448">
        <f t="shared" si="75"/>
        <v>0</v>
      </c>
      <c r="BC112" s="909"/>
      <c r="BD112" s="909">
        <f t="shared" si="77"/>
        <v>0</v>
      </c>
      <c r="BF112" s="909">
        <f>+BD111*$BF$10</f>
        <v>0</v>
      </c>
      <c r="BI112" s="437">
        <f t="shared" si="67"/>
        <v>504</v>
      </c>
    </row>
    <row r="113" spans="1:61" ht="15">
      <c r="A113" s="437">
        <f>+A112+1</f>
        <v>505</v>
      </c>
      <c r="B113" s="915" t="s">
        <v>370</v>
      </c>
      <c r="F113" s="910"/>
      <c r="H113" s="914"/>
      <c r="J113" s="914">
        <v>0</v>
      </c>
      <c r="K113" s="909"/>
      <c r="L113" s="914">
        <v>0</v>
      </c>
      <c r="M113" s="909"/>
      <c r="N113" s="914">
        <v>0</v>
      </c>
      <c r="P113" s="918"/>
      <c r="R113" s="909">
        <v>0</v>
      </c>
      <c r="S113" s="909"/>
      <c r="T113" s="909">
        <v>0</v>
      </c>
      <c r="U113" s="909"/>
      <c r="V113" s="909">
        <v>0</v>
      </c>
      <c r="W113" s="909"/>
      <c r="X113" s="909">
        <f t="shared" si="76"/>
        <v>0</v>
      </c>
      <c r="Y113" s="909"/>
      <c r="Z113" s="449"/>
      <c r="AA113" s="909"/>
      <c r="AB113" s="914"/>
      <c r="AC113" s="909"/>
      <c r="AD113" s="909">
        <v>0</v>
      </c>
      <c r="AE113" s="909"/>
      <c r="AF113" s="909">
        <v>0</v>
      </c>
      <c r="AG113" s="909"/>
      <c r="AH113" s="449"/>
      <c r="AI113" s="909"/>
      <c r="AJ113" s="448">
        <f t="shared" si="69"/>
        <v>0</v>
      </c>
      <c r="AK113" s="909"/>
      <c r="AL113" s="448">
        <f t="shared" si="70"/>
        <v>0</v>
      </c>
      <c r="AM113" s="909"/>
      <c r="AN113" s="448">
        <f t="shared" si="71"/>
        <v>0</v>
      </c>
      <c r="AO113" s="909"/>
      <c r="AP113" s="909">
        <f t="shared" si="72"/>
        <v>0</v>
      </c>
      <c r="AR113" s="914"/>
      <c r="AS113" s="909"/>
      <c r="AT113" s="909">
        <v>0</v>
      </c>
      <c r="AU113" s="909"/>
      <c r="AV113" s="909">
        <v>0</v>
      </c>
      <c r="AW113" s="909"/>
      <c r="AX113" s="448">
        <f t="shared" si="73"/>
        <v>0</v>
      </c>
      <c r="AY113" s="909"/>
      <c r="AZ113" s="448">
        <f t="shared" si="74"/>
        <v>0</v>
      </c>
      <c r="BA113" s="909"/>
      <c r="BB113" s="448">
        <f t="shared" si="75"/>
        <v>0</v>
      </c>
      <c r="BC113" s="909"/>
      <c r="BD113" s="909">
        <f t="shared" si="77"/>
        <v>0</v>
      </c>
      <c r="BF113" s="909">
        <f>+BD112*$BF$10</f>
        <v>0</v>
      </c>
      <c r="BI113" s="437">
        <f t="shared" si="67"/>
        <v>505</v>
      </c>
    </row>
    <row r="114" spans="1:61" ht="15">
      <c r="A114" s="437"/>
      <c r="B114" s="784"/>
      <c r="F114" s="910"/>
      <c r="H114" s="909"/>
      <c r="J114" s="909"/>
      <c r="K114" s="909"/>
      <c r="L114" s="909"/>
      <c r="M114" s="909"/>
      <c r="N114" s="909"/>
      <c r="P114" s="918"/>
      <c r="R114" s="909"/>
      <c r="S114" s="909"/>
      <c r="T114" s="909"/>
      <c r="U114" s="909"/>
      <c r="V114" s="909"/>
      <c r="W114" s="909"/>
      <c r="X114" s="909"/>
      <c r="Y114" s="909"/>
      <c r="Z114" s="449"/>
      <c r="AA114" s="909"/>
      <c r="AB114" s="909"/>
      <c r="AC114" s="909"/>
      <c r="AD114" s="909"/>
      <c r="AE114" s="909"/>
      <c r="AF114" s="909"/>
      <c r="AG114" s="909"/>
      <c r="AH114" s="449"/>
      <c r="AI114" s="909"/>
      <c r="AJ114" s="909">
        <f t="shared" si="69"/>
        <v>0</v>
      </c>
      <c r="AK114" s="909"/>
      <c r="AL114" s="909">
        <f t="shared" si="70"/>
        <v>0</v>
      </c>
      <c r="AM114" s="909"/>
      <c r="AN114" s="909">
        <f t="shared" si="71"/>
        <v>0</v>
      </c>
      <c r="AO114" s="909"/>
      <c r="AP114" s="909">
        <f t="shared" si="72"/>
        <v>0</v>
      </c>
      <c r="AR114" s="909"/>
      <c r="AS114" s="909"/>
      <c r="AT114" s="909"/>
      <c r="AU114" s="909"/>
      <c r="AV114" s="909"/>
      <c r="AW114" s="909"/>
      <c r="AX114" s="909">
        <f t="shared" si="73"/>
        <v>0</v>
      </c>
      <c r="AY114" s="909"/>
      <c r="AZ114" s="909">
        <f t="shared" si="74"/>
        <v>0</v>
      </c>
      <c r="BA114" s="909"/>
      <c r="BB114" s="909">
        <f t="shared" si="75"/>
        <v>0</v>
      </c>
      <c r="BC114" s="909"/>
      <c r="BD114" s="909"/>
      <c r="BF114" s="909"/>
      <c r="BI114" s="437"/>
    </row>
    <row r="115" spans="1:61" ht="15">
      <c r="A115" s="787" t="s">
        <v>86</v>
      </c>
      <c r="F115" s="910"/>
      <c r="H115" s="908"/>
      <c r="P115" s="918"/>
      <c r="Z115" s="896"/>
      <c r="AH115" s="896"/>
      <c r="BI115" s="907" t="s">
        <v>86</v>
      </c>
    </row>
    <row r="116" spans="1:61" ht="15">
      <c r="A116" s="437">
        <v>600</v>
      </c>
      <c r="B116" s="911" t="s">
        <v>836</v>
      </c>
      <c r="F116" s="910"/>
      <c r="H116" s="912">
        <f>SUM(H117:H121)</f>
        <v>-400413354</v>
      </c>
      <c r="J116" s="912">
        <f>SUM(J117:J121)</f>
        <v>-140144673.792</v>
      </c>
      <c r="K116" s="909"/>
      <c r="L116" s="912">
        <f>SUM(L117:L121)</f>
        <v>-84086803.483769998</v>
      </c>
      <c r="M116" s="909"/>
      <c r="N116" s="912">
        <f>SUM(N117:N121)</f>
        <v>-56057870.308230013</v>
      </c>
      <c r="O116" s="437"/>
      <c r="P116" s="784"/>
      <c r="Q116" s="437"/>
      <c r="R116" s="912">
        <f>SUM(R117:R121)</f>
        <v>0</v>
      </c>
      <c r="S116" s="909"/>
      <c r="T116" s="912">
        <f>SUM(T117:T121)</f>
        <v>-56057870.308230013</v>
      </c>
      <c r="U116" s="909"/>
      <c r="V116" s="912">
        <f>SUM(V117:V121)</f>
        <v>0</v>
      </c>
      <c r="W116" s="909"/>
      <c r="X116" s="912">
        <f>SUM(X117:X121)</f>
        <v>-56057870.308230013</v>
      </c>
      <c r="Y116" s="909"/>
      <c r="Z116" s="449"/>
      <c r="AA116" s="909"/>
      <c r="AB116" s="912">
        <f>SUM(AB117:AB121)</f>
        <v>0</v>
      </c>
      <c r="AC116" s="909"/>
      <c r="AD116" s="912">
        <f>SUM(AD117:AD121)</f>
        <v>-4143622.4250362762</v>
      </c>
      <c r="AE116" s="909"/>
      <c r="AF116" s="912">
        <f>SUM(AF117:AF121)</f>
        <v>0</v>
      </c>
      <c r="AG116" s="909"/>
      <c r="AH116" s="449"/>
      <c r="AI116" s="909"/>
      <c r="AJ116" s="912">
        <f>SUM(AJ117:AJ121)</f>
        <v>0</v>
      </c>
      <c r="AK116" s="909"/>
      <c r="AL116" s="912">
        <f>SUM(AL117:AL121)</f>
        <v>-51914247.883193739</v>
      </c>
      <c r="AM116" s="909"/>
      <c r="AN116" s="912">
        <f>SUM(AN117:AN121)</f>
        <v>0</v>
      </c>
      <c r="AO116" s="909"/>
      <c r="AP116" s="912">
        <f>SUM(AP117:AP121)</f>
        <v>-51914247.883193739</v>
      </c>
      <c r="AR116" s="912">
        <f>SUM(AR117:AR121)</f>
        <v>0</v>
      </c>
      <c r="AS116" s="909"/>
      <c r="AT116" s="912">
        <f>SUM(AT117:AT121)</f>
        <v>-1550595.0552502577</v>
      </c>
      <c r="AU116" s="909"/>
      <c r="AV116" s="912">
        <f>SUM(AV117:AV121)</f>
        <v>0</v>
      </c>
      <c r="AW116" s="909"/>
      <c r="AX116" s="912">
        <f>SUM(AX117:AX121)</f>
        <v>0</v>
      </c>
      <c r="AY116" s="909"/>
      <c r="AZ116" s="912">
        <f>SUM(AZ117:AZ121)</f>
        <v>-50363652.827943482</v>
      </c>
      <c r="BA116" s="909"/>
      <c r="BB116" s="912">
        <f>SUM(BB117:BB121)</f>
        <v>0</v>
      </c>
      <c r="BC116" s="909"/>
      <c r="BD116" s="912">
        <f>SUM(BD117:BD121)</f>
        <v>-50363652.827943482</v>
      </c>
      <c r="BF116" s="912">
        <f>SUM(BF117:BF121)</f>
        <v>-69933588.49920778</v>
      </c>
      <c r="BI116" s="437">
        <f t="shared" ref="BI116:BI121" si="78">A116</f>
        <v>600</v>
      </c>
    </row>
    <row r="117" spans="1:61" ht="15">
      <c r="A117" s="437">
        <f t="shared" ref="A117:A120" si="79">A116+1</f>
        <v>601</v>
      </c>
      <c r="B117" s="913" t="s">
        <v>1769</v>
      </c>
      <c r="F117" s="918" t="s">
        <v>1524</v>
      </c>
      <c r="H117" s="914">
        <v>-503886394</v>
      </c>
      <c r="J117" s="914">
        <v>-176360237.792</v>
      </c>
      <c r="K117" s="909"/>
      <c r="L117" s="914">
        <v>-105816142.47279657</v>
      </c>
      <c r="M117" s="909"/>
      <c r="N117" s="914">
        <v>-70544095.319203436</v>
      </c>
      <c r="P117" s="918" t="s">
        <v>845</v>
      </c>
      <c r="R117" s="909">
        <v>0</v>
      </c>
      <c r="S117" s="909"/>
      <c r="T117" s="909">
        <f>+N117</f>
        <v>-70544095.319203436</v>
      </c>
      <c r="U117" s="909"/>
      <c r="V117" s="909">
        <v>0</v>
      </c>
      <c r="W117" s="909"/>
      <c r="X117" s="909">
        <f>SUM(R117:V117)</f>
        <v>-70544095.319203436</v>
      </c>
      <c r="Y117" s="909"/>
      <c r="Z117" s="449" t="s">
        <v>1534</v>
      </c>
      <c r="AA117" s="909"/>
      <c r="AB117" s="914"/>
      <c r="AC117" s="909"/>
      <c r="AD117" s="914">
        <v>-5214398.8651604801</v>
      </c>
      <c r="AE117" s="909"/>
      <c r="AF117" s="914"/>
      <c r="AG117" s="909"/>
      <c r="AH117" s="449" t="s">
        <v>856</v>
      </c>
      <c r="AI117" s="909"/>
      <c r="AJ117" s="448">
        <f t="shared" ref="AJ117:AJ121" si="80">+R117-AB117</f>
        <v>0</v>
      </c>
      <c r="AK117" s="909"/>
      <c r="AL117" s="448">
        <f t="shared" ref="AL117:AL121" si="81">+T117-AD117</f>
        <v>-65329696.454042956</v>
      </c>
      <c r="AM117" s="909"/>
      <c r="AN117" s="448">
        <f t="shared" ref="AN117:AN121" si="82">+V117-AF117</f>
        <v>0</v>
      </c>
      <c r="AO117" s="909"/>
      <c r="AP117" s="909">
        <f t="shared" ref="AP117:AP121" si="83">SUM(AJ117:AN117)</f>
        <v>-65329696.454042956</v>
      </c>
      <c r="AR117" s="914"/>
      <c r="AS117" s="909"/>
      <c r="AT117" s="914">
        <v>-1951292.9188642495</v>
      </c>
      <c r="AU117" s="909"/>
      <c r="AV117" s="914"/>
      <c r="AW117" s="909"/>
      <c r="AX117" s="448">
        <f>+AJ117-AR117</f>
        <v>0</v>
      </c>
      <c r="AY117" s="909"/>
      <c r="AZ117" s="448">
        <f>+AL117-AT117</f>
        <v>-63378403.535178706</v>
      </c>
      <c r="BA117" s="909"/>
      <c r="BB117" s="448">
        <f>+AN117-AV117</f>
        <v>0</v>
      </c>
      <c r="BC117" s="909"/>
      <c r="BD117" s="909">
        <f>SUM(AX117:BB117)</f>
        <v>-63378403.535178706</v>
      </c>
      <c r="BF117" s="909">
        <f>+BD117*$BF$10</f>
        <v>-88005514.764940619</v>
      </c>
      <c r="BI117" s="437">
        <f t="shared" si="78"/>
        <v>601</v>
      </c>
    </row>
    <row r="118" spans="1:61" ht="15">
      <c r="A118" s="437">
        <f t="shared" si="79"/>
        <v>602</v>
      </c>
      <c r="B118" s="913" t="s">
        <v>1770</v>
      </c>
      <c r="F118" s="918" t="s">
        <v>1524</v>
      </c>
      <c r="H118" s="914">
        <v>103473040</v>
      </c>
      <c r="J118" s="914">
        <v>36215564</v>
      </c>
      <c r="K118" s="909"/>
      <c r="L118" s="914">
        <v>21729338.98902658</v>
      </c>
      <c r="M118" s="909"/>
      <c r="N118" s="914">
        <v>14486225.01097342</v>
      </c>
      <c r="P118" s="918" t="s">
        <v>845</v>
      </c>
      <c r="R118" s="909">
        <v>0</v>
      </c>
      <c r="S118" s="909"/>
      <c r="T118" s="909">
        <f>+N118</f>
        <v>14486225.01097342</v>
      </c>
      <c r="U118" s="909"/>
      <c r="V118" s="909">
        <v>0</v>
      </c>
      <c r="W118" s="909"/>
      <c r="X118" s="909">
        <f t="shared" ref="X118:X121" si="84">SUM(R118:V118)</f>
        <v>14486225.01097342</v>
      </c>
      <c r="Y118" s="909"/>
      <c r="Z118" s="449" t="s">
        <v>1534</v>
      </c>
      <c r="AA118" s="909"/>
      <c r="AB118" s="914"/>
      <c r="AC118" s="909"/>
      <c r="AD118" s="914">
        <v>1070776.4401242039</v>
      </c>
      <c r="AE118" s="909"/>
      <c r="AF118" s="914"/>
      <c r="AG118" s="909"/>
      <c r="AH118" s="449" t="s">
        <v>856</v>
      </c>
      <c r="AI118" s="909"/>
      <c r="AJ118" s="448">
        <f t="shared" si="80"/>
        <v>0</v>
      </c>
      <c r="AK118" s="909"/>
      <c r="AL118" s="448">
        <f t="shared" si="81"/>
        <v>13415448.570849216</v>
      </c>
      <c r="AM118" s="909"/>
      <c r="AN118" s="448">
        <f t="shared" si="82"/>
        <v>0</v>
      </c>
      <c r="AO118" s="909"/>
      <c r="AP118" s="909">
        <f t="shared" si="83"/>
        <v>13415448.570849216</v>
      </c>
      <c r="AR118" s="914"/>
      <c r="AS118" s="909"/>
      <c r="AT118" s="914">
        <v>400697.86361399188</v>
      </c>
      <c r="AU118" s="909"/>
      <c r="AV118" s="914"/>
      <c r="AW118" s="909"/>
      <c r="AX118" s="448">
        <f>+AJ118-AR118</f>
        <v>0</v>
      </c>
      <c r="AY118" s="909"/>
      <c r="AZ118" s="448">
        <f>+AL118-AT118</f>
        <v>13014750.707235225</v>
      </c>
      <c r="BA118" s="909"/>
      <c r="BB118" s="448">
        <f>+AN118-AV118</f>
        <v>0</v>
      </c>
      <c r="BC118" s="909"/>
      <c r="BD118" s="909">
        <f t="shared" ref="BD118:BD121" si="85">SUM(AX118:BB118)</f>
        <v>13014750.707235225</v>
      </c>
      <c r="BF118" s="909">
        <f>+BD118*$BF$10</f>
        <v>18071926.26573284</v>
      </c>
      <c r="BI118" s="437">
        <f t="shared" si="78"/>
        <v>602</v>
      </c>
    </row>
    <row r="119" spans="1:61" ht="15">
      <c r="A119" s="437">
        <f t="shared" si="79"/>
        <v>603</v>
      </c>
      <c r="B119" s="913" t="s">
        <v>1771</v>
      </c>
      <c r="F119" s="918" t="s">
        <v>1524</v>
      </c>
      <c r="H119" s="914">
        <v>0</v>
      </c>
      <c r="J119" s="914">
        <v>0</v>
      </c>
      <c r="K119" s="909"/>
      <c r="L119" s="914">
        <v>0</v>
      </c>
      <c r="M119" s="909"/>
      <c r="N119" s="914">
        <v>0</v>
      </c>
      <c r="P119" s="918" t="s">
        <v>845</v>
      </c>
      <c r="R119" s="909">
        <f t="shared" ref="R119:R120" si="86">+N119</f>
        <v>0</v>
      </c>
      <c r="S119" s="909"/>
      <c r="T119" s="909">
        <v>0</v>
      </c>
      <c r="U119" s="909"/>
      <c r="V119" s="909">
        <v>0</v>
      </c>
      <c r="W119" s="909"/>
      <c r="X119" s="909">
        <f t="shared" si="84"/>
        <v>0</v>
      </c>
      <c r="Y119" s="909"/>
      <c r="Z119" s="449"/>
      <c r="AA119" s="909"/>
      <c r="AB119" s="914"/>
      <c r="AC119" s="909"/>
      <c r="AD119" s="914">
        <v>0</v>
      </c>
      <c r="AE119" s="909"/>
      <c r="AF119" s="914"/>
      <c r="AG119" s="909"/>
      <c r="AH119" s="449"/>
      <c r="AI119" s="909"/>
      <c r="AJ119" s="448">
        <f t="shared" si="80"/>
        <v>0</v>
      </c>
      <c r="AK119" s="909"/>
      <c r="AL119" s="448">
        <f t="shared" si="81"/>
        <v>0</v>
      </c>
      <c r="AM119" s="909"/>
      <c r="AN119" s="448">
        <f t="shared" si="82"/>
        <v>0</v>
      </c>
      <c r="AO119" s="909"/>
      <c r="AP119" s="909">
        <f t="shared" si="83"/>
        <v>0</v>
      </c>
      <c r="AR119" s="914"/>
      <c r="AS119" s="909"/>
      <c r="AT119" s="914">
        <v>0</v>
      </c>
      <c r="AU119" s="909"/>
      <c r="AV119" s="914"/>
      <c r="AW119" s="909"/>
      <c r="AX119" s="448">
        <f>+AJ119-AR119</f>
        <v>0</v>
      </c>
      <c r="AY119" s="909"/>
      <c r="AZ119" s="448">
        <f>+AL119-AT119</f>
        <v>0</v>
      </c>
      <c r="BA119" s="909"/>
      <c r="BB119" s="448">
        <f>+AN119-AV119</f>
        <v>0</v>
      </c>
      <c r="BC119" s="909"/>
      <c r="BD119" s="909">
        <f t="shared" si="85"/>
        <v>0</v>
      </c>
      <c r="BF119" s="909">
        <f>+N119*$BF$10</f>
        <v>0</v>
      </c>
      <c r="BI119" s="437">
        <f t="shared" si="78"/>
        <v>603</v>
      </c>
    </row>
    <row r="120" spans="1:61" ht="15">
      <c r="A120" s="437">
        <f t="shared" si="79"/>
        <v>604</v>
      </c>
      <c r="B120" s="915" t="s">
        <v>370</v>
      </c>
      <c r="F120" s="910"/>
      <c r="H120" s="914"/>
      <c r="J120" s="914">
        <v>0</v>
      </c>
      <c r="K120" s="909"/>
      <c r="L120" s="914">
        <v>0</v>
      </c>
      <c r="M120" s="909"/>
      <c r="N120" s="914">
        <v>0</v>
      </c>
      <c r="P120" s="918"/>
      <c r="R120" s="909">
        <f t="shared" si="86"/>
        <v>0</v>
      </c>
      <c r="S120" s="909"/>
      <c r="T120" s="909">
        <v>0</v>
      </c>
      <c r="U120" s="909"/>
      <c r="V120" s="909">
        <v>0</v>
      </c>
      <c r="W120" s="909"/>
      <c r="X120" s="909">
        <f t="shared" si="84"/>
        <v>0</v>
      </c>
      <c r="Y120" s="909"/>
      <c r="Z120" s="449"/>
      <c r="AA120" s="909"/>
      <c r="AB120" s="914"/>
      <c r="AC120" s="909"/>
      <c r="AD120" s="914"/>
      <c r="AE120" s="909"/>
      <c r="AF120" s="914"/>
      <c r="AG120" s="909"/>
      <c r="AH120" s="909"/>
      <c r="AI120" s="909"/>
      <c r="AJ120" s="448">
        <f t="shared" si="80"/>
        <v>0</v>
      </c>
      <c r="AK120" s="909"/>
      <c r="AL120" s="448">
        <f t="shared" si="81"/>
        <v>0</v>
      </c>
      <c r="AM120" s="909"/>
      <c r="AN120" s="448">
        <f t="shared" si="82"/>
        <v>0</v>
      </c>
      <c r="AO120" s="909"/>
      <c r="AP120" s="909">
        <f t="shared" si="83"/>
        <v>0</v>
      </c>
      <c r="AR120" s="914"/>
      <c r="AS120" s="909"/>
      <c r="AT120" s="914"/>
      <c r="AU120" s="909"/>
      <c r="AV120" s="914"/>
      <c r="AW120" s="909"/>
      <c r="AX120" s="448">
        <f>+AJ120-AR120</f>
        <v>0</v>
      </c>
      <c r="AY120" s="909"/>
      <c r="AZ120" s="448">
        <f>+AL120-AT120</f>
        <v>0</v>
      </c>
      <c r="BA120" s="909"/>
      <c r="BB120" s="448">
        <f>+AN120-AV120</f>
        <v>0</v>
      </c>
      <c r="BC120" s="909"/>
      <c r="BD120" s="909">
        <f t="shared" si="85"/>
        <v>0</v>
      </c>
      <c r="BF120" s="909">
        <f>+N119*$BF$10</f>
        <v>0</v>
      </c>
      <c r="BI120" s="437">
        <f t="shared" si="78"/>
        <v>604</v>
      </c>
    </row>
    <row r="121" spans="1:61" ht="15">
      <c r="A121" s="437">
        <f>+A120+1</f>
        <v>605</v>
      </c>
      <c r="B121" s="915" t="s">
        <v>370</v>
      </c>
      <c r="F121" s="910"/>
      <c r="H121" s="914"/>
      <c r="J121" s="914">
        <v>0</v>
      </c>
      <c r="K121" s="909"/>
      <c r="L121" s="914">
        <v>0</v>
      </c>
      <c r="M121" s="909"/>
      <c r="N121" s="914">
        <v>0</v>
      </c>
      <c r="P121" s="910"/>
      <c r="R121" s="909">
        <v>0</v>
      </c>
      <c r="S121" s="909"/>
      <c r="T121" s="909">
        <v>0</v>
      </c>
      <c r="U121" s="909"/>
      <c r="V121" s="909">
        <v>0</v>
      </c>
      <c r="W121" s="909"/>
      <c r="X121" s="909">
        <f t="shared" si="84"/>
        <v>0</v>
      </c>
      <c r="Y121" s="909"/>
      <c r="Z121" s="449"/>
      <c r="AA121" s="909"/>
      <c r="AB121" s="914"/>
      <c r="AC121" s="909"/>
      <c r="AD121" s="914"/>
      <c r="AE121" s="909"/>
      <c r="AF121" s="914"/>
      <c r="AG121" s="909"/>
      <c r="AH121" s="909"/>
      <c r="AI121" s="909"/>
      <c r="AJ121" s="448">
        <f t="shared" si="80"/>
        <v>0</v>
      </c>
      <c r="AK121" s="909"/>
      <c r="AL121" s="448">
        <f t="shared" si="81"/>
        <v>0</v>
      </c>
      <c r="AM121" s="909"/>
      <c r="AN121" s="448">
        <f t="shared" si="82"/>
        <v>0</v>
      </c>
      <c r="AO121" s="909"/>
      <c r="AP121" s="909">
        <f t="shared" si="83"/>
        <v>0</v>
      </c>
      <c r="AR121" s="914"/>
      <c r="AS121" s="909"/>
      <c r="AT121" s="914"/>
      <c r="AU121" s="909"/>
      <c r="AV121" s="914"/>
      <c r="AW121" s="909"/>
      <c r="AX121" s="448">
        <f>+AJ121-AR121</f>
        <v>0</v>
      </c>
      <c r="AY121" s="909"/>
      <c r="AZ121" s="448">
        <f>+AL121-AT121</f>
        <v>0</v>
      </c>
      <c r="BA121" s="909"/>
      <c r="BB121" s="448">
        <f>+AN121-AV121</f>
        <v>0</v>
      </c>
      <c r="BC121" s="909"/>
      <c r="BD121" s="909">
        <f t="shared" si="85"/>
        <v>0</v>
      </c>
      <c r="BF121" s="909">
        <f>+N120*$BF$10</f>
        <v>0</v>
      </c>
      <c r="BI121" s="437">
        <f t="shared" si="78"/>
        <v>605</v>
      </c>
    </row>
    <row r="122" spans="1:61" ht="15">
      <c r="A122" s="437"/>
      <c r="B122" s="784"/>
      <c r="H122" s="909"/>
      <c r="J122" s="909"/>
      <c r="K122" s="909"/>
      <c r="L122" s="909"/>
      <c r="M122" s="909"/>
      <c r="N122" s="909"/>
      <c r="R122" s="909"/>
      <c r="S122" s="909"/>
      <c r="T122" s="909"/>
      <c r="U122" s="909"/>
      <c r="V122" s="909"/>
      <c r="W122" s="909"/>
      <c r="X122" s="909"/>
      <c r="Y122" s="909"/>
      <c r="Z122" s="449"/>
      <c r="AA122" s="909"/>
      <c r="AB122" s="909"/>
      <c r="AC122" s="909"/>
      <c r="AD122" s="909"/>
      <c r="AE122" s="909"/>
      <c r="AF122" s="909"/>
      <c r="AG122" s="909"/>
      <c r="AH122" s="909"/>
      <c r="AI122" s="909"/>
      <c r="AJ122" s="448"/>
      <c r="AK122" s="909"/>
      <c r="AL122" s="448"/>
      <c r="AM122" s="909"/>
      <c r="AN122" s="448"/>
      <c r="AO122" s="909"/>
      <c r="AP122" s="909"/>
      <c r="AR122" s="909"/>
      <c r="AS122" s="909"/>
      <c r="AT122" s="909"/>
      <c r="AU122" s="909"/>
      <c r="AV122" s="909"/>
      <c r="AW122" s="909"/>
      <c r="AX122" s="448"/>
      <c r="AY122" s="909"/>
      <c r="AZ122" s="448"/>
      <c r="BA122" s="909"/>
      <c r="BB122" s="448"/>
      <c r="BC122" s="909"/>
      <c r="BD122" s="909"/>
      <c r="BI122" s="437"/>
    </row>
    <row r="123" spans="1:61" ht="15">
      <c r="A123" s="437"/>
      <c r="B123" s="784"/>
      <c r="H123" s="909"/>
      <c r="J123" s="909"/>
      <c r="K123" s="909"/>
      <c r="L123" s="909"/>
      <c r="M123" s="909"/>
      <c r="N123" s="909"/>
      <c r="R123" s="909"/>
      <c r="S123" s="909"/>
      <c r="T123" s="909"/>
      <c r="U123" s="909"/>
      <c r="V123" s="909"/>
      <c r="W123" s="909"/>
      <c r="X123" s="909"/>
      <c r="Y123" s="909"/>
      <c r="Z123" s="449"/>
      <c r="AA123" s="909"/>
      <c r="AB123" s="909"/>
      <c r="AC123" s="909"/>
      <c r="AD123" s="909"/>
      <c r="AE123" s="909"/>
      <c r="AF123" s="909"/>
      <c r="AG123" s="909"/>
      <c r="AH123" s="909"/>
      <c r="AI123" s="909"/>
      <c r="AJ123" s="448"/>
      <c r="AK123" s="909"/>
      <c r="AL123" s="448"/>
      <c r="AM123" s="909"/>
      <c r="AN123" s="448"/>
      <c r="AO123" s="909"/>
      <c r="AP123" s="909"/>
      <c r="AR123" s="909"/>
      <c r="AS123" s="909"/>
      <c r="AT123" s="909"/>
      <c r="AU123" s="909"/>
      <c r="AV123" s="909"/>
      <c r="AW123" s="909"/>
      <c r="AX123" s="448"/>
      <c r="AY123" s="909"/>
      <c r="AZ123" s="448"/>
      <c r="BA123" s="909"/>
      <c r="BB123" s="448"/>
      <c r="BC123" s="909"/>
      <c r="BD123" s="909"/>
      <c r="BI123" s="437"/>
    </row>
    <row r="124" spans="1:61">
      <c r="A124" s="831" t="s">
        <v>87</v>
      </c>
      <c r="B124" s="988" t="s">
        <v>1536</v>
      </c>
      <c r="C124" s="988"/>
      <c r="D124" s="988"/>
      <c r="E124" s="988"/>
      <c r="F124" s="988"/>
      <c r="G124" s="988"/>
      <c r="H124" s="988"/>
      <c r="I124" s="988"/>
      <c r="J124" s="988"/>
      <c r="K124" s="988"/>
      <c r="L124" s="988"/>
      <c r="Z124" s="896"/>
    </row>
    <row r="125" spans="1:61">
      <c r="A125" s="831" t="s">
        <v>1523</v>
      </c>
      <c r="B125" s="988" t="s">
        <v>1537</v>
      </c>
      <c r="C125" s="988"/>
      <c r="D125" s="988"/>
      <c r="E125" s="922"/>
      <c r="F125" s="922"/>
      <c r="G125" s="922"/>
      <c r="H125" s="922"/>
      <c r="I125" s="922"/>
      <c r="J125" s="922"/>
      <c r="K125" s="922"/>
      <c r="L125" s="922"/>
      <c r="Z125" s="896"/>
    </row>
    <row r="126" spans="1:61">
      <c r="A126" s="831" t="s">
        <v>1525</v>
      </c>
      <c r="B126" s="988" t="s">
        <v>1538</v>
      </c>
      <c r="C126" s="988"/>
      <c r="D126" s="988"/>
      <c r="E126" s="922"/>
      <c r="F126" s="922"/>
      <c r="G126" s="922"/>
      <c r="H126" s="922"/>
      <c r="I126" s="922"/>
      <c r="J126" s="922"/>
      <c r="K126" s="922"/>
      <c r="L126" s="922"/>
      <c r="Z126" s="896"/>
    </row>
    <row r="127" spans="1:61">
      <c r="A127" s="831" t="s">
        <v>1526</v>
      </c>
      <c r="B127" s="988" t="s">
        <v>1539</v>
      </c>
      <c r="C127" s="988"/>
      <c r="D127" s="988"/>
      <c r="E127" s="922"/>
      <c r="F127" s="922"/>
      <c r="G127" s="922"/>
      <c r="H127" s="922"/>
      <c r="I127" s="922"/>
      <c r="J127" s="922"/>
      <c r="K127" s="922"/>
      <c r="L127" s="922"/>
      <c r="Z127" s="896"/>
    </row>
    <row r="128" spans="1:61">
      <c r="A128" s="831" t="s">
        <v>1528</v>
      </c>
      <c r="B128" s="988" t="s">
        <v>1540</v>
      </c>
      <c r="C128" s="988"/>
      <c r="D128" s="988"/>
      <c r="E128" s="922"/>
      <c r="F128" s="922"/>
      <c r="G128" s="922"/>
      <c r="H128" s="922"/>
      <c r="I128" s="922"/>
      <c r="J128" s="922"/>
      <c r="K128" s="922"/>
      <c r="L128" s="922"/>
    </row>
    <row r="129" spans="1:12">
      <c r="A129" s="831" t="s">
        <v>1532</v>
      </c>
      <c r="B129" s="988" t="s">
        <v>1541</v>
      </c>
      <c r="C129" s="988"/>
      <c r="D129" s="988"/>
      <c r="E129" s="922"/>
      <c r="F129" s="922"/>
      <c r="G129" s="922"/>
      <c r="H129" s="922"/>
      <c r="I129" s="922"/>
      <c r="J129" s="922"/>
      <c r="K129" s="922"/>
      <c r="L129" s="922"/>
    </row>
    <row r="130" spans="1:12">
      <c r="A130" s="831" t="s">
        <v>1519</v>
      </c>
      <c r="B130" s="988" t="s">
        <v>1542</v>
      </c>
      <c r="C130" s="988"/>
      <c r="D130" s="988"/>
      <c r="E130" s="922"/>
      <c r="F130" s="922"/>
      <c r="G130" s="922"/>
      <c r="H130" s="922"/>
      <c r="I130" s="922"/>
      <c r="J130" s="922"/>
      <c r="K130" s="922"/>
      <c r="L130" s="922"/>
    </row>
    <row r="131" spans="1:12">
      <c r="A131" s="831" t="s">
        <v>1543</v>
      </c>
      <c r="B131" s="988" t="s">
        <v>1544</v>
      </c>
      <c r="C131" s="988"/>
      <c r="D131" s="988"/>
      <c r="E131" s="922"/>
      <c r="F131" s="922"/>
      <c r="G131" s="922"/>
      <c r="H131" s="922"/>
      <c r="I131" s="922"/>
      <c r="J131" s="922"/>
      <c r="K131" s="922"/>
      <c r="L131" s="922"/>
    </row>
    <row r="132" spans="1:12" ht="12.75" customHeight="1">
      <c r="A132" s="831" t="s">
        <v>1520</v>
      </c>
      <c r="B132" s="988" t="s">
        <v>1611</v>
      </c>
      <c r="C132" s="988"/>
      <c r="D132" s="988"/>
      <c r="E132" s="988"/>
      <c r="F132" s="988"/>
      <c r="G132" s="988"/>
      <c r="H132" s="988"/>
      <c r="I132" s="988"/>
      <c r="J132" s="988"/>
      <c r="K132" s="922"/>
      <c r="L132" s="922"/>
    </row>
    <row r="133" spans="1:12">
      <c r="A133" s="831" t="s">
        <v>1546</v>
      </c>
      <c r="B133" s="832" t="s">
        <v>1547</v>
      </c>
      <c r="C133" s="832"/>
      <c r="D133" s="832"/>
      <c r="E133" s="922"/>
      <c r="F133" s="922"/>
      <c r="G133" s="922"/>
      <c r="H133" s="922"/>
      <c r="I133" s="922"/>
      <c r="J133" s="922"/>
      <c r="K133" s="922"/>
      <c r="L133" s="922"/>
    </row>
  </sheetData>
  <mergeCells count="18">
    <mergeCell ref="B131:D131"/>
    <mergeCell ref="B132:J132"/>
    <mergeCell ref="B126:D126"/>
    <mergeCell ref="B127:D127"/>
    <mergeCell ref="B128:D128"/>
    <mergeCell ref="B129:D129"/>
    <mergeCell ref="B130:D130"/>
    <mergeCell ref="R7:X7"/>
    <mergeCell ref="AJ7:AP7"/>
    <mergeCell ref="AX7:BD7"/>
    <mergeCell ref="B124:L124"/>
    <mergeCell ref="B125:D125"/>
    <mergeCell ref="J4:N4"/>
    <mergeCell ref="R4:V4"/>
    <mergeCell ref="AJ4:AN4"/>
    <mergeCell ref="AX4:BB4"/>
    <mergeCell ref="AB6:AF6"/>
    <mergeCell ref="AR6:AV6"/>
  </mergeCells>
  <phoneticPr fontId="104" type="noConversion"/>
  <printOptions horizontalCentered="1"/>
  <pageMargins left="1" right="1" top="1" bottom="1" header="0.5" footer="0.5"/>
  <pageSetup scale="33" fitToWidth="0" orientation="portrait" r:id="rId1"/>
  <headerFooter>
    <oddHeader>&amp;C&amp;"-,Bold"Pacific Gas and Electric Company
Formula Rate Model
Schedule 17-RegAssets-2</oddHeader>
  </headerFooter>
  <colBreaks count="2" manualBreakCount="2">
    <brk id="25" max="142" man="1"/>
    <brk id="43" max="142" man="1"/>
  </colBreaks>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C332-EE45-4FD9-9890-9172B781A573}">
  <dimension ref="A1:BI132"/>
  <sheetViews>
    <sheetView view="pageBreakPreview" topLeftCell="B55" zoomScale="60" zoomScaleNormal="55" zoomScalePageLayoutView="70" workbookViewId="0">
      <selection activeCell="G13" sqref="G13"/>
    </sheetView>
  </sheetViews>
  <sheetFormatPr defaultColWidth="9.140625" defaultRowHeight="12.75"/>
  <cols>
    <col min="1" max="1" width="7.5703125" style="894" bestFit="1" customWidth="1"/>
    <col min="2" max="2" width="44.5703125" style="894" customWidth="1"/>
    <col min="3" max="3" width="29.85546875" style="894" customWidth="1"/>
    <col min="4" max="4" width="38.85546875" style="894" customWidth="1"/>
    <col min="5" max="5" width="1.7109375" style="894" customWidth="1"/>
    <col min="6" max="6" width="21" style="894" bestFit="1" customWidth="1"/>
    <col min="7" max="7" width="2.28515625" style="894" customWidth="1"/>
    <col min="8" max="8" width="18.5703125" style="894" bestFit="1" customWidth="1"/>
    <col min="9" max="9" width="1.85546875" style="894" customWidth="1"/>
    <col min="10" max="10" width="19.140625" style="894" customWidth="1"/>
    <col min="11" max="11" width="1.7109375" style="894" customWidth="1"/>
    <col min="12" max="12" width="20.42578125" style="894" bestFit="1" customWidth="1"/>
    <col min="13" max="13" width="1.7109375" style="894" customWidth="1"/>
    <col min="14" max="14" width="23.28515625" style="894" customWidth="1"/>
    <col min="15" max="15" width="1.7109375" style="894" customWidth="1"/>
    <col min="16" max="16" width="22.140625" style="894" customWidth="1"/>
    <col min="17" max="17" width="1.7109375" style="894" customWidth="1"/>
    <col min="18" max="18" width="21" style="894" customWidth="1"/>
    <col min="19" max="19" width="1.7109375" style="894" customWidth="1"/>
    <col min="20" max="20" width="20.42578125" style="894" customWidth="1"/>
    <col min="21" max="21" width="1.7109375" style="894" customWidth="1"/>
    <col min="22" max="22" width="21.28515625" style="894" customWidth="1"/>
    <col min="23" max="23" width="1.7109375" style="894" customWidth="1"/>
    <col min="24" max="24" width="22.42578125" style="894" customWidth="1"/>
    <col min="25" max="25" width="1.7109375" style="894" customWidth="1"/>
    <col min="26" max="26" width="25.85546875" style="894" bestFit="1" customWidth="1"/>
    <col min="27" max="27" width="1.7109375" style="894" customWidth="1"/>
    <col min="28" max="28" width="17.28515625" style="894" customWidth="1"/>
    <col min="29" max="29" width="1.7109375" style="894" customWidth="1"/>
    <col min="30" max="30" width="17.28515625" style="894" customWidth="1"/>
    <col min="31" max="31" width="1.7109375" style="894" customWidth="1"/>
    <col min="32" max="32" width="17.28515625" style="894" customWidth="1"/>
    <col min="33" max="33" width="1.7109375" style="894" customWidth="1"/>
    <col min="34" max="34" width="21.85546875" style="894" bestFit="1" customWidth="1"/>
    <col min="35" max="35" width="1.7109375" style="894" customWidth="1"/>
    <col min="36" max="36" width="21.85546875" style="894" customWidth="1"/>
    <col min="37" max="37" width="1.7109375" style="894" customWidth="1"/>
    <col min="38" max="38" width="21.85546875" style="894" customWidth="1"/>
    <col min="39" max="39" width="1.7109375" style="894" customWidth="1"/>
    <col min="40" max="40" width="21.85546875" style="894" customWidth="1"/>
    <col min="41" max="41" width="1.7109375" style="894" customWidth="1"/>
    <col min="42" max="42" width="21.85546875" style="894" customWidth="1"/>
    <col min="43" max="43" width="1.7109375" style="894" customWidth="1"/>
    <col min="44" max="44" width="17.28515625" style="894" customWidth="1"/>
    <col min="45" max="45" width="1.7109375" style="894" customWidth="1"/>
    <col min="46" max="46" width="17.28515625" style="894" customWidth="1"/>
    <col min="47" max="47" width="1.7109375" style="894" customWidth="1"/>
    <col min="48" max="48" width="17.28515625" style="894" customWidth="1"/>
    <col min="49" max="49" width="1.7109375" style="894" customWidth="1"/>
    <col min="50" max="50" width="30.140625" style="894" customWidth="1"/>
    <col min="51" max="51" width="1.7109375" style="894" customWidth="1"/>
    <col min="52" max="52" width="27.85546875" style="894" customWidth="1"/>
    <col min="53" max="53" width="1.7109375" style="894" customWidth="1"/>
    <col min="54" max="54" width="27.85546875" style="894" customWidth="1"/>
    <col min="55" max="55" width="1.7109375" style="894" customWidth="1"/>
    <col min="56" max="56" width="25.28515625" style="894" customWidth="1"/>
    <col min="57" max="57" width="1.7109375" style="894" customWidth="1"/>
    <col min="58" max="58" width="25.5703125" style="908" customWidth="1"/>
    <col min="59" max="59" width="1.7109375" style="894" customWidth="1"/>
    <col min="60" max="60" width="22.7109375" style="894" bestFit="1" customWidth="1"/>
    <col min="61" max="61" width="7.5703125" style="894" bestFit="1" customWidth="1"/>
    <col min="62" max="16384" width="9.140625" style="894"/>
  </cols>
  <sheetData>
    <row r="1" spans="1:61" ht="15">
      <c r="B1" s="78" t="s">
        <v>1507</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895" t="str">
        <f>CONCATENATE("Prior Year: ",'1-DRR'!$K$2)</f>
        <v>Prior Year: 2021</v>
      </c>
    </row>
    <row r="2" spans="1:61" ht="15">
      <c r="A2" s="78"/>
      <c r="B2" s="453" t="s">
        <v>122</v>
      </c>
      <c r="C2" s="453"/>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row>
    <row r="3" spans="1:61" ht="15">
      <c r="A3" s="410"/>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0"/>
      <c r="AZ3" s="410"/>
      <c r="BA3" s="410"/>
      <c r="BB3" s="410"/>
      <c r="BC3" s="410"/>
      <c r="BD3" s="410"/>
      <c r="BE3" s="410"/>
      <c r="BF3" s="410"/>
      <c r="BG3" s="410"/>
      <c r="BH3" s="410"/>
    </row>
    <row r="4" spans="1:61" ht="12" customHeight="1">
      <c r="J4" s="985" t="s">
        <v>802</v>
      </c>
      <c r="K4" s="985"/>
      <c r="L4" s="985"/>
      <c r="M4" s="985"/>
      <c r="N4" s="985"/>
      <c r="O4" s="896"/>
      <c r="P4" s="897" t="s">
        <v>803</v>
      </c>
      <c r="R4" s="985" t="s">
        <v>804</v>
      </c>
      <c r="S4" s="985"/>
      <c r="T4" s="985"/>
      <c r="U4" s="985"/>
      <c r="V4" s="985"/>
      <c r="Z4" s="898" t="s">
        <v>805</v>
      </c>
      <c r="AH4" s="897" t="s">
        <v>806</v>
      </c>
      <c r="AI4" s="896"/>
      <c r="AJ4" s="985" t="s">
        <v>804</v>
      </c>
      <c r="AK4" s="985"/>
      <c r="AL4" s="985"/>
      <c r="AM4" s="985"/>
      <c r="AN4" s="985"/>
      <c r="AO4" s="896"/>
      <c r="AP4" s="896"/>
      <c r="AX4" s="985" t="s">
        <v>804</v>
      </c>
      <c r="AY4" s="985"/>
      <c r="AZ4" s="985"/>
      <c r="BA4" s="985"/>
      <c r="BB4" s="985"/>
      <c r="BC4" s="896"/>
      <c r="BD4" s="896"/>
      <c r="BF4" s="901"/>
    </row>
    <row r="5" spans="1:61" ht="21" customHeight="1">
      <c r="A5" s="900"/>
      <c r="B5" s="900"/>
      <c r="C5" s="900"/>
      <c r="D5" s="900"/>
      <c r="E5" s="900"/>
      <c r="F5" s="784"/>
      <c r="G5" s="900"/>
      <c r="H5" s="436" t="s">
        <v>1508</v>
      </c>
      <c r="I5" s="900"/>
      <c r="J5" s="436" t="s">
        <v>62</v>
      </c>
      <c r="K5" s="436"/>
      <c r="L5" s="436" t="s">
        <v>63</v>
      </c>
      <c r="M5" s="436"/>
      <c r="N5" s="436" t="s">
        <v>64</v>
      </c>
      <c r="O5" s="436"/>
      <c r="P5" s="436" t="s">
        <v>65</v>
      </c>
      <c r="Q5" s="436"/>
      <c r="R5" s="436" t="s">
        <v>66</v>
      </c>
      <c r="S5" s="436"/>
      <c r="T5" s="436" t="s">
        <v>67</v>
      </c>
      <c r="U5" s="436"/>
      <c r="V5" s="436" t="s">
        <v>68</v>
      </c>
      <c r="W5" s="436"/>
      <c r="X5" s="436" t="s">
        <v>69</v>
      </c>
      <c r="Y5" s="436"/>
      <c r="Z5" s="436" t="s">
        <v>70</v>
      </c>
      <c r="AA5" s="437"/>
      <c r="AB5" s="437" t="s">
        <v>141</v>
      </c>
      <c r="AC5" s="437"/>
      <c r="AD5" s="437" t="s">
        <v>142</v>
      </c>
      <c r="AE5" s="437"/>
      <c r="AF5" s="437" t="s">
        <v>143</v>
      </c>
      <c r="AG5" s="437"/>
      <c r="AH5" s="785" t="s">
        <v>144</v>
      </c>
      <c r="AI5" s="437"/>
      <c r="AJ5" s="437" t="s">
        <v>145</v>
      </c>
      <c r="AK5" s="437"/>
      <c r="AL5" s="437" t="s">
        <v>452</v>
      </c>
      <c r="AM5" s="437"/>
      <c r="AN5" s="437" t="s">
        <v>807</v>
      </c>
      <c r="AO5" s="437"/>
      <c r="AP5" s="437" t="s">
        <v>808</v>
      </c>
      <c r="AQ5" s="437"/>
      <c r="AR5" s="437" t="s">
        <v>865</v>
      </c>
      <c r="AS5" s="437"/>
      <c r="AT5" s="437" t="s">
        <v>866</v>
      </c>
      <c r="AU5" s="437"/>
      <c r="AV5" s="437" t="s">
        <v>867</v>
      </c>
      <c r="AW5" s="437"/>
      <c r="AX5" s="437" t="s">
        <v>868</v>
      </c>
      <c r="AY5" s="437"/>
      <c r="AZ5" s="437" t="s">
        <v>869</v>
      </c>
      <c r="BA5" s="437"/>
      <c r="BB5" s="437" t="s">
        <v>870</v>
      </c>
      <c r="BC5" s="437"/>
      <c r="BD5" s="437" t="s">
        <v>871</v>
      </c>
      <c r="BE5" s="437"/>
      <c r="BF5" s="436" t="s">
        <v>1130</v>
      </c>
      <c r="BG5" s="437"/>
      <c r="BH5" s="900"/>
      <c r="BI5" s="900"/>
    </row>
    <row r="6" spans="1:61" ht="51.75" customHeight="1">
      <c r="A6" s="900"/>
      <c r="B6" s="900"/>
      <c r="C6" s="900"/>
      <c r="D6" s="900"/>
      <c r="E6" s="900"/>
      <c r="F6" s="784"/>
      <c r="G6" s="900"/>
      <c r="H6" s="437"/>
      <c r="I6" s="900"/>
      <c r="J6" s="437"/>
      <c r="K6" s="437"/>
      <c r="L6" s="437"/>
      <c r="M6" s="437"/>
      <c r="N6" s="437" t="s">
        <v>566</v>
      </c>
      <c r="O6" s="437"/>
      <c r="P6" s="437"/>
      <c r="Q6" s="437"/>
      <c r="R6" s="436"/>
      <c r="S6" s="436"/>
      <c r="T6" s="436"/>
      <c r="U6" s="436"/>
      <c r="V6" s="436"/>
      <c r="W6" s="436"/>
      <c r="X6" s="436" t="s">
        <v>861</v>
      </c>
      <c r="Y6" s="437"/>
      <c r="Z6" s="437"/>
      <c r="AA6" s="437"/>
      <c r="AB6" s="986" t="s">
        <v>1509</v>
      </c>
      <c r="AC6" s="986"/>
      <c r="AD6" s="986"/>
      <c r="AE6" s="986"/>
      <c r="AF6" s="986"/>
      <c r="AG6" s="437"/>
      <c r="AH6" s="437"/>
      <c r="AI6" s="437"/>
      <c r="AJ6" s="437" t="s">
        <v>860</v>
      </c>
      <c r="AK6" s="437"/>
      <c r="AL6" s="437" t="s">
        <v>862</v>
      </c>
      <c r="AM6" s="437"/>
      <c r="AN6" s="437" t="s">
        <v>863</v>
      </c>
      <c r="AO6" s="437"/>
      <c r="AP6" s="437" t="s">
        <v>864</v>
      </c>
      <c r="AQ6" s="437"/>
      <c r="AR6" s="986" t="s">
        <v>1510</v>
      </c>
      <c r="AS6" s="986"/>
      <c r="AT6" s="986"/>
      <c r="AU6" s="986"/>
      <c r="AV6" s="986"/>
      <c r="AW6" s="437"/>
      <c r="AX6" s="437" t="s">
        <v>872</v>
      </c>
      <c r="AY6" s="437"/>
      <c r="AZ6" s="437" t="s">
        <v>873</v>
      </c>
      <c r="BA6" s="437"/>
      <c r="BB6" s="437" t="s">
        <v>874</v>
      </c>
      <c r="BC6" s="437"/>
      <c r="BD6" s="437" t="s">
        <v>875</v>
      </c>
      <c r="BE6" s="437"/>
      <c r="BF6" s="786" t="s">
        <v>1511</v>
      </c>
      <c r="BG6" s="437"/>
      <c r="BH6" s="900"/>
      <c r="BI6" s="900"/>
    </row>
    <row r="7" spans="1:61" ht="31.5" customHeight="1">
      <c r="B7" s="438"/>
      <c r="C7" s="438"/>
      <c r="D7" s="438"/>
      <c r="E7" s="438"/>
      <c r="F7" s="440" t="s">
        <v>1512</v>
      </c>
      <c r="G7" s="438"/>
      <c r="H7" s="439" t="s">
        <v>1513</v>
      </c>
      <c r="I7" s="438"/>
      <c r="J7" s="439" t="s">
        <v>809</v>
      </c>
      <c r="K7" s="438"/>
      <c r="L7" s="439" t="s">
        <v>810</v>
      </c>
      <c r="M7" s="438"/>
      <c r="N7" s="786" t="s">
        <v>1514</v>
      </c>
      <c r="O7" s="440"/>
      <c r="P7" s="440" t="s">
        <v>186</v>
      </c>
      <c r="Q7" s="438"/>
      <c r="R7" s="987" t="s">
        <v>1515</v>
      </c>
      <c r="S7" s="987"/>
      <c r="T7" s="987"/>
      <c r="U7" s="987"/>
      <c r="V7" s="987"/>
      <c r="W7" s="987"/>
      <c r="X7" s="987"/>
      <c r="Y7" s="439"/>
      <c r="Z7" s="439"/>
      <c r="AA7" s="439"/>
      <c r="AB7" s="439" t="s">
        <v>125</v>
      </c>
      <c r="AC7" s="439"/>
      <c r="AD7" s="439" t="s">
        <v>125</v>
      </c>
      <c r="AE7" s="439"/>
      <c r="AF7" s="439" t="s">
        <v>125</v>
      </c>
      <c r="AG7" s="439"/>
      <c r="AH7" s="439" t="s">
        <v>186</v>
      </c>
      <c r="AI7" s="439"/>
      <c r="AJ7" s="987" t="s">
        <v>1516</v>
      </c>
      <c r="AK7" s="987"/>
      <c r="AL7" s="987"/>
      <c r="AM7" s="987"/>
      <c r="AN7" s="987"/>
      <c r="AO7" s="987"/>
      <c r="AP7" s="987"/>
      <c r="AQ7" s="439"/>
      <c r="AR7" s="439" t="s">
        <v>125</v>
      </c>
      <c r="AS7" s="439"/>
      <c r="AT7" s="439" t="s">
        <v>125</v>
      </c>
      <c r="AU7" s="439"/>
      <c r="AV7" s="439" t="s">
        <v>125</v>
      </c>
      <c r="AW7" s="439"/>
      <c r="AX7" s="987" t="s">
        <v>1517</v>
      </c>
      <c r="AY7" s="987"/>
      <c r="AZ7" s="987"/>
      <c r="BA7" s="987"/>
      <c r="BB7" s="987"/>
      <c r="BC7" s="987"/>
      <c r="BD7" s="987"/>
      <c r="BE7" s="439"/>
      <c r="BF7" s="786" t="s">
        <v>1514</v>
      </c>
      <c r="BG7" s="439"/>
      <c r="BH7" s="438"/>
    </row>
    <row r="8" spans="1:61" ht="12.75" customHeight="1">
      <c r="B8" s="438"/>
      <c r="C8" s="438"/>
      <c r="D8" s="438"/>
      <c r="E8" s="438"/>
      <c r="F8" s="440" t="s">
        <v>811</v>
      </c>
      <c r="G8" s="438"/>
      <c r="H8" s="439" t="s">
        <v>1518</v>
      </c>
      <c r="I8" s="438"/>
      <c r="J8" s="439" t="s">
        <v>812</v>
      </c>
      <c r="K8" s="438"/>
      <c r="L8" s="439" t="s">
        <v>813</v>
      </c>
      <c r="M8" s="438"/>
      <c r="N8" s="440" t="s">
        <v>1519</v>
      </c>
      <c r="O8" s="440"/>
      <c r="P8" s="440" t="s">
        <v>811</v>
      </c>
      <c r="Q8" s="438"/>
      <c r="R8" s="439" t="s">
        <v>814</v>
      </c>
      <c r="S8" s="439"/>
      <c r="T8" s="439" t="s">
        <v>814</v>
      </c>
      <c r="U8" s="439"/>
      <c r="V8" s="439" t="s">
        <v>814</v>
      </c>
      <c r="W8" s="439"/>
      <c r="X8" s="439"/>
      <c r="Y8" s="439"/>
      <c r="Z8" s="439" t="s">
        <v>125</v>
      </c>
      <c r="AA8" s="439"/>
      <c r="AB8" s="439" t="s">
        <v>565</v>
      </c>
      <c r="AC8" s="439"/>
      <c r="AD8" s="439" t="s">
        <v>565</v>
      </c>
      <c r="AE8" s="439"/>
      <c r="AF8" s="439" t="s">
        <v>565</v>
      </c>
      <c r="AG8" s="439"/>
      <c r="AH8" s="439" t="s">
        <v>815</v>
      </c>
      <c r="AI8" s="439"/>
      <c r="AJ8" s="439" t="s">
        <v>816</v>
      </c>
      <c r="AK8" s="439"/>
      <c r="AL8" s="439" t="s">
        <v>816</v>
      </c>
      <c r="AM8" s="439"/>
      <c r="AN8" s="439" t="s">
        <v>816</v>
      </c>
      <c r="AO8" s="439"/>
      <c r="AP8" s="439"/>
      <c r="AQ8" s="439"/>
      <c r="AR8" s="439" t="s">
        <v>565</v>
      </c>
      <c r="AS8" s="439"/>
      <c r="AT8" s="439" t="s">
        <v>565</v>
      </c>
      <c r="AU8" s="439"/>
      <c r="AV8" s="439" t="s">
        <v>565</v>
      </c>
      <c r="AW8" s="439"/>
      <c r="AX8" s="439" t="s">
        <v>816</v>
      </c>
      <c r="AY8" s="439"/>
      <c r="AZ8" s="439" t="s">
        <v>816</v>
      </c>
      <c r="BA8" s="439"/>
      <c r="BB8" s="439" t="s">
        <v>816</v>
      </c>
      <c r="BC8" s="439"/>
      <c r="BD8" s="439"/>
      <c r="BE8" s="439"/>
      <c r="BF8" s="901" t="s">
        <v>1520</v>
      </c>
      <c r="BG8" s="439"/>
      <c r="BH8" s="438"/>
    </row>
    <row r="9" spans="1:61" ht="15">
      <c r="A9" s="437"/>
      <c r="B9" s="900"/>
      <c r="C9" s="900"/>
      <c r="D9" s="900"/>
      <c r="E9" s="900"/>
      <c r="F9" s="440" t="s">
        <v>819</v>
      </c>
      <c r="G9" s="900"/>
      <c r="H9" s="439" t="s">
        <v>1521</v>
      </c>
      <c r="I9" s="900"/>
      <c r="J9" s="902" t="s">
        <v>817</v>
      </c>
      <c r="K9" s="900"/>
      <c r="L9" s="902" t="s">
        <v>818</v>
      </c>
      <c r="M9" s="900"/>
      <c r="N9" s="784" t="s">
        <v>100</v>
      </c>
      <c r="O9" s="784"/>
      <c r="P9" s="784" t="s">
        <v>819</v>
      </c>
      <c r="Q9" s="900"/>
      <c r="R9" s="439" t="s">
        <v>820</v>
      </c>
      <c r="S9" s="439"/>
      <c r="T9" s="437" t="s">
        <v>821</v>
      </c>
      <c r="U9" s="437"/>
      <c r="V9" s="441" t="s">
        <v>821</v>
      </c>
      <c r="W9" s="441"/>
      <c r="X9" s="441" t="s">
        <v>814</v>
      </c>
      <c r="Y9" s="441"/>
      <c r="Z9" s="441" t="s">
        <v>822</v>
      </c>
      <c r="AA9" s="441"/>
      <c r="AB9" s="439" t="s">
        <v>820</v>
      </c>
      <c r="AC9" s="439"/>
      <c r="AD9" s="437" t="s">
        <v>821</v>
      </c>
      <c r="AE9" s="437"/>
      <c r="AF9" s="441" t="s">
        <v>821</v>
      </c>
      <c r="AG9" s="441"/>
      <c r="AH9" s="441" t="s">
        <v>823</v>
      </c>
      <c r="AI9" s="441"/>
      <c r="AJ9" s="439" t="s">
        <v>820</v>
      </c>
      <c r="AK9" s="439"/>
      <c r="AL9" s="437" t="s">
        <v>821</v>
      </c>
      <c r="AM9" s="437"/>
      <c r="AN9" s="441" t="s">
        <v>821</v>
      </c>
      <c r="AO9" s="441"/>
      <c r="AP9" s="441" t="s">
        <v>816</v>
      </c>
      <c r="AQ9" s="441"/>
      <c r="AR9" s="439" t="s">
        <v>820</v>
      </c>
      <c r="AS9" s="439"/>
      <c r="AT9" s="437" t="s">
        <v>821</v>
      </c>
      <c r="AU9" s="437"/>
      <c r="AV9" s="441" t="s">
        <v>821</v>
      </c>
      <c r="AW9" s="441"/>
      <c r="AX9" s="439" t="s">
        <v>820</v>
      </c>
      <c r="AY9" s="439"/>
      <c r="AZ9" s="437" t="s">
        <v>821</v>
      </c>
      <c r="BA9" s="437"/>
      <c r="BB9" s="441" t="s">
        <v>821</v>
      </c>
      <c r="BC9" s="441"/>
      <c r="BD9" s="441" t="s">
        <v>816</v>
      </c>
      <c r="BE9" s="441"/>
      <c r="BF9" s="903" t="s">
        <v>1522</v>
      </c>
      <c r="BG9" s="441"/>
      <c r="BH9" s="437"/>
      <c r="BI9" s="437"/>
    </row>
    <row r="10" spans="1:61" ht="15.75" thickBot="1">
      <c r="A10" s="787" t="s">
        <v>86</v>
      </c>
      <c r="B10" s="904" t="s">
        <v>358</v>
      </c>
      <c r="C10" s="904"/>
      <c r="D10" s="904"/>
      <c r="E10" s="904"/>
      <c r="F10" s="445" t="s">
        <v>344</v>
      </c>
      <c r="G10" s="904"/>
      <c r="H10" s="905">
        <v>43100</v>
      </c>
      <c r="I10" s="904"/>
      <c r="J10" s="905">
        <v>43100</v>
      </c>
      <c r="K10" s="904"/>
      <c r="L10" s="905">
        <v>43100</v>
      </c>
      <c r="M10" s="904"/>
      <c r="N10" s="905">
        <v>43100</v>
      </c>
      <c r="O10" s="905"/>
      <c r="P10" s="905" t="s">
        <v>824</v>
      </c>
      <c r="Q10" s="904"/>
      <c r="R10" s="442" t="s">
        <v>825</v>
      </c>
      <c r="S10" s="442"/>
      <c r="T10" s="443" t="s">
        <v>825</v>
      </c>
      <c r="U10" s="443"/>
      <c r="V10" s="444" t="s">
        <v>826</v>
      </c>
      <c r="W10" s="444"/>
      <c r="X10" s="444" t="s">
        <v>827</v>
      </c>
      <c r="Y10" s="444"/>
      <c r="Z10" s="444" t="s">
        <v>828</v>
      </c>
      <c r="AA10" s="444"/>
      <c r="AB10" s="442" t="s">
        <v>825</v>
      </c>
      <c r="AC10" s="442"/>
      <c r="AD10" s="443" t="s">
        <v>825</v>
      </c>
      <c r="AE10" s="443"/>
      <c r="AF10" s="444" t="s">
        <v>826</v>
      </c>
      <c r="AG10" s="444"/>
      <c r="AH10" s="444" t="s">
        <v>829</v>
      </c>
      <c r="AI10" s="444"/>
      <c r="AJ10" s="442" t="s">
        <v>825</v>
      </c>
      <c r="AK10" s="442"/>
      <c r="AL10" s="443" t="s">
        <v>825</v>
      </c>
      <c r="AM10" s="443"/>
      <c r="AN10" s="444" t="s">
        <v>826</v>
      </c>
      <c r="AO10" s="444"/>
      <c r="AP10" s="444" t="s">
        <v>827</v>
      </c>
      <c r="AQ10" s="444"/>
      <c r="AR10" s="442" t="s">
        <v>825</v>
      </c>
      <c r="AS10" s="442"/>
      <c r="AT10" s="443" t="s">
        <v>825</v>
      </c>
      <c r="AU10" s="443"/>
      <c r="AV10" s="444" t="s">
        <v>826</v>
      </c>
      <c r="AW10" s="444"/>
      <c r="AX10" s="442" t="s">
        <v>825</v>
      </c>
      <c r="AY10" s="442"/>
      <c r="AZ10" s="443" t="s">
        <v>825</v>
      </c>
      <c r="BA10" s="443"/>
      <c r="BB10" s="444" t="s">
        <v>826</v>
      </c>
      <c r="BC10" s="444"/>
      <c r="BD10" s="444" t="s">
        <v>827</v>
      </c>
      <c r="BE10" s="444"/>
      <c r="BF10" s="906">
        <f>1/(1-(0.21+0.0884-(0.21*0.0884)))</f>
        <v>1.3885726029071155</v>
      </c>
      <c r="BG10" s="444"/>
      <c r="BH10" s="445" t="s">
        <v>158</v>
      </c>
      <c r="BI10" s="907" t="s">
        <v>86</v>
      </c>
    </row>
    <row r="11" spans="1:61" ht="15">
      <c r="A11" s="437"/>
      <c r="B11" s="900"/>
      <c r="C11" s="900"/>
      <c r="D11" s="900"/>
      <c r="E11" s="900"/>
      <c r="F11" s="784"/>
      <c r="G11" s="900"/>
      <c r="H11" s="900"/>
      <c r="I11" s="900"/>
      <c r="J11" s="900"/>
      <c r="K11" s="900"/>
      <c r="L11" s="900"/>
      <c r="M11" s="900"/>
      <c r="N11" s="900"/>
      <c r="O11" s="900"/>
      <c r="P11" s="900"/>
      <c r="Q11" s="900"/>
      <c r="R11" s="439"/>
      <c r="S11" s="439"/>
      <c r="T11" s="446"/>
      <c r="U11" s="446"/>
      <c r="V11" s="447"/>
      <c r="W11" s="447"/>
      <c r="X11" s="447"/>
      <c r="Y11" s="447"/>
      <c r="Z11" s="447"/>
      <c r="AA11" s="447"/>
      <c r="AB11" s="447"/>
      <c r="AC11" s="447"/>
      <c r="AD11" s="447"/>
      <c r="AE11" s="447"/>
      <c r="AF11" s="447"/>
      <c r="AG11" s="447"/>
      <c r="AH11" s="447"/>
      <c r="AI11" s="447"/>
      <c r="AJ11" s="447"/>
      <c r="AK11" s="447"/>
      <c r="AL11" s="447"/>
      <c r="AM11" s="447"/>
      <c r="AN11" s="447"/>
      <c r="AO11" s="447"/>
      <c r="AP11" s="447"/>
      <c r="AQ11" s="447"/>
      <c r="AR11" s="447"/>
      <c r="AS11" s="447"/>
      <c r="AT11" s="447"/>
      <c r="AU11" s="447"/>
      <c r="AV11" s="447"/>
      <c r="AW11" s="447"/>
      <c r="AX11" s="447"/>
      <c r="AY11" s="447"/>
      <c r="AZ11" s="447"/>
      <c r="BA11" s="447"/>
      <c r="BB11" s="447"/>
      <c r="BC11" s="447"/>
      <c r="BD11" s="447"/>
      <c r="BE11" s="447"/>
      <c r="BG11" s="447"/>
      <c r="BH11" s="437"/>
      <c r="BI11" s="437"/>
    </row>
    <row r="12" spans="1:61" ht="15">
      <c r="A12" s="437">
        <v>100</v>
      </c>
      <c r="B12" s="900" t="s">
        <v>830</v>
      </c>
      <c r="C12" s="900"/>
      <c r="D12" s="900" t="s">
        <v>1523</v>
      </c>
      <c r="E12" s="900"/>
      <c r="F12" s="784" t="s">
        <v>1524</v>
      </c>
      <c r="G12" s="900"/>
      <c r="H12" s="448">
        <f>+H25</f>
        <v>0</v>
      </c>
      <c r="I12" s="900"/>
      <c r="J12" s="448">
        <f>+J25</f>
        <v>0</v>
      </c>
      <c r="K12" s="900"/>
      <c r="L12" s="448">
        <f>+L25</f>
        <v>0</v>
      </c>
      <c r="M12" s="900"/>
      <c r="N12" s="448">
        <f>+N25</f>
        <v>0</v>
      </c>
      <c r="O12" s="900"/>
      <c r="P12" s="784" t="s">
        <v>845</v>
      </c>
      <c r="Q12" s="900"/>
      <c r="R12" s="448">
        <f>R25</f>
        <v>0</v>
      </c>
      <c r="S12" s="448"/>
      <c r="T12" s="448">
        <f>T25</f>
        <v>0</v>
      </c>
      <c r="U12" s="448"/>
      <c r="V12" s="448">
        <f>V25</f>
        <v>0</v>
      </c>
      <c r="W12" s="448"/>
      <c r="X12" s="448">
        <f>SUM(R12:V12)</f>
        <v>0</v>
      </c>
      <c r="Y12" s="448"/>
      <c r="Z12" s="449" t="s">
        <v>831</v>
      </c>
      <c r="AA12" s="448"/>
      <c r="AB12" s="448">
        <f>AB25</f>
        <v>0</v>
      </c>
      <c r="AC12" s="448"/>
      <c r="AD12" s="448">
        <f>AD25</f>
        <v>0</v>
      </c>
      <c r="AE12" s="448"/>
      <c r="AF12" s="448">
        <f>AF25</f>
        <v>0</v>
      </c>
      <c r="AG12" s="448"/>
      <c r="AH12" s="784" t="s">
        <v>856</v>
      </c>
      <c r="AI12" s="448"/>
      <c r="AJ12" s="448">
        <f>AJ25</f>
        <v>0</v>
      </c>
      <c r="AK12" s="448"/>
      <c r="AL12" s="448">
        <f>AL25</f>
        <v>0</v>
      </c>
      <c r="AM12" s="448"/>
      <c r="AN12" s="448">
        <f>AN25</f>
        <v>0</v>
      </c>
      <c r="AO12" s="448"/>
      <c r="AP12" s="448">
        <f>SUM(AJ12:AN12)</f>
        <v>0</v>
      </c>
      <c r="AQ12" s="448"/>
      <c r="AR12" s="448">
        <f>AR25</f>
        <v>0</v>
      </c>
      <c r="AS12" s="448"/>
      <c r="AT12" s="448">
        <f>AT25</f>
        <v>0</v>
      </c>
      <c r="AU12" s="448"/>
      <c r="AV12" s="448">
        <f>AV25</f>
        <v>0</v>
      </c>
      <c r="AW12" s="448"/>
      <c r="AX12" s="448">
        <f>AX25</f>
        <v>0</v>
      </c>
      <c r="AY12" s="448"/>
      <c r="AZ12" s="448">
        <f>AZ25</f>
        <v>0</v>
      </c>
      <c r="BA12" s="448"/>
      <c r="BB12" s="448">
        <f>BB25</f>
        <v>0</v>
      </c>
      <c r="BC12" s="448"/>
      <c r="BD12" s="448">
        <f>SUM(AX12:BB12)</f>
        <v>0</v>
      </c>
      <c r="BE12" s="448"/>
      <c r="BF12" s="448">
        <f>BF25</f>
        <v>0</v>
      </c>
      <c r="BG12" s="448"/>
      <c r="BH12" s="437"/>
      <c r="BI12" s="437">
        <f t="shared" ref="BI12:BI16" si="0">A12</f>
        <v>100</v>
      </c>
    </row>
    <row r="13" spans="1:61" ht="15">
      <c r="A13" s="437">
        <f>A12+1</f>
        <v>101</v>
      </c>
      <c r="B13" s="900" t="s">
        <v>832</v>
      </c>
      <c r="C13" s="900"/>
      <c r="D13" s="900" t="s">
        <v>1526</v>
      </c>
      <c r="E13" s="900"/>
      <c r="F13" s="784" t="s">
        <v>1524</v>
      </c>
      <c r="G13" s="900"/>
      <c r="H13" s="448">
        <f>+H33</f>
        <v>0</v>
      </c>
      <c r="I13" s="900"/>
      <c r="J13" s="448">
        <f>+J33</f>
        <v>0</v>
      </c>
      <c r="K13" s="900"/>
      <c r="L13" s="448">
        <f>+L33</f>
        <v>0</v>
      </c>
      <c r="M13" s="900"/>
      <c r="N13" s="448">
        <f>+N33</f>
        <v>0</v>
      </c>
      <c r="O13" s="900"/>
      <c r="P13" s="784" t="s">
        <v>845</v>
      </c>
      <c r="Q13" s="900"/>
      <c r="R13" s="448">
        <f>R33</f>
        <v>0</v>
      </c>
      <c r="S13" s="448"/>
      <c r="T13" s="448">
        <f>T33</f>
        <v>0</v>
      </c>
      <c r="U13" s="448"/>
      <c r="V13" s="448">
        <f>V33</f>
        <v>0</v>
      </c>
      <c r="W13" s="448"/>
      <c r="X13" s="448">
        <f t="shared" ref="X13:X15" si="1">SUM(R13:V13)</f>
        <v>0</v>
      </c>
      <c r="Y13" s="448"/>
      <c r="Z13" s="449" t="s">
        <v>1527</v>
      </c>
      <c r="AA13" s="448"/>
      <c r="AB13" s="448">
        <f>AB33</f>
        <v>0</v>
      </c>
      <c r="AC13" s="448"/>
      <c r="AD13" s="448">
        <f>AD33</f>
        <v>0</v>
      </c>
      <c r="AE13" s="448"/>
      <c r="AF13" s="448">
        <f>AF33</f>
        <v>0</v>
      </c>
      <c r="AG13" s="448"/>
      <c r="AH13" s="784" t="s">
        <v>856</v>
      </c>
      <c r="AI13" s="448"/>
      <c r="AJ13" s="448">
        <f>AJ33</f>
        <v>0</v>
      </c>
      <c r="AK13" s="448"/>
      <c r="AL13" s="448">
        <f>AL33</f>
        <v>0</v>
      </c>
      <c r="AM13" s="448"/>
      <c r="AN13" s="448">
        <f>AN33</f>
        <v>0</v>
      </c>
      <c r="AO13" s="448"/>
      <c r="AP13" s="448">
        <f t="shared" ref="AP13:AP15" si="2">SUM(AJ13:AN13)</f>
        <v>0</v>
      </c>
      <c r="AQ13" s="448"/>
      <c r="AR13" s="448">
        <f>AR33</f>
        <v>0</v>
      </c>
      <c r="AS13" s="448"/>
      <c r="AT13" s="448">
        <f>AT33</f>
        <v>0</v>
      </c>
      <c r="AU13" s="448"/>
      <c r="AV13" s="448">
        <f>AV33</f>
        <v>0</v>
      </c>
      <c r="AW13" s="448"/>
      <c r="AX13" s="448">
        <f>AX33</f>
        <v>0</v>
      </c>
      <c r="AY13" s="448"/>
      <c r="AZ13" s="448">
        <f>AZ33</f>
        <v>0</v>
      </c>
      <c r="BA13" s="448"/>
      <c r="BB13" s="448">
        <f>BB33</f>
        <v>0</v>
      </c>
      <c r="BC13" s="448"/>
      <c r="BD13" s="448">
        <f t="shared" ref="BD13:BD15" si="3">SUM(AX13:BB13)</f>
        <v>0</v>
      </c>
      <c r="BE13" s="448"/>
      <c r="BF13" s="448">
        <f>BF33</f>
        <v>0</v>
      </c>
      <c r="BG13" s="448"/>
      <c r="BH13" s="437"/>
      <c r="BI13" s="437">
        <f t="shared" si="0"/>
        <v>101</v>
      </c>
    </row>
    <row r="14" spans="1:61" ht="15">
      <c r="A14" s="437">
        <f t="shared" ref="A14" si="4">+A13+1</f>
        <v>102</v>
      </c>
      <c r="B14" s="900" t="s">
        <v>833</v>
      </c>
      <c r="C14" s="900"/>
      <c r="D14" s="900" t="s">
        <v>1528</v>
      </c>
      <c r="E14" s="900"/>
      <c r="F14" s="784" t="s">
        <v>1529</v>
      </c>
      <c r="G14" s="900"/>
      <c r="H14" s="448">
        <f>+H93</f>
        <v>0</v>
      </c>
      <c r="I14" s="900"/>
      <c r="J14" s="448">
        <f>+J93</f>
        <v>0</v>
      </c>
      <c r="K14" s="900"/>
      <c r="L14" s="448">
        <f>+L93</f>
        <v>0</v>
      </c>
      <c r="M14" s="900"/>
      <c r="N14" s="448">
        <f>+N93</f>
        <v>0</v>
      </c>
      <c r="O14" s="900"/>
      <c r="P14" s="784" t="s">
        <v>1530</v>
      </c>
      <c r="Q14" s="900"/>
      <c r="R14" s="448">
        <f>R93</f>
        <v>0</v>
      </c>
      <c r="S14" s="448"/>
      <c r="T14" s="448">
        <f>T93</f>
        <v>0</v>
      </c>
      <c r="U14" s="448"/>
      <c r="V14" s="448">
        <f>V93</f>
        <v>0</v>
      </c>
      <c r="W14" s="448"/>
      <c r="X14" s="448">
        <f>SUM(R14:V14)</f>
        <v>0</v>
      </c>
      <c r="Y14" s="448"/>
      <c r="Z14" s="449" t="s">
        <v>1527</v>
      </c>
      <c r="AA14" s="448"/>
      <c r="AB14" s="448">
        <f>AB93</f>
        <v>0</v>
      </c>
      <c r="AC14" s="448"/>
      <c r="AD14" s="448">
        <f>AD93</f>
        <v>0</v>
      </c>
      <c r="AE14" s="448"/>
      <c r="AF14" s="448">
        <f>AF93</f>
        <v>0</v>
      </c>
      <c r="AG14" s="448"/>
      <c r="AH14" s="784" t="s">
        <v>1531</v>
      </c>
      <c r="AI14" s="448"/>
      <c r="AJ14" s="448">
        <f>AJ93</f>
        <v>0</v>
      </c>
      <c r="AK14" s="448"/>
      <c r="AL14" s="448">
        <f>AL93</f>
        <v>0</v>
      </c>
      <c r="AM14" s="448"/>
      <c r="AN14" s="448">
        <f>AN93</f>
        <v>0</v>
      </c>
      <c r="AO14" s="448"/>
      <c r="AP14" s="448">
        <f t="shared" si="2"/>
        <v>0</v>
      </c>
      <c r="AQ14" s="448"/>
      <c r="AR14" s="448">
        <f>AR93</f>
        <v>0</v>
      </c>
      <c r="AS14" s="448"/>
      <c r="AT14" s="448">
        <f>AT93</f>
        <v>0</v>
      </c>
      <c r="AU14" s="448"/>
      <c r="AV14" s="448">
        <f>AV93</f>
        <v>0</v>
      </c>
      <c r="AW14" s="448"/>
      <c r="AX14" s="448">
        <f>AX93</f>
        <v>0</v>
      </c>
      <c r="AY14" s="448"/>
      <c r="AZ14" s="448">
        <f>AZ93</f>
        <v>0</v>
      </c>
      <c r="BA14" s="448"/>
      <c r="BB14" s="448">
        <f>BB93</f>
        <v>0</v>
      </c>
      <c r="BC14" s="448"/>
      <c r="BD14" s="448">
        <f t="shared" si="3"/>
        <v>0</v>
      </c>
      <c r="BE14" s="448"/>
      <c r="BF14" s="448">
        <f>BF93</f>
        <v>0</v>
      </c>
      <c r="BG14" s="448"/>
      <c r="BH14" s="437"/>
      <c r="BI14" s="437">
        <f t="shared" si="0"/>
        <v>102</v>
      </c>
    </row>
    <row r="15" spans="1:61" ht="15">
      <c r="A15" s="437">
        <f>+A14+1</f>
        <v>103</v>
      </c>
      <c r="B15" s="900" t="s">
        <v>834</v>
      </c>
      <c r="C15" s="900" t="s">
        <v>835</v>
      </c>
      <c r="D15" s="900" t="s">
        <v>1532</v>
      </c>
      <c r="E15" s="900"/>
      <c r="F15" s="784" t="s">
        <v>1533</v>
      </c>
      <c r="G15" s="900"/>
      <c r="H15" s="450">
        <f>+H107</f>
        <v>0</v>
      </c>
      <c r="I15" s="900"/>
      <c r="J15" s="450">
        <f>+J107</f>
        <v>0</v>
      </c>
      <c r="K15" s="900"/>
      <c r="L15" s="450">
        <f>+L107</f>
        <v>0</v>
      </c>
      <c r="M15" s="900"/>
      <c r="N15" s="450">
        <f>+N107</f>
        <v>0</v>
      </c>
      <c r="O15" s="900"/>
      <c r="P15" s="784" t="s">
        <v>1530</v>
      </c>
      <c r="Q15" s="900"/>
      <c r="R15" s="450">
        <f>R107</f>
        <v>0</v>
      </c>
      <c r="S15" s="450"/>
      <c r="T15" s="450">
        <f t="shared" ref="T15" si="5">T107</f>
        <v>0</v>
      </c>
      <c r="U15" s="450"/>
      <c r="V15" s="450">
        <f t="shared" ref="V15" si="6">V107</f>
        <v>0</v>
      </c>
      <c r="W15" s="450"/>
      <c r="X15" s="450">
        <f t="shared" si="1"/>
        <v>0</v>
      </c>
      <c r="Y15" s="448"/>
      <c r="Z15" s="449" t="s">
        <v>831</v>
      </c>
      <c r="AA15" s="448"/>
      <c r="AB15" s="450">
        <f>AB107</f>
        <v>0</v>
      </c>
      <c r="AC15" s="450"/>
      <c r="AD15" s="450">
        <f t="shared" ref="AD15:AF15" si="7">AD107</f>
        <v>0</v>
      </c>
      <c r="AE15" s="450"/>
      <c r="AF15" s="450">
        <f t="shared" si="7"/>
        <v>0</v>
      </c>
      <c r="AG15" s="448"/>
      <c r="AH15" s="784" t="s">
        <v>1531</v>
      </c>
      <c r="AI15" s="448"/>
      <c r="AJ15" s="450">
        <f>AJ107</f>
        <v>0</v>
      </c>
      <c r="AK15" s="450"/>
      <c r="AL15" s="450">
        <f t="shared" ref="AL15" si="8">AL107</f>
        <v>0</v>
      </c>
      <c r="AM15" s="450"/>
      <c r="AN15" s="450">
        <f t="shared" ref="AN15" si="9">AN107</f>
        <v>0</v>
      </c>
      <c r="AO15" s="450"/>
      <c r="AP15" s="450">
        <f t="shared" si="2"/>
        <v>0</v>
      </c>
      <c r="AQ15" s="448"/>
      <c r="AR15" s="450">
        <f>AR107</f>
        <v>0</v>
      </c>
      <c r="AS15" s="450"/>
      <c r="AT15" s="450">
        <f t="shared" ref="AT15:AV15" si="10">AT107</f>
        <v>0</v>
      </c>
      <c r="AU15" s="450"/>
      <c r="AV15" s="450">
        <f t="shared" si="10"/>
        <v>0</v>
      </c>
      <c r="AW15" s="448"/>
      <c r="AX15" s="450">
        <f>AX107</f>
        <v>0</v>
      </c>
      <c r="AY15" s="450"/>
      <c r="AZ15" s="450">
        <f t="shared" ref="AZ15" si="11">AZ107</f>
        <v>0</v>
      </c>
      <c r="BA15" s="450"/>
      <c r="BB15" s="450">
        <f t="shared" ref="BB15" si="12">BB107</f>
        <v>0</v>
      </c>
      <c r="BC15" s="450"/>
      <c r="BD15" s="450">
        <f t="shared" si="3"/>
        <v>0</v>
      </c>
      <c r="BE15" s="448"/>
      <c r="BF15" s="450">
        <f t="shared" ref="BF15" si="13">BF107</f>
        <v>0</v>
      </c>
      <c r="BG15" s="448"/>
      <c r="BH15" s="437"/>
      <c r="BI15" s="437">
        <f t="shared" si="0"/>
        <v>103</v>
      </c>
    </row>
    <row r="16" spans="1:61" ht="15">
      <c r="A16" s="437">
        <f>+A15+1</f>
        <v>104</v>
      </c>
      <c r="B16" s="900" t="s">
        <v>196</v>
      </c>
      <c r="C16" s="900"/>
      <c r="D16" s="437"/>
      <c r="E16" s="437"/>
      <c r="F16" s="437"/>
      <c r="G16" s="437"/>
      <c r="H16" s="909">
        <f>SUM(H12:H15)</f>
        <v>0</v>
      </c>
      <c r="I16" s="437"/>
      <c r="J16" s="909">
        <f>SUM(J12:J15)</f>
        <v>0</v>
      </c>
      <c r="K16" s="437"/>
      <c r="L16" s="909">
        <f>SUM(L12:L15)</f>
        <v>0</v>
      </c>
      <c r="M16" s="437"/>
      <c r="N16" s="909">
        <f>SUM(N12:N15)</f>
        <v>0</v>
      </c>
      <c r="O16" s="437"/>
      <c r="P16" s="784"/>
      <c r="Q16" s="437"/>
      <c r="R16" s="909">
        <f>SUM(R12:R15)</f>
        <v>0</v>
      </c>
      <c r="S16" s="909"/>
      <c r="T16" s="909">
        <f>SUM(T12:T15)</f>
        <v>0</v>
      </c>
      <c r="U16" s="909"/>
      <c r="V16" s="909">
        <f>SUM(V12:V15)</f>
        <v>0</v>
      </c>
      <c r="W16" s="909"/>
      <c r="X16" s="909">
        <f>SUM(X12:X15)</f>
        <v>0</v>
      </c>
      <c r="Y16" s="909"/>
      <c r="Z16" s="909"/>
      <c r="AA16" s="909"/>
      <c r="AB16" s="909">
        <f>SUM(AB12:AB15)</f>
        <v>0</v>
      </c>
      <c r="AC16" s="909"/>
      <c r="AD16" s="909">
        <f>SUM(AD12:AD15)</f>
        <v>0</v>
      </c>
      <c r="AE16" s="909"/>
      <c r="AF16" s="909">
        <f>SUM(AF12:AF15)</f>
        <v>0</v>
      </c>
      <c r="AG16" s="909"/>
      <c r="AH16" s="437"/>
      <c r="AI16" s="909"/>
      <c r="AJ16" s="909">
        <f>SUM(AJ12:AJ15)</f>
        <v>0</v>
      </c>
      <c r="AK16" s="909"/>
      <c r="AL16" s="909">
        <f>SUM(AL12:AL15)</f>
        <v>0</v>
      </c>
      <c r="AM16" s="909"/>
      <c r="AN16" s="909">
        <f>SUM(AN12:AN15)</f>
        <v>0</v>
      </c>
      <c r="AO16" s="909"/>
      <c r="AP16" s="909">
        <f>SUM(AP12:AP15)</f>
        <v>0</v>
      </c>
      <c r="AQ16" s="909"/>
      <c r="AR16" s="909">
        <f>SUM(AR12:AR15)</f>
        <v>0</v>
      </c>
      <c r="AS16" s="909"/>
      <c r="AT16" s="909">
        <f>SUM(AT12:AT15)</f>
        <v>0</v>
      </c>
      <c r="AU16" s="909"/>
      <c r="AV16" s="909">
        <f>SUM(AV12:AV15)</f>
        <v>0</v>
      </c>
      <c r="AW16" s="909"/>
      <c r="AX16" s="909">
        <f>SUM(AX12:AX15)</f>
        <v>0</v>
      </c>
      <c r="AY16" s="909"/>
      <c r="AZ16" s="909">
        <f>SUM(AZ12:AZ15)</f>
        <v>0</v>
      </c>
      <c r="BA16" s="909"/>
      <c r="BB16" s="909">
        <f>SUM(BB12:BB15)</f>
        <v>0</v>
      </c>
      <c r="BC16" s="909"/>
      <c r="BD16" s="909">
        <f>SUM(BD12:BD15)</f>
        <v>0</v>
      </c>
      <c r="BE16" s="909"/>
      <c r="BF16" s="909">
        <f>SUM(BF12:BF15)</f>
        <v>0</v>
      </c>
      <c r="BG16" s="909"/>
      <c r="BH16" s="910"/>
      <c r="BI16" s="437">
        <f t="shared" si="0"/>
        <v>104</v>
      </c>
    </row>
    <row r="17" spans="1:61" ht="15">
      <c r="A17" s="437"/>
      <c r="B17" s="900"/>
      <c r="C17" s="900"/>
      <c r="D17" s="437"/>
      <c r="E17" s="437"/>
      <c r="F17" s="437"/>
      <c r="G17" s="437"/>
      <c r="H17" s="437"/>
      <c r="I17" s="437"/>
      <c r="J17" s="437"/>
      <c r="K17" s="437"/>
      <c r="L17" s="437"/>
      <c r="M17" s="437"/>
      <c r="N17" s="437"/>
      <c r="O17" s="437"/>
      <c r="P17" s="784"/>
      <c r="Q17" s="437"/>
      <c r="R17" s="900"/>
      <c r="S17" s="900"/>
      <c r="T17" s="900"/>
      <c r="U17" s="900"/>
      <c r="V17" s="900"/>
      <c r="W17" s="900"/>
      <c r="X17" s="900"/>
      <c r="Y17" s="900"/>
      <c r="Z17" s="900"/>
      <c r="AA17" s="900"/>
      <c r="AB17" s="900"/>
      <c r="AC17" s="900"/>
      <c r="AD17" s="900"/>
      <c r="AE17" s="900"/>
      <c r="AF17" s="900"/>
      <c r="AG17" s="900"/>
      <c r="AH17" s="437"/>
      <c r="AI17" s="900"/>
      <c r="AJ17" s="900"/>
      <c r="AK17" s="900"/>
      <c r="AL17" s="900"/>
      <c r="AM17" s="900"/>
      <c r="AN17" s="900"/>
      <c r="AO17" s="900"/>
      <c r="AP17" s="900"/>
      <c r="AQ17" s="900"/>
      <c r="AR17" s="900"/>
      <c r="AS17" s="900"/>
      <c r="AT17" s="900"/>
      <c r="AU17" s="900"/>
      <c r="AV17" s="900"/>
      <c r="AW17" s="900"/>
      <c r="AX17" s="900"/>
      <c r="AY17" s="900"/>
      <c r="AZ17" s="900"/>
      <c r="BA17" s="900"/>
      <c r="BB17" s="900"/>
      <c r="BC17" s="900"/>
      <c r="BD17" s="900"/>
      <c r="BE17" s="900"/>
      <c r="BF17" s="437"/>
      <c r="BG17" s="900"/>
      <c r="BH17" s="910"/>
      <c r="BI17" s="437"/>
    </row>
    <row r="18" spans="1:61" ht="15">
      <c r="A18" s="437">
        <f>+A16+1</f>
        <v>105</v>
      </c>
      <c r="B18" s="911" t="s">
        <v>836</v>
      </c>
      <c r="C18" s="911"/>
      <c r="D18" s="436"/>
      <c r="E18" s="437"/>
      <c r="F18" s="437"/>
      <c r="G18" s="437"/>
      <c r="H18" s="437"/>
      <c r="I18" s="437"/>
      <c r="J18" s="437"/>
      <c r="K18" s="437"/>
      <c r="L18" s="437"/>
      <c r="M18" s="437"/>
      <c r="N18" s="437"/>
      <c r="O18" s="437"/>
      <c r="P18" s="784"/>
      <c r="Q18" s="437"/>
      <c r="R18" s="900"/>
      <c r="S18" s="900"/>
      <c r="T18" s="900"/>
      <c r="U18" s="900"/>
      <c r="V18" s="900"/>
      <c r="W18" s="900"/>
      <c r="X18" s="900"/>
      <c r="Y18" s="900"/>
      <c r="Z18" s="900"/>
      <c r="AA18" s="900"/>
      <c r="AB18" s="900"/>
      <c r="AC18" s="900"/>
      <c r="AD18" s="900"/>
      <c r="AE18" s="900"/>
      <c r="AF18" s="900"/>
      <c r="AG18" s="900"/>
      <c r="AH18" s="437"/>
      <c r="AI18" s="900"/>
      <c r="AJ18" s="900"/>
      <c r="AK18" s="900"/>
      <c r="AL18" s="900"/>
      <c r="AM18" s="900"/>
      <c r="AN18" s="900"/>
      <c r="AO18" s="900"/>
      <c r="AP18" s="900"/>
      <c r="AQ18" s="900"/>
      <c r="AR18" s="900"/>
      <c r="AS18" s="900"/>
      <c r="AT18" s="900"/>
      <c r="AU18" s="900"/>
      <c r="AV18" s="900"/>
      <c r="AW18" s="900"/>
      <c r="AX18" s="900"/>
      <c r="AY18" s="900"/>
      <c r="AZ18" s="900"/>
      <c r="BA18" s="900"/>
      <c r="BB18" s="900"/>
      <c r="BC18" s="900"/>
      <c r="BD18" s="900"/>
      <c r="BE18" s="900"/>
      <c r="BF18" s="437"/>
      <c r="BG18" s="900"/>
      <c r="BH18" s="451"/>
      <c r="BI18" s="437">
        <f>A18</f>
        <v>105</v>
      </c>
    </row>
    <row r="19" spans="1:61" ht="15">
      <c r="A19" s="437">
        <f>+A18+1</f>
        <v>106</v>
      </c>
      <c r="B19" s="784" t="s">
        <v>837</v>
      </c>
      <c r="C19" s="900" t="s">
        <v>1286</v>
      </c>
      <c r="D19" s="437"/>
      <c r="E19" s="437"/>
      <c r="F19" s="784" t="s">
        <v>1524</v>
      </c>
      <c r="G19" s="437"/>
      <c r="H19" s="909">
        <f>+H115</f>
        <v>0</v>
      </c>
      <c r="I19" s="437"/>
      <c r="J19" s="909">
        <f>+J115</f>
        <v>0</v>
      </c>
      <c r="K19" s="909"/>
      <c r="L19" s="909">
        <f>+L115</f>
        <v>0</v>
      </c>
      <c r="M19" s="909"/>
      <c r="N19" s="909">
        <f>+N115</f>
        <v>0</v>
      </c>
      <c r="O19" s="909"/>
      <c r="P19" s="784" t="s">
        <v>845</v>
      </c>
      <c r="Q19" s="437"/>
      <c r="R19" s="909">
        <f>R115</f>
        <v>0</v>
      </c>
      <c r="S19" s="909"/>
      <c r="T19" s="909">
        <f>+T115</f>
        <v>0</v>
      </c>
      <c r="U19" s="909"/>
      <c r="V19" s="909">
        <f>+V115</f>
        <v>0</v>
      </c>
      <c r="W19" s="909"/>
      <c r="X19" s="909">
        <f>SUM(R19:V19)</f>
        <v>0</v>
      </c>
      <c r="Y19" s="909"/>
      <c r="Z19" s="449"/>
      <c r="AA19" s="909"/>
      <c r="AB19" s="909">
        <f>+AB115</f>
        <v>0</v>
      </c>
      <c r="AC19" s="909"/>
      <c r="AD19" s="909">
        <f>+AD115</f>
        <v>0</v>
      </c>
      <c r="AE19" s="909"/>
      <c r="AF19" s="909">
        <f>+AF115</f>
        <v>0</v>
      </c>
      <c r="AG19" s="909"/>
      <c r="AH19" s="784" t="s">
        <v>856</v>
      </c>
      <c r="AI19" s="909"/>
      <c r="AJ19" s="909">
        <f>+AJ115</f>
        <v>0</v>
      </c>
      <c r="AK19" s="909"/>
      <c r="AL19" s="909">
        <f>+AL115</f>
        <v>0</v>
      </c>
      <c r="AM19" s="909"/>
      <c r="AN19" s="909">
        <f>+AN115</f>
        <v>0</v>
      </c>
      <c r="AO19" s="909"/>
      <c r="AP19" s="909">
        <f t="shared" ref="AP19:AP21" si="14">SUM(AJ19:AN19)</f>
        <v>0</v>
      </c>
      <c r="AQ19" s="909"/>
      <c r="AR19" s="909">
        <f>+AR115</f>
        <v>0</v>
      </c>
      <c r="AS19" s="909"/>
      <c r="AT19" s="909">
        <f>+AT115</f>
        <v>0</v>
      </c>
      <c r="AU19" s="909"/>
      <c r="AV19" s="909">
        <f>+AV115</f>
        <v>0</v>
      </c>
      <c r="AW19" s="909"/>
      <c r="AX19" s="909">
        <f>+AX115</f>
        <v>0</v>
      </c>
      <c r="AY19" s="909"/>
      <c r="AZ19" s="909">
        <f>+AZ115</f>
        <v>0</v>
      </c>
      <c r="BA19" s="909"/>
      <c r="BB19" s="909">
        <f>+BB115</f>
        <v>0</v>
      </c>
      <c r="BC19" s="909"/>
      <c r="BD19" s="909">
        <f>SUM(AX19:BB19)</f>
        <v>0</v>
      </c>
      <c r="BE19" s="909"/>
      <c r="BF19" s="909">
        <f>+BF115</f>
        <v>0</v>
      </c>
      <c r="BG19" s="909"/>
      <c r="BH19" s="910"/>
      <c r="BI19" s="437">
        <f>A19</f>
        <v>106</v>
      </c>
    </row>
    <row r="20" spans="1:61" ht="15">
      <c r="A20" s="437">
        <f t="shared" ref="A20:A29" si="15">A19+1</f>
        <v>107</v>
      </c>
      <c r="B20" s="784" t="s">
        <v>370</v>
      </c>
      <c r="C20" s="900"/>
      <c r="D20" s="437"/>
      <c r="E20" s="437"/>
      <c r="F20" s="437"/>
      <c r="G20" s="437"/>
      <c r="H20" s="909">
        <v>0</v>
      </c>
      <c r="I20" s="437"/>
      <c r="J20" s="909">
        <v>0</v>
      </c>
      <c r="K20" s="909"/>
      <c r="L20" s="909">
        <v>0</v>
      </c>
      <c r="M20" s="909"/>
      <c r="N20" s="909">
        <v>0</v>
      </c>
      <c r="O20" s="909"/>
      <c r="P20" s="784"/>
      <c r="Q20" s="437"/>
      <c r="R20" s="909">
        <v>0</v>
      </c>
      <c r="S20" s="909"/>
      <c r="T20" s="909">
        <v>0</v>
      </c>
      <c r="U20" s="909"/>
      <c r="V20" s="909">
        <v>0</v>
      </c>
      <c r="W20" s="909"/>
      <c r="X20" s="909">
        <f t="shared" ref="X20:X21" si="16">SUM(R20:V20)</f>
        <v>0</v>
      </c>
      <c r="Y20" s="909"/>
      <c r="Z20" s="449"/>
      <c r="AA20" s="909"/>
      <c r="AB20" s="909">
        <v>0</v>
      </c>
      <c r="AC20" s="909"/>
      <c r="AD20" s="909">
        <v>0</v>
      </c>
      <c r="AE20" s="909"/>
      <c r="AF20" s="909">
        <v>0</v>
      </c>
      <c r="AG20" s="909"/>
      <c r="AH20" s="784"/>
      <c r="AI20" s="909"/>
      <c r="AJ20" s="909">
        <v>0</v>
      </c>
      <c r="AK20" s="909"/>
      <c r="AL20" s="909">
        <v>0</v>
      </c>
      <c r="AM20" s="909"/>
      <c r="AN20" s="909">
        <v>0</v>
      </c>
      <c r="AO20" s="909"/>
      <c r="AP20" s="909">
        <f t="shared" si="14"/>
        <v>0</v>
      </c>
      <c r="AQ20" s="909"/>
      <c r="AR20" s="909">
        <v>0</v>
      </c>
      <c r="AS20" s="909"/>
      <c r="AT20" s="909">
        <v>0</v>
      </c>
      <c r="AU20" s="909"/>
      <c r="AV20" s="909">
        <v>0</v>
      </c>
      <c r="AW20" s="909"/>
      <c r="AX20" s="909">
        <v>0</v>
      </c>
      <c r="AY20" s="909"/>
      <c r="AZ20" s="909">
        <v>0</v>
      </c>
      <c r="BA20" s="909"/>
      <c r="BB20" s="909">
        <v>0</v>
      </c>
      <c r="BC20" s="909"/>
      <c r="BD20" s="909">
        <f t="shared" ref="BD20:BD21" si="17">SUM(AX20:BB20)</f>
        <v>0</v>
      </c>
      <c r="BE20" s="909"/>
      <c r="BF20" s="909">
        <v>0</v>
      </c>
      <c r="BG20" s="909"/>
      <c r="BH20" s="451"/>
      <c r="BI20" s="437">
        <f>A20</f>
        <v>107</v>
      </c>
    </row>
    <row r="21" spans="1:61" ht="15">
      <c r="A21" s="437">
        <f t="shared" si="15"/>
        <v>108</v>
      </c>
      <c r="B21" s="784" t="s">
        <v>370</v>
      </c>
      <c r="C21" s="900"/>
      <c r="D21" s="437"/>
      <c r="E21" s="437"/>
      <c r="F21" s="437"/>
      <c r="G21" s="437"/>
      <c r="H21" s="912">
        <v>0</v>
      </c>
      <c r="I21" s="437"/>
      <c r="J21" s="912">
        <v>0</v>
      </c>
      <c r="K21" s="912"/>
      <c r="L21" s="912">
        <v>0</v>
      </c>
      <c r="M21" s="912"/>
      <c r="N21" s="912">
        <v>0</v>
      </c>
      <c r="O21" s="912"/>
      <c r="P21" s="784"/>
      <c r="Q21" s="437"/>
      <c r="R21" s="912">
        <v>0</v>
      </c>
      <c r="S21" s="912"/>
      <c r="T21" s="912">
        <v>0</v>
      </c>
      <c r="U21" s="912"/>
      <c r="V21" s="912">
        <v>0</v>
      </c>
      <c r="W21" s="912"/>
      <c r="X21" s="912">
        <f t="shared" si="16"/>
        <v>0</v>
      </c>
      <c r="Y21" s="909"/>
      <c r="Z21" s="449"/>
      <c r="AA21" s="909"/>
      <c r="AB21" s="912">
        <v>0</v>
      </c>
      <c r="AC21" s="912"/>
      <c r="AD21" s="912">
        <v>0</v>
      </c>
      <c r="AE21" s="912"/>
      <c r="AF21" s="912">
        <v>0</v>
      </c>
      <c r="AG21" s="909"/>
      <c r="AH21" s="784"/>
      <c r="AI21" s="909"/>
      <c r="AJ21" s="912">
        <v>0</v>
      </c>
      <c r="AK21" s="912"/>
      <c r="AL21" s="912">
        <v>0</v>
      </c>
      <c r="AM21" s="912"/>
      <c r="AN21" s="912">
        <v>0</v>
      </c>
      <c r="AO21" s="912"/>
      <c r="AP21" s="912">
        <f t="shared" si="14"/>
        <v>0</v>
      </c>
      <c r="AQ21" s="909"/>
      <c r="AR21" s="912">
        <v>0</v>
      </c>
      <c r="AS21" s="912"/>
      <c r="AT21" s="912">
        <v>0</v>
      </c>
      <c r="AU21" s="912"/>
      <c r="AV21" s="912">
        <v>0</v>
      </c>
      <c r="AW21" s="909"/>
      <c r="AX21" s="912">
        <v>0</v>
      </c>
      <c r="AY21" s="912"/>
      <c r="AZ21" s="912">
        <v>0</v>
      </c>
      <c r="BA21" s="912"/>
      <c r="BB21" s="912">
        <v>0</v>
      </c>
      <c r="BC21" s="912"/>
      <c r="BD21" s="912">
        <f t="shared" si="17"/>
        <v>0</v>
      </c>
      <c r="BE21" s="909"/>
      <c r="BF21" s="912">
        <v>0</v>
      </c>
      <c r="BG21" s="909"/>
      <c r="BH21" s="451"/>
      <c r="BI21" s="437">
        <f>A21</f>
        <v>108</v>
      </c>
    </row>
    <row r="22" spans="1:61" ht="15">
      <c r="A22" s="437">
        <f t="shared" si="15"/>
        <v>109</v>
      </c>
      <c r="B22" s="900" t="s">
        <v>838</v>
      </c>
      <c r="C22" s="900"/>
      <c r="D22" s="437"/>
      <c r="E22" s="437"/>
      <c r="F22" s="437"/>
      <c r="G22" s="437"/>
      <c r="H22" s="909">
        <f>SUM(H16:H21)</f>
        <v>0</v>
      </c>
      <c r="I22" s="437"/>
      <c r="J22" s="909">
        <f>SUM(J16:J21)</f>
        <v>0</v>
      </c>
      <c r="K22" s="909"/>
      <c r="L22" s="909">
        <f t="shared" ref="L22" si="18">SUM(L16:L21)</f>
        <v>0</v>
      </c>
      <c r="M22" s="909"/>
      <c r="N22" s="909">
        <f t="shared" ref="N22" si="19">SUM(N16:N21)</f>
        <v>0</v>
      </c>
      <c r="O22" s="909"/>
      <c r="P22" s="449"/>
      <c r="Q22" s="437"/>
      <c r="R22" s="909">
        <f>SUM(R16:R21)</f>
        <v>0</v>
      </c>
      <c r="S22" s="909"/>
      <c r="T22" s="909">
        <f t="shared" ref="T22" si="20">SUM(T16:T21)</f>
        <v>0</v>
      </c>
      <c r="U22" s="909"/>
      <c r="V22" s="909">
        <f t="shared" ref="V22" si="21">SUM(V16:V21)</f>
        <v>0</v>
      </c>
      <c r="W22" s="909"/>
      <c r="X22" s="909">
        <f>SUM(X16:X21)</f>
        <v>0</v>
      </c>
      <c r="Y22" s="909"/>
      <c r="Z22" s="909"/>
      <c r="AA22" s="909"/>
      <c r="AB22" s="909">
        <f>SUM(AB16:AB21)</f>
        <v>0</v>
      </c>
      <c r="AC22" s="909"/>
      <c r="AD22" s="909">
        <f t="shared" ref="AD22" si="22">SUM(AD16:AD21)</f>
        <v>0</v>
      </c>
      <c r="AE22" s="909"/>
      <c r="AF22" s="909">
        <f t="shared" ref="AF22" si="23">SUM(AF16:AF21)</f>
        <v>0</v>
      </c>
      <c r="AG22" s="909"/>
      <c r="AH22" s="449"/>
      <c r="AI22" s="909"/>
      <c r="AJ22" s="909">
        <f>SUM(AJ16:AJ21)</f>
        <v>0</v>
      </c>
      <c r="AK22" s="909"/>
      <c r="AL22" s="909">
        <f t="shared" ref="AL22" si="24">SUM(AL16:AL21)</f>
        <v>0</v>
      </c>
      <c r="AM22" s="909"/>
      <c r="AN22" s="909">
        <f t="shared" ref="AN22" si="25">SUM(AN16:AN21)</f>
        <v>0</v>
      </c>
      <c r="AO22" s="909"/>
      <c r="AP22" s="909">
        <f t="shared" ref="AP22" si="26">SUM(AP16:AP21)</f>
        <v>0</v>
      </c>
      <c r="AQ22" s="909"/>
      <c r="AR22" s="909">
        <f>SUM(AR16:AR21)</f>
        <v>0</v>
      </c>
      <c r="AS22" s="909"/>
      <c r="AT22" s="909">
        <f t="shared" ref="AT22" si="27">SUM(AT16:AT21)</f>
        <v>0</v>
      </c>
      <c r="AU22" s="909"/>
      <c r="AV22" s="909">
        <f t="shared" ref="AV22" si="28">SUM(AV16:AV21)</f>
        <v>0</v>
      </c>
      <c r="AW22" s="909"/>
      <c r="AX22" s="909">
        <f>SUM(AX16:AX21)</f>
        <v>0</v>
      </c>
      <c r="AY22" s="909"/>
      <c r="AZ22" s="909">
        <f t="shared" ref="AZ22" si="29">SUM(AZ16:AZ21)</f>
        <v>0</v>
      </c>
      <c r="BA22" s="909"/>
      <c r="BB22" s="909">
        <f t="shared" ref="BB22" si="30">SUM(BB16:BB21)</f>
        <v>0</v>
      </c>
      <c r="BC22" s="909"/>
      <c r="BD22" s="909">
        <f t="shared" ref="BD22" si="31">SUM(BD16:BD21)</f>
        <v>0</v>
      </c>
      <c r="BE22" s="909"/>
      <c r="BF22" s="909">
        <f>SUM(BF16:BF21)</f>
        <v>0</v>
      </c>
      <c r="BG22" s="909"/>
      <c r="BH22" s="451"/>
      <c r="BI22" s="437">
        <f>A22</f>
        <v>109</v>
      </c>
    </row>
    <row r="23" spans="1:61" ht="15">
      <c r="A23" s="437"/>
      <c r="B23" s="900"/>
      <c r="C23" s="900"/>
      <c r="D23" s="437"/>
      <c r="E23" s="437"/>
      <c r="F23" s="437"/>
      <c r="G23" s="437"/>
      <c r="H23" s="437"/>
      <c r="I23" s="437"/>
      <c r="J23" s="437"/>
      <c r="K23" s="437"/>
      <c r="L23" s="437"/>
      <c r="M23" s="437"/>
      <c r="N23" s="437"/>
      <c r="O23" s="437"/>
      <c r="P23" s="784"/>
      <c r="Q23" s="437"/>
      <c r="R23" s="909"/>
      <c r="S23" s="909"/>
      <c r="T23" s="909"/>
      <c r="U23" s="909"/>
      <c r="V23" s="909"/>
      <c r="W23" s="909"/>
      <c r="X23" s="909"/>
      <c r="Y23" s="909"/>
      <c r="Z23" s="909"/>
      <c r="AA23" s="909"/>
      <c r="AB23" s="909"/>
      <c r="AC23" s="909"/>
      <c r="AD23" s="909"/>
      <c r="AE23" s="909"/>
      <c r="AF23" s="909"/>
      <c r="AG23" s="909"/>
      <c r="AH23" s="449"/>
      <c r="AI23" s="909"/>
      <c r="AJ23" s="909"/>
      <c r="AK23" s="909"/>
      <c r="AL23" s="909"/>
      <c r="AM23" s="909"/>
      <c r="AN23" s="909"/>
      <c r="AO23" s="909"/>
      <c r="AP23" s="909"/>
      <c r="AQ23" s="909"/>
      <c r="AR23" s="909"/>
      <c r="AS23" s="909"/>
      <c r="AT23" s="909"/>
      <c r="AU23" s="909"/>
      <c r="AV23" s="909"/>
      <c r="AW23" s="909"/>
      <c r="AX23" s="909"/>
      <c r="AY23" s="909"/>
      <c r="AZ23" s="909"/>
      <c r="BA23" s="909"/>
      <c r="BB23" s="909"/>
      <c r="BC23" s="909"/>
      <c r="BD23" s="909"/>
      <c r="BE23" s="909"/>
      <c r="BF23" s="437"/>
      <c r="BG23" s="909"/>
      <c r="BH23" s="451"/>
      <c r="BI23" s="437"/>
    </row>
    <row r="24" spans="1:61" ht="15">
      <c r="A24" s="787" t="s">
        <v>86</v>
      </c>
      <c r="B24" s="911" t="s">
        <v>839</v>
      </c>
      <c r="C24" s="452"/>
      <c r="D24" s="436" t="s">
        <v>87</v>
      </c>
      <c r="E24" s="437"/>
      <c r="F24" s="437"/>
      <c r="G24" s="437"/>
      <c r="H24" s="437"/>
      <c r="I24" s="437"/>
      <c r="J24" s="437"/>
      <c r="K24" s="437"/>
      <c r="L24" s="437"/>
      <c r="M24" s="437"/>
      <c r="N24" s="437"/>
      <c r="O24" s="437"/>
      <c r="P24" s="784"/>
      <c r="Q24" s="437"/>
      <c r="R24" s="909"/>
      <c r="S24" s="909"/>
      <c r="T24" s="909"/>
      <c r="U24" s="909"/>
      <c r="V24" s="900"/>
      <c r="W24" s="900"/>
      <c r="X24" s="900"/>
      <c r="Y24" s="900"/>
      <c r="Z24" s="900"/>
      <c r="AA24" s="900"/>
      <c r="AB24" s="900"/>
      <c r="AC24" s="900"/>
      <c r="AD24" s="900"/>
      <c r="AE24" s="900"/>
      <c r="AF24" s="900"/>
      <c r="AG24" s="900"/>
      <c r="AH24" s="784"/>
      <c r="AI24" s="900"/>
      <c r="AJ24" s="909"/>
      <c r="AK24" s="909"/>
      <c r="AL24" s="909"/>
      <c r="AM24" s="909"/>
      <c r="AN24" s="900"/>
      <c r="AO24" s="900"/>
      <c r="AP24" s="900"/>
      <c r="AQ24" s="900"/>
      <c r="AR24" s="900"/>
      <c r="AS24" s="900"/>
      <c r="AT24" s="900"/>
      <c r="AU24" s="900"/>
      <c r="AV24" s="900"/>
      <c r="AW24" s="900"/>
      <c r="AX24" s="909"/>
      <c r="AY24" s="909"/>
      <c r="AZ24" s="909"/>
      <c r="BA24" s="909"/>
      <c r="BB24" s="900"/>
      <c r="BC24" s="900"/>
      <c r="BD24" s="900"/>
      <c r="BE24" s="900"/>
      <c r="BF24" s="437"/>
      <c r="BG24" s="900"/>
      <c r="BH24" s="451"/>
      <c r="BI24" s="907" t="s">
        <v>86</v>
      </c>
    </row>
    <row r="25" spans="1:61" ht="15">
      <c r="A25" s="437">
        <f>A12+100</f>
        <v>200</v>
      </c>
      <c r="B25" s="900" t="s">
        <v>846</v>
      </c>
      <c r="C25" s="900"/>
      <c r="D25" s="437"/>
      <c r="E25" s="437"/>
      <c r="F25" s="437"/>
      <c r="G25" s="437"/>
      <c r="H25" s="912">
        <f>ROUND(SUM(H26:H30),0)</f>
        <v>0</v>
      </c>
      <c r="I25" s="437"/>
      <c r="J25" s="912">
        <f>ROUND(SUM(J26:J30),0)</f>
        <v>0</v>
      </c>
      <c r="K25" s="909"/>
      <c r="L25" s="912">
        <f>ROUND(SUM(L26:L30),0)</f>
        <v>0</v>
      </c>
      <c r="M25" s="909"/>
      <c r="N25" s="912">
        <f>ROUND(SUM(N26:N30),0)</f>
        <v>0</v>
      </c>
      <c r="O25" s="437"/>
      <c r="P25" s="784"/>
      <c r="Q25" s="437"/>
      <c r="R25" s="912">
        <f>ROUND(SUM(R26:R30),0)</f>
        <v>0</v>
      </c>
      <c r="S25" s="909"/>
      <c r="T25" s="912">
        <f>ROUND(SUM(T26:T30),0)</f>
        <v>0</v>
      </c>
      <c r="U25" s="909"/>
      <c r="V25" s="912">
        <f>ROUND(SUM(V26:V30),0)</f>
        <v>0</v>
      </c>
      <c r="W25" s="909"/>
      <c r="X25" s="912">
        <f>ROUND(SUM(X26:X30),0)</f>
        <v>0</v>
      </c>
      <c r="Y25" s="909"/>
      <c r="Z25" s="909"/>
      <c r="AA25" s="909"/>
      <c r="AB25" s="912">
        <f>SUM(AB26:AB30)</f>
        <v>0</v>
      </c>
      <c r="AC25" s="909"/>
      <c r="AD25" s="912">
        <f>SUM(AD26:AD30)</f>
        <v>0</v>
      </c>
      <c r="AE25" s="909"/>
      <c r="AF25" s="912">
        <f>SUM(AF26:AF30)</f>
        <v>0</v>
      </c>
      <c r="AG25" s="909"/>
      <c r="AH25" s="449"/>
      <c r="AI25" s="909"/>
      <c r="AJ25" s="912">
        <f>SUM(AJ26:AJ30)</f>
        <v>0</v>
      </c>
      <c r="AK25" s="909"/>
      <c r="AL25" s="912">
        <f>SUM(AL26:AL30)</f>
        <v>0</v>
      </c>
      <c r="AM25" s="909"/>
      <c r="AN25" s="912">
        <f>SUM(AN26:AN30)</f>
        <v>0</v>
      </c>
      <c r="AO25" s="909"/>
      <c r="AP25" s="912">
        <f>SUM(AP26:AP30)</f>
        <v>0</v>
      </c>
      <c r="AQ25" s="909"/>
      <c r="AR25" s="912">
        <f>SUM(AR26:AR30)</f>
        <v>0</v>
      </c>
      <c r="AS25" s="909"/>
      <c r="AT25" s="912">
        <f>SUM(AT26:AT30)</f>
        <v>0</v>
      </c>
      <c r="AU25" s="909"/>
      <c r="AV25" s="912">
        <f>SUM(AV26:AV30)</f>
        <v>0</v>
      </c>
      <c r="AW25" s="909"/>
      <c r="AX25" s="912">
        <f>SUM(AX26:AX30)</f>
        <v>0</v>
      </c>
      <c r="AY25" s="909"/>
      <c r="AZ25" s="912">
        <f>SUM(AZ26:AZ30)</f>
        <v>0</v>
      </c>
      <c r="BA25" s="909"/>
      <c r="BB25" s="912">
        <f>SUM(BB26:BB30)</f>
        <v>0</v>
      </c>
      <c r="BC25" s="909"/>
      <c r="BD25" s="912">
        <f>SUM(BD26:BD30)</f>
        <v>0</v>
      </c>
      <c r="BE25" s="909"/>
      <c r="BF25" s="912">
        <f>ROUND(SUM(BF26:BF30),0)</f>
        <v>0</v>
      </c>
      <c r="BG25" s="909"/>
      <c r="BH25" s="910"/>
      <c r="BI25" s="437">
        <f t="shared" ref="BI25:BI30" si="32">A25</f>
        <v>200</v>
      </c>
    </row>
    <row r="26" spans="1:61" ht="15">
      <c r="A26" s="437">
        <f t="shared" si="15"/>
        <v>201</v>
      </c>
      <c r="B26" s="913"/>
      <c r="C26" s="900"/>
      <c r="D26" s="900" t="s">
        <v>847</v>
      </c>
      <c r="E26" s="437"/>
      <c r="F26" s="784" t="s">
        <v>1524</v>
      </c>
      <c r="G26" s="437"/>
      <c r="H26" s="914"/>
      <c r="I26" s="437"/>
      <c r="J26" s="914"/>
      <c r="K26" s="909"/>
      <c r="L26" s="914"/>
      <c r="M26" s="909"/>
      <c r="N26" s="914"/>
      <c r="O26" s="437"/>
      <c r="P26" s="784" t="s">
        <v>845</v>
      </c>
      <c r="Q26" s="437"/>
      <c r="R26" s="909">
        <f>N26</f>
        <v>0</v>
      </c>
      <c r="S26" s="909"/>
      <c r="T26" s="909">
        <v>0</v>
      </c>
      <c r="U26" s="909"/>
      <c r="V26" s="909">
        <v>0</v>
      </c>
      <c r="W26" s="909"/>
      <c r="X26" s="909">
        <f t="shared" ref="X26:X30" si="33">SUM(R26:V26)</f>
        <v>0</v>
      </c>
      <c r="Y26" s="909"/>
      <c r="Z26" s="449" t="s">
        <v>831</v>
      </c>
      <c r="AA26" s="909"/>
      <c r="AB26" s="914"/>
      <c r="AC26" s="909"/>
      <c r="AD26" s="909">
        <v>0</v>
      </c>
      <c r="AE26" s="909"/>
      <c r="AF26" s="909">
        <v>0</v>
      </c>
      <c r="AG26" s="909"/>
      <c r="AH26" s="449" t="s">
        <v>856</v>
      </c>
      <c r="AI26" s="909"/>
      <c r="AJ26" s="448">
        <f t="shared" ref="AJ26:AJ30" si="34">+R26-AB26</f>
        <v>0</v>
      </c>
      <c r="AK26" s="909"/>
      <c r="AL26" s="448">
        <f t="shared" ref="AL26:AL30" si="35">+T26-AD26</f>
        <v>0</v>
      </c>
      <c r="AM26" s="909"/>
      <c r="AN26" s="448">
        <f t="shared" ref="AN26:AN30" si="36">+V26-AF26</f>
        <v>0</v>
      </c>
      <c r="AO26" s="909"/>
      <c r="AP26" s="909">
        <f t="shared" ref="AP26:AP30" si="37">SUM(AJ26:AN26)</f>
        <v>0</v>
      </c>
      <c r="AQ26" s="909"/>
      <c r="AR26" s="914"/>
      <c r="AS26" s="909"/>
      <c r="AT26" s="909">
        <v>0</v>
      </c>
      <c r="AU26" s="909"/>
      <c r="AV26" s="909">
        <v>0</v>
      </c>
      <c r="AW26" s="909"/>
      <c r="AX26" s="448">
        <f>+AJ26-AR26</f>
        <v>0</v>
      </c>
      <c r="AY26" s="909"/>
      <c r="AZ26" s="448">
        <f>+AL26-AT26</f>
        <v>0</v>
      </c>
      <c r="BA26" s="909"/>
      <c r="BB26" s="448">
        <f>+AN26-AV26</f>
        <v>0</v>
      </c>
      <c r="BC26" s="909"/>
      <c r="BD26" s="909">
        <f t="shared" ref="BD26:BD30" si="38">SUM(AX26:BB26)</f>
        <v>0</v>
      </c>
      <c r="BE26" s="909"/>
      <c r="BF26" s="909">
        <f>+BD26*$BF$10</f>
        <v>0</v>
      </c>
      <c r="BG26" s="909"/>
      <c r="BH26" s="910"/>
      <c r="BI26" s="437">
        <f t="shared" si="32"/>
        <v>201</v>
      </c>
    </row>
    <row r="27" spans="1:61" ht="15">
      <c r="A27" s="437">
        <f t="shared" si="15"/>
        <v>202</v>
      </c>
      <c r="B27" s="913"/>
      <c r="C27" s="900"/>
      <c r="D27" s="900" t="s">
        <v>847</v>
      </c>
      <c r="E27" s="437"/>
      <c r="F27" s="784" t="s">
        <v>1524</v>
      </c>
      <c r="G27" s="437"/>
      <c r="H27" s="914"/>
      <c r="I27" s="437"/>
      <c r="J27" s="914"/>
      <c r="K27" s="909"/>
      <c r="L27" s="914"/>
      <c r="M27" s="909"/>
      <c r="N27" s="914"/>
      <c r="O27" s="437"/>
      <c r="P27" s="784" t="s">
        <v>845</v>
      </c>
      <c r="Q27" s="437"/>
      <c r="R27" s="909">
        <f t="shared" ref="R27:R28" si="39">N27</f>
        <v>0</v>
      </c>
      <c r="S27" s="909"/>
      <c r="T27" s="909">
        <v>0</v>
      </c>
      <c r="U27" s="909"/>
      <c r="V27" s="909">
        <v>0</v>
      </c>
      <c r="W27" s="909"/>
      <c r="X27" s="909">
        <f t="shared" si="33"/>
        <v>0</v>
      </c>
      <c r="Y27" s="909"/>
      <c r="Z27" s="449" t="s">
        <v>831</v>
      </c>
      <c r="AA27" s="909"/>
      <c r="AB27" s="914"/>
      <c r="AC27" s="909"/>
      <c r="AD27" s="909">
        <v>0</v>
      </c>
      <c r="AE27" s="909"/>
      <c r="AF27" s="909">
        <v>0</v>
      </c>
      <c r="AG27" s="909"/>
      <c r="AH27" s="449" t="s">
        <v>856</v>
      </c>
      <c r="AI27" s="909"/>
      <c r="AJ27" s="448">
        <f t="shared" si="34"/>
        <v>0</v>
      </c>
      <c r="AK27" s="909"/>
      <c r="AL27" s="448">
        <f t="shared" si="35"/>
        <v>0</v>
      </c>
      <c r="AM27" s="909"/>
      <c r="AN27" s="448">
        <f t="shared" si="36"/>
        <v>0</v>
      </c>
      <c r="AO27" s="909"/>
      <c r="AP27" s="909">
        <f t="shared" si="37"/>
        <v>0</v>
      </c>
      <c r="AQ27" s="909"/>
      <c r="AR27" s="914"/>
      <c r="AS27" s="909"/>
      <c r="AT27" s="909">
        <v>0</v>
      </c>
      <c r="AU27" s="909"/>
      <c r="AV27" s="909">
        <v>0</v>
      </c>
      <c r="AW27" s="909"/>
      <c r="AX27" s="448">
        <f>+AJ27-AR27</f>
        <v>0</v>
      </c>
      <c r="AY27" s="909"/>
      <c r="AZ27" s="448">
        <f>+AL27-AT27</f>
        <v>0</v>
      </c>
      <c r="BA27" s="909"/>
      <c r="BB27" s="448">
        <f>+AN27-AV27</f>
        <v>0</v>
      </c>
      <c r="BC27" s="909"/>
      <c r="BD27" s="909">
        <f t="shared" si="38"/>
        <v>0</v>
      </c>
      <c r="BE27" s="909"/>
      <c r="BF27" s="909">
        <f>+BD27*$BF$10</f>
        <v>0</v>
      </c>
      <c r="BG27" s="909"/>
      <c r="BH27" s="910"/>
      <c r="BI27" s="437">
        <f t="shared" si="32"/>
        <v>202</v>
      </c>
    </row>
    <row r="28" spans="1:61" ht="15">
      <c r="A28" s="437">
        <f t="shared" si="15"/>
        <v>203</v>
      </c>
      <c r="B28" s="913"/>
      <c r="C28" s="900"/>
      <c r="D28" s="900" t="s">
        <v>847</v>
      </c>
      <c r="E28" s="437"/>
      <c r="F28" s="784" t="s">
        <v>1524</v>
      </c>
      <c r="G28" s="437"/>
      <c r="H28" s="914"/>
      <c r="I28" s="437"/>
      <c r="J28" s="914"/>
      <c r="K28" s="909"/>
      <c r="L28" s="914"/>
      <c r="M28" s="909"/>
      <c r="N28" s="914"/>
      <c r="O28" s="437"/>
      <c r="P28" s="784" t="s">
        <v>845</v>
      </c>
      <c r="Q28" s="437"/>
      <c r="R28" s="909">
        <f t="shared" si="39"/>
        <v>0</v>
      </c>
      <c r="S28" s="909"/>
      <c r="T28" s="909">
        <v>0</v>
      </c>
      <c r="U28" s="909"/>
      <c r="V28" s="909">
        <v>0</v>
      </c>
      <c r="W28" s="909"/>
      <c r="X28" s="909">
        <f t="shared" si="33"/>
        <v>0</v>
      </c>
      <c r="Y28" s="909"/>
      <c r="Z28" s="449" t="s">
        <v>831</v>
      </c>
      <c r="AA28" s="909"/>
      <c r="AB28" s="914"/>
      <c r="AC28" s="909"/>
      <c r="AD28" s="909">
        <v>0</v>
      </c>
      <c r="AE28" s="909"/>
      <c r="AF28" s="909">
        <v>0</v>
      </c>
      <c r="AG28" s="909"/>
      <c r="AH28" s="449" t="s">
        <v>856</v>
      </c>
      <c r="AI28" s="909"/>
      <c r="AJ28" s="448">
        <f t="shared" si="34"/>
        <v>0</v>
      </c>
      <c r="AK28" s="909"/>
      <c r="AL28" s="448">
        <f t="shared" si="35"/>
        <v>0</v>
      </c>
      <c r="AM28" s="909"/>
      <c r="AN28" s="448">
        <f t="shared" si="36"/>
        <v>0</v>
      </c>
      <c r="AO28" s="909"/>
      <c r="AP28" s="909">
        <f t="shared" si="37"/>
        <v>0</v>
      </c>
      <c r="AQ28" s="909"/>
      <c r="AR28" s="914"/>
      <c r="AS28" s="909"/>
      <c r="AT28" s="909">
        <v>0</v>
      </c>
      <c r="AU28" s="909"/>
      <c r="AV28" s="909">
        <v>0</v>
      </c>
      <c r="AW28" s="909"/>
      <c r="AX28" s="448">
        <f>+AJ28-AR28</f>
        <v>0</v>
      </c>
      <c r="AY28" s="909"/>
      <c r="AZ28" s="448">
        <f>+AL28-AT28</f>
        <v>0</v>
      </c>
      <c r="BA28" s="909"/>
      <c r="BB28" s="448">
        <f>+AN28-AV28</f>
        <v>0</v>
      </c>
      <c r="BC28" s="909"/>
      <c r="BD28" s="909">
        <f t="shared" si="38"/>
        <v>0</v>
      </c>
      <c r="BE28" s="909"/>
      <c r="BF28" s="909">
        <f>+BD28*$BF$10</f>
        <v>0</v>
      </c>
      <c r="BG28" s="909"/>
      <c r="BH28" s="910"/>
      <c r="BI28" s="437">
        <f t="shared" si="32"/>
        <v>203</v>
      </c>
    </row>
    <row r="29" spans="1:61" ht="15">
      <c r="A29" s="437">
        <f t="shared" si="15"/>
        <v>204</v>
      </c>
      <c r="B29" s="915" t="s">
        <v>370</v>
      </c>
      <c r="C29" s="900"/>
      <c r="D29" s="437"/>
      <c r="E29" s="437"/>
      <c r="F29" s="437"/>
      <c r="G29" s="437"/>
      <c r="H29" s="914"/>
      <c r="I29" s="437"/>
      <c r="J29" s="914"/>
      <c r="K29" s="909"/>
      <c r="L29" s="914"/>
      <c r="M29" s="909"/>
      <c r="N29" s="914"/>
      <c r="O29" s="437"/>
      <c r="P29" s="784"/>
      <c r="Q29" s="437"/>
      <c r="R29" s="909">
        <v>0</v>
      </c>
      <c r="S29" s="909"/>
      <c r="T29" s="909">
        <v>0</v>
      </c>
      <c r="U29" s="909"/>
      <c r="V29" s="909">
        <v>0</v>
      </c>
      <c r="W29" s="909"/>
      <c r="X29" s="909">
        <f t="shared" si="33"/>
        <v>0</v>
      </c>
      <c r="Y29" s="909"/>
      <c r="Z29" s="449"/>
      <c r="AA29" s="909"/>
      <c r="AB29" s="914"/>
      <c r="AC29" s="909"/>
      <c r="AD29" s="909">
        <v>0</v>
      </c>
      <c r="AE29" s="909"/>
      <c r="AF29" s="909">
        <v>0</v>
      </c>
      <c r="AG29" s="909"/>
      <c r="AH29" s="449"/>
      <c r="AI29" s="909"/>
      <c r="AJ29" s="448">
        <f t="shared" si="34"/>
        <v>0</v>
      </c>
      <c r="AK29" s="909"/>
      <c r="AL29" s="448">
        <f t="shared" si="35"/>
        <v>0</v>
      </c>
      <c r="AM29" s="909"/>
      <c r="AN29" s="448">
        <f t="shared" si="36"/>
        <v>0</v>
      </c>
      <c r="AO29" s="909"/>
      <c r="AP29" s="909">
        <f t="shared" si="37"/>
        <v>0</v>
      </c>
      <c r="AQ29" s="909"/>
      <c r="AR29" s="914"/>
      <c r="AS29" s="909"/>
      <c r="AT29" s="909">
        <v>0</v>
      </c>
      <c r="AU29" s="909"/>
      <c r="AV29" s="909">
        <v>0</v>
      </c>
      <c r="AW29" s="909"/>
      <c r="AX29" s="448">
        <f>+AJ29-AR29</f>
        <v>0</v>
      </c>
      <c r="AY29" s="909"/>
      <c r="AZ29" s="448">
        <f>+AL29-AT29</f>
        <v>0</v>
      </c>
      <c r="BA29" s="909"/>
      <c r="BB29" s="448">
        <f>+AN29-AV29</f>
        <v>0</v>
      </c>
      <c r="BC29" s="909"/>
      <c r="BD29" s="909">
        <f t="shared" si="38"/>
        <v>0</v>
      </c>
      <c r="BE29" s="909"/>
      <c r="BF29" s="909">
        <f>+BD29*$BF$10</f>
        <v>0</v>
      </c>
      <c r="BG29" s="909"/>
      <c r="BH29" s="910"/>
      <c r="BI29" s="437">
        <f t="shared" si="32"/>
        <v>204</v>
      </c>
    </row>
    <row r="30" spans="1:61" ht="15">
      <c r="A30" s="437">
        <f>+A29+1</f>
        <v>205</v>
      </c>
      <c r="B30" s="915" t="s">
        <v>370</v>
      </c>
      <c r="C30" s="916"/>
      <c r="D30" s="900"/>
      <c r="E30" s="900"/>
      <c r="F30" s="784"/>
      <c r="G30" s="900"/>
      <c r="H30" s="914"/>
      <c r="I30" s="900"/>
      <c r="J30" s="914"/>
      <c r="K30" s="909"/>
      <c r="L30" s="914"/>
      <c r="M30" s="909"/>
      <c r="N30" s="914"/>
      <c r="O30" s="900"/>
      <c r="P30" s="784"/>
      <c r="Q30" s="900"/>
      <c r="R30" s="909">
        <v>0</v>
      </c>
      <c r="S30" s="909"/>
      <c r="T30" s="909">
        <v>0</v>
      </c>
      <c r="U30" s="909"/>
      <c r="V30" s="909">
        <v>0</v>
      </c>
      <c r="W30" s="909"/>
      <c r="X30" s="909">
        <f t="shared" si="33"/>
        <v>0</v>
      </c>
      <c r="Y30" s="909"/>
      <c r="Z30" s="449"/>
      <c r="AA30" s="909"/>
      <c r="AB30" s="914"/>
      <c r="AC30" s="909"/>
      <c r="AD30" s="909">
        <v>0</v>
      </c>
      <c r="AE30" s="909"/>
      <c r="AF30" s="909">
        <v>0</v>
      </c>
      <c r="AG30" s="909"/>
      <c r="AH30" s="449"/>
      <c r="AI30" s="909"/>
      <c r="AJ30" s="448">
        <f t="shared" si="34"/>
        <v>0</v>
      </c>
      <c r="AK30" s="909"/>
      <c r="AL30" s="448">
        <f t="shared" si="35"/>
        <v>0</v>
      </c>
      <c r="AM30" s="909"/>
      <c r="AN30" s="448">
        <f t="shared" si="36"/>
        <v>0</v>
      </c>
      <c r="AO30" s="909"/>
      <c r="AP30" s="909">
        <f t="shared" si="37"/>
        <v>0</v>
      </c>
      <c r="AQ30" s="438"/>
      <c r="AR30" s="914"/>
      <c r="AS30" s="909"/>
      <c r="AT30" s="909">
        <v>0</v>
      </c>
      <c r="AU30" s="909"/>
      <c r="AV30" s="909">
        <v>0</v>
      </c>
      <c r="AW30" s="909"/>
      <c r="AX30" s="448">
        <f>+AJ30-AR30</f>
        <v>0</v>
      </c>
      <c r="AY30" s="909"/>
      <c r="AZ30" s="448">
        <f>+AL30-AT30</f>
        <v>0</v>
      </c>
      <c r="BA30" s="909"/>
      <c r="BB30" s="448">
        <f>+AN30-AV30</f>
        <v>0</v>
      </c>
      <c r="BC30" s="909"/>
      <c r="BD30" s="909">
        <f t="shared" si="38"/>
        <v>0</v>
      </c>
      <c r="BE30" s="438"/>
      <c r="BF30" s="909">
        <f>+BD30*$BF$10</f>
        <v>0</v>
      </c>
      <c r="BG30" s="438"/>
      <c r="BH30" s="900"/>
      <c r="BI30" s="437">
        <f t="shared" si="32"/>
        <v>205</v>
      </c>
    </row>
    <row r="31" spans="1:61" ht="15">
      <c r="A31" s="437"/>
      <c r="B31" s="784"/>
      <c r="C31" s="916"/>
      <c r="D31" s="900"/>
      <c r="E31" s="900"/>
      <c r="F31" s="784"/>
      <c r="G31" s="900"/>
      <c r="H31" s="909"/>
      <c r="I31" s="900"/>
      <c r="J31" s="909"/>
      <c r="K31" s="909"/>
      <c r="L31" s="909"/>
      <c r="M31" s="909"/>
      <c r="N31" s="909"/>
      <c r="O31" s="900"/>
      <c r="P31" s="784"/>
      <c r="Q31" s="900"/>
      <c r="R31" s="909"/>
      <c r="S31" s="909"/>
      <c r="T31" s="909"/>
      <c r="U31" s="909"/>
      <c r="V31" s="909"/>
      <c r="W31" s="909"/>
      <c r="X31" s="909"/>
      <c r="Y31" s="909"/>
      <c r="Z31" s="449"/>
      <c r="AA31" s="909"/>
      <c r="AB31" s="909"/>
      <c r="AC31" s="909"/>
      <c r="AD31" s="909"/>
      <c r="AE31" s="909"/>
      <c r="AF31" s="909"/>
      <c r="AG31" s="909"/>
      <c r="AH31" s="449"/>
      <c r="AI31" s="909"/>
      <c r="AJ31" s="909"/>
      <c r="AK31" s="909"/>
      <c r="AL31" s="909"/>
      <c r="AM31" s="909"/>
      <c r="AN31" s="909"/>
      <c r="AO31" s="909"/>
      <c r="AP31" s="909"/>
      <c r="AQ31" s="438"/>
      <c r="AR31" s="909"/>
      <c r="AS31" s="909"/>
      <c r="AT31" s="909"/>
      <c r="AU31" s="909"/>
      <c r="AV31" s="909"/>
      <c r="AW31" s="909"/>
      <c r="AX31" s="909"/>
      <c r="AY31" s="909"/>
      <c r="AZ31" s="909"/>
      <c r="BA31" s="909"/>
      <c r="BB31" s="909"/>
      <c r="BC31" s="909"/>
      <c r="BD31" s="909"/>
      <c r="BE31" s="438"/>
      <c r="BF31" s="909"/>
      <c r="BG31" s="438"/>
      <c r="BH31" s="900"/>
      <c r="BI31" s="437"/>
    </row>
    <row r="32" spans="1:61" ht="15">
      <c r="A32" s="787" t="s">
        <v>86</v>
      </c>
      <c r="F32" s="917"/>
      <c r="H32" s="908"/>
      <c r="P32" s="918"/>
      <c r="R32" s="909"/>
      <c r="S32" s="909"/>
      <c r="T32" s="909"/>
      <c r="U32" s="909"/>
      <c r="V32" s="909"/>
      <c r="W32" s="909"/>
      <c r="X32" s="909"/>
      <c r="Y32" s="909"/>
      <c r="Z32" s="449"/>
      <c r="AA32" s="909"/>
      <c r="AC32" s="909"/>
      <c r="AE32" s="909"/>
      <c r="AG32" s="909"/>
      <c r="AH32" s="449"/>
      <c r="AI32" s="909"/>
      <c r="AJ32" s="909"/>
      <c r="AK32" s="909"/>
      <c r="AL32" s="909"/>
      <c r="AM32" s="909"/>
      <c r="AN32" s="909"/>
      <c r="AO32" s="909"/>
      <c r="AP32" s="909"/>
      <c r="AS32" s="909"/>
      <c r="AU32" s="909"/>
      <c r="AW32" s="909"/>
      <c r="AX32" s="909"/>
      <c r="AY32" s="909"/>
      <c r="AZ32" s="909"/>
      <c r="BA32" s="909"/>
      <c r="BB32" s="909"/>
      <c r="BC32" s="909"/>
      <c r="BD32" s="909"/>
      <c r="BI32" s="787" t="s">
        <v>86</v>
      </c>
    </row>
    <row r="33" spans="1:61" ht="15">
      <c r="A33" s="437">
        <f>A25+100</f>
        <v>300</v>
      </c>
      <c r="B33" s="900" t="s">
        <v>840</v>
      </c>
      <c r="F33" s="917"/>
      <c r="H33" s="912">
        <f>ROUND(SUM(H34:H90),0)</f>
        <v>0</v>
      </c>
      <c r="J33" s="912">
        <f>ROUND(SUM(J34:J90),0)</f>
        <v>0</v>
      </c>
      <c r="K33" s="909"/>
      <c r="L33" s="912">
        <f>ROUND(SUM(L34:L90),0)</f>
        <v>0</v>
      </c>
      <c r="M33" s="909"/>
      <c r="N33" s="912">
        <f>ROUND(SUM(N34:N90),0)</f>
        <v>0</v>
      </c>
      <c r="O33" s="437"/>
      <c r="P33" s="784"/>
      <c r="Q33" s="437"/>
      <c r="R33" s="912">
        <f>ROUND(SUM(R34:R90),0)</f>
        <v>0</v>
      </c>
      <c r="S33" s="909"/>
      <c r="T33" s="912">
        <f>ROUND(SUM(T34:T90),0)</f>
        <v>0</v>
      </c>
      <c r="U33" s="909"/>
      <c r="V33" s="912">
        <f>ROUND(SUM(V34:V90),0)</f>
        <v>0</v>
      </c>
      <c r="W33" s="909"/>
      <c r="X33" s="912">
        <f>ROUND(SUM(X34:X90),0)</f>
        <v>0</v>
      </c>
      <c r="Y33" s="909"/>
      <c r="Z33" s="449"/>
      <c r="AA33" s="909"/>
      <c r="AB33" s="912">
        <f>SUM(AB34:AB90)</f>
        <v>0</v>
      </c>
      <c r="AC33" s="909"/>
      <c r="AD33" s="912">
        <f>SUM(AD34:AD90)</f>
        <v>0</v>
      </c>
      <c r="AE33" s="909"/>
      <c r="AF33" s="912">
        <f>SUM(AF34:AF90)</f>
        <v>0</v>
      </c>
      <c r="AG33" s="909"/>
      <c r="AH33" s="449"/>
      <c r="AI33" s="909"/>
      <c r="AJ33" s="912">
        <f>SUM(AJ34:AJ90)</f>
        <v>0</v>
      </c>
      <c r="AK33" s="909"/>
      <c r="AL33" s="912">
        <f>SUM(AL34:AL90)</f>
        <v>0</v>
      </c>
      <c r="AM33" s="909"/>
      <c r="AN33" s="912">
        <f>SUM(AN34:AN90)</f>
        <v>0</v>
      </c>
      <c r="AO33" s="909"/>
      <c r="AP33" s="912">
        <f>SUM(AP34:AP90)</f>
        <v>0</v>
      </c>
      <c r="AR33" s="912">
        <f>SUM(AR34:AR90)</f>
        <v>0</v>
      </c>
      <c r="AS33" s="909"/>
      <c r="AT33" s="912">
        <f>SUM(AT34:AT90)</f>
        <v>0</v>
      </c>
      <c r="AU33" s="909"/>
      <c r="AV33" s="912">
        <f>SUM(AV34:AV90)</f>
        <v>0</v>
      </c>
      <c r="AW33" s="909"/>
      <c r="AX33" s="912">
        <f>SUM(AX34:AX90)</f>
        <v>0</v>
      </c>
      <c r="AY33" s="909"/>
      <c r="AZ33" s="912">
        <f>SUM(AZ34:AZ90)</f>
        <v>0</v>
      </c>
      <c r="BA33" s="909"/>
      <c r="BB33" s="912">
        <f>SUM(BB34:BB90)</f>
        <v>0</v>
      </c>
      <c r="BC33" s="909"/>
      <c r="BD33" s="912">
        <f>SUM(BD34:BD90)</f>
        <v>0</v>
      </c>
      <c r="BF33" s="912">
        <f>ROUND(SUM(BF34:BF90),0)</f>
        <v>0</v>
      </c>
      <c r="BI33" s="437">
        <f t="shared" ref="BI33:BI90" si="40">A33</f>
        <v>300</v>
      </c>
    </row>
    <row r="34" spans="1:61" ht="15">
      <c r="A34" s="437">
        <f t="shared" ref="A34:A90" si="41">A33+1</f>
        <v>301</v>
      </c>
      <c r="B34" s="913"/>
      <c r="F34" s="917" t="s">
        <v>1524</v>
      </c>
      <c r="H34" s="914"/>
      <c r="J34" s="914"/>
      <c r="K34" s="909"/>
      <c r="L34" s="914"/>
      <c r="M34" s="909"/>
      <c r="N34" s="914"/>
      <c r="P34" s="919" t="s">
        <v>845</v>
      </c>
      <c r="R34" s="909">
        <v>0</v>
      </c>
      <c r="S34" s="909"/>
      <c r="T34" s="909">
        <f>N34</f>
        <v>0</v>
      </c>
      <c r="U34" s="909"/>
      <c r="V34" s="909">
        <v>0</v>
      </c>
      <c r="W34" s="909"/>
      <c r="X34" s="909">
        <f>SUM(R34:V34)</f>
        <v>0</v>
      </c>
      <c r="Y34" s="909"/>
      <c r="Z34" s="449" t="s">
        <v>1534</v>
      </c>
      <c r="AA34" s="909"/>
      <c r="AB34" s="909">
        <v>0</v>
      </c>
      <c r="AC34" s="909"/>
      <c r="AD34" s="914"/>
      <c r="AE34" s="909"/>
      <c r="AF34" s="909">
        <v>0</v>
      </c>
      <c r="AG34" s="909"/>
      <c r="AH34" s="449" t="s">
        <v>856</v>
      </c>
      <c r="AI34" s="909"/>
      <c r="AJ34" s="448">
        <f t="shared" ref="AJ34:AJ90" si="42">+R34-AB34</f>
        <v>0</v>
      </c>
      <c r="AK34" s="909"/>
      <c r="AL34" s="448">
        <f t="shared" ref="AL34:AL90" si="43">+T34-AD34</f>
        <v>0</v>
      </c>
      <c r="AM34" s="909"/>
      <c r="AN34" s="448">
        <f t="shared" ref="AN34:AN90" si="44">+V34-AF34</f>
        <v>0</v>
      </c>
      <c r="AO34" s="909"/>
      <c r="AP34" s="909">
        <f t="shared" ref="AP34:AP90" si="45">SUM(AJ34:AN34)</f>
        <v>0</v>
      </c>
      <c r="AR34" s="909">
        <v>0</v>
      </c>
      <c r="AS34" s="909"/>
      <c r="AT34" s="914"/>
      <c r="AU34" s="909"/>
      <c r="AV34" s="909">
        <v>0</v>
      </c>
      <c r="AW34" s="909"/>
      <c r="AX34" s="448">
        <f t="shared" ref="AX34:AX90" si="46">+AJ34-AR34</f>
        <v>0</v>
      </c>
      <c r="AY34" s="909"/>
      <c r="AZ34" s="448">
        <f t="shared" ref="AZ34:AZ90" si="47">+AL34-AT34</f>
        <v>0</v>
      </c>
      <c r="BA34" s="909"/>
      <c r="BB34" s="448">
        <f t="shared" ref="BB34:BB90" si="48">+AN34-AV34</f>
        <v>0</v>
      </c>
      <c r="BC34" s="909"/>
      <c r="BD34" s="909">
        <f t="shared" ref="BD34:BD90" si="49">SUM(AX34:BB34)</f>
        <v>0</v>
      </c>
      <c r="BF34" s="909">
        <f t="shared" ref="BF34:BF90" si="50">+BD34*$BF$10</f>
        <v>0</v>
      </c>
      <c r="BI34" s="437">
        <f t="shared" si="40"/>
        <v>301</v>
      </c>
    </row>
    <row r="35" spans="1:61" ht="15">
      <c r="A35" s="437">
        <f t="shared" si="41"/>
        <v>302</v>
      </c>
      <c r="B35" s="913"/>
      <c r="F35" s="917" t="s">
        <v>1524</v>
      </c>
      <c r="H35" s="914"/>
      <c r="J35" s="914"/>
      <c r="K35" s="909"/>
      <c r="L35" s="914"/>
      <c r="M35" s="909"/>
      <c r="N35" s="914"/>
      <c r="P35" s="919" t="s">
        <v>845</v>
      </c>
      <c r="R35" s="909">
        <v>0</v>
      </c>
      <c r="S35" s="909"/>
      <c r="T35" s="909">
        <f t="shared" ref="T35:T90" si="51">N35</f>
        <v>0</v>
      </c>
      <c r="U35" s="909"/>
      <c r="V35" s="909">
        <v>0</v>
      </c>
      <c r="W35" s="909"/>
      <c r="X35" s="909">
        <f t="shared" ref="X35:X96" si="52">SUM(R35:V35)</f>
        <v>0</v>
      </c>
      <c r="Y35" s="909"/>
      <c r="Z35" s="449" t="s">
        <v>1534</v>
      </c>
      <c r="AA35" s="909"/>
      <c r="AB35" s="909">
        <v>0</v>
      </c>
      <c r="AC35" s="909"/>
      <c r="AD35" s="914"/>
      <c r="AE35" s="909"/>
      <c r="AF35" s="909">
        <v>0</v>
      </c>
      <c r="AG35" s="909"/>
      <c r="AH35" s="449" t="s">
        <v>856</v>
      </c>
      <c r="AI35" s="909"/>
      <c r="AJ35" s="448">
        <f t="shared" si="42"/>
        <v>0</v>
      </c>
      <c r="AK35" s="909"/>
      <c r="AL35" s="448">
        <f t="shared" si="43"/>
        <v>0</v>
      </c>
      <c r="AM35" s="909"/>
      <c r="AN35" s="448">
        <f t="shared" si="44"/>
        <v>0</v>
      </c>
      <c r="AO35" s="909"/>
      <c r="AP35" s="909">
        <f t="shared" si="45"/>
        <v>0</v>
      </c>
      <c r="AR35" s="909">
        <v>0</v>
      </c>
      <c r="AS35" s="909"/>
      <c r="AT35" s="914"/>
      <c r="AU35" s="909"/>
      <c r="AV35" s="909">
        <v>0</v>
      </c>
      <c r="AW35" s="909"/>
      <c r="AX35" s="448">
        <f t="shared" si="46"/>
        <v>0</v>
      </c>
      <c r="AY35" s="909"/>
      <c r="AZ35" s="448">
        <f t="shared" si="47"/>
        <v>0</v>
      </c>
      <c r="BA35" s="909"/>
      <c r="BB35" s="448">
        <f t="shared" si="48"/>
        <v>0</v>
      </c>
      <c r="BC35" s="909"/>
      <c r="BD35" s="909">
        <f t="shared" si="49"/>
        <v>0</v>
      </c>
      <c r="BF35" s="909">
        <f t="shared" si="50"/>
        <v>0</v>
      </c>
      <c r="BI35" s="437">
        <f t="shared" si="40"/>
        <v>302</v>
      </c>
    </row>
    <row r="36" spans="1:61" ht="15">
      <c r="A36" s="437">
        <f t="shared" si="41"/>
        <v>303</v>
      </c>
      <c r="B36" s="913"/>
      <c r="F36" s="917" t="s">
        <v>1524</v>
      </c>
      <c r="H36" s="914"/>
      <c r="J36" s="914"/>
      <c r="K36" s="909"/>
      <c r="L36" s="914"/>
      <c r="M36" s="909"/>
      <c r="N36" s="914"/>
      <c r="P36" s="919" t="s">
        <v>845</v>
      </c>
      <c r="R36" s="909">
        <v>0</v>
      </c>
      <c r="S36" s="909"/>
      <c r="T36" s="909">
        <f t="shared" si="51"/>
        <v>0</v>
      </c>
      <c r="U36" s="909"/>
      <c r="V36" s="909">
        <v>0</v>
      </c>
      <c r="W36" s="909"/>
      <c r="X36" s="909">
        <f t="shared" si="52"/>
        <v>0</v>
      </c>
      <c r="Y36" s="909"/>
      <c r="Z36" s="449" t="s">
        <v>1534</v>
      </c>
      <c r="AA36" s="909"/>
      <c r="AB36" s="909">
        <v>0</v>
      </c>
      <c r="AC36" s="909"/>
      <c r="AD36" s="914"/>
      <c r="AE36" s="909"/>
      <c r="AF36" s="909">
        <v>0</v>
      </c>
      <c r="AG36" s="909"/>
      <c r="AH36" s="449" t="s">
        <v>856</v>
      </c>
      <c r="AI36" s="909"/>
      <c r="AJ36" s="448">
        <f t="shared" si="42"/>
        <v>0</v>
      </c>
      <c r="AK36" s="909"/>
      <c r="AL36" s="448">
        <f t="shared" si="43"/>
        <v>0</v>
      </c>
      <c r="AM36" s="909"/>
      <c r="AN36" s="448">
        <f t="shared" si="44"/>
        <v>0</v>
      </c>
      <c r="AO36" s="909"/>
      <c r="AP36" s="909">
        <f t="shared" si="45"/>
        <v>0</v>
      </c>
      <c r="AR36" s="909">
        <v>0</v>
      </c>
      <c r="AS36" s="909"/>
      <c r="AT36" s="914"/>
      <c r="AU36" s="909"/>
      <c r="AV36" s="909">
        <v>0</v>
      </c>
      <c r="AW36" s="909"/>
      <c r="AX36" s="448">
        <f t="shared" si="46"/>
        <v>0</v>
      </c>
      <c r="AY36" s="909"/>
      <c r="AZ36" s="448">
        <f t="shared" si="47"/>
        <v>0</v>
      </c>
      <c r="BA36" s="909"/>
      <c r="BB36" s="448">
        <f t="shared" si="48"/>
        <v>0</v>
      </c>
      <c r="BC36" s="909"/>
      <c r="BD36" s="909">
        <f t="shared" si="49"/>
        <v>0</v>
      </c>
      <c r="BF36" s="909">
        <f t="shared" si="50"/>
        <v>0</v>
      </c>
      <c r="BI36" s="437">
        <f t="shared" si="40"/>
        <v>303</v>
      </c>
    </row>
    <row r="37" spans="1:61" ht="15">
      <c r="A37" s="437">
        <f t="shared" si="41"/>
        <v>304</v>
      </c>
      <c r="B37" s="913"/>
      <c r="F37" s="917" t="s">
        <v>1524</v>
      </c>
      <c r="H37" s="914"/>
      <c r="J37" s="914"/>
      <c r="K37" s="909"/>
      <c r="L37" s="914"/>
      <c r="M37" s="909"/>
      <c r="N37" s="914"/>
      <c r="P37" s="919" t="s">
        <v>845</v>
      </c>
      <c r="R37" s="909">
        <v>0</v>
      </c>
      <c r="S37" s="909"/>
      <c r="T37" s="909">
        <f t="shared" si="51"/>
        <v>0</v>
      </c>
      <c r="U37" s="909"/>
      <c r="V37" s="909">
        <v>0</v>
      </c>
      <c r="W37" s="909"/>
      <c r="X37" s="909">
        <f t="shared" si="52"/>
        <v>0</v>
      </c>
      <c r="Y37" s="909"/>
      <c r="Z37" s="449" t="s">
        <v>1534</v>
      </c>
      <c r="AA37" s="909"/>
      <c r="AB37" s="909">
        <v>0</v>
      </c>
      <c r="AC37" s="909"/>
      <c r="AD37" s="914"/>
      <c r="AE37" s="909"/>
      <c r="AF37" s="909">
        <v>0</v>
      </c>
      <c r="AG37" s="909"/>
      <c r="AH37" s="449" t="s">
        <v>856</v>
      </c>
      <c r="AI37" s="909"/>
      <c r="AJ37" s="448">
        <f t="shared" si="42"/>
        <v>0</v>
      </c>
      <c r="AK37" s="909"/>
      <c r="AL37" s="448">
        <f t="shared" si="43"/>
        <v>0</v>
      </c>
      <c r="AM37" s="909"/>
      <c r="AN37" s="448">
        <f t="shared" si="44"/>
        <v>0</v>
      </c>
      <c r="AO37" s="909"/>
      <c r="AP37" s="909">
        <f t="shared" si="45"/>
        <v>0</v>
      </c>
      <c r="AR37" s="909">
        <v>0</v>
      </c>
      <c r="AS37" s="909"/>
      <c r="AT37" s="914"/>
      <c r="AU37" s="909"/>
      <c r="AV37" s="909">
        <v>0</v>
      </c>
      <c r="AW37" s="909"/>
      <c r="AX37" s="448">
        <f t="shared" si="46"/>
        <v>0</v>
      </c>
      <c r="AY37" s="909"/>
      <c r="AZ37" s="448">
        <f t="shared" si="47"/>
        <v>0</v>
      </c>
      <c r="BA37" s="909"/>
      <c r="BB37" s="448">
        <f t="shared" si="48"/>
        <v>0</v>
      </c>
      <c r="BC37" s="909"/>
      <c r="BD37" s="909">
        <f t="shared" si="49"/>
        <v>0</v>
      </c>
      <c r="BF37" s="909">
        <f t="shared" si="50"/>
        <v>0</v>
      </c>
      <c r="BI37" s="437">
        <f t="shared" si="40"/>
        <v>304</v>
      </c>
    </row>
    <row r="38" spans="1:61" ht="15">
      <c r="A38" s="437">
        <f t="shared" si="41"/>
        <v>305</v>
      </c>
      <c r="B38" s="913"/>
      <c r="F38" s="917" t="s">
        <v>1524</v>
      </c>
      <c r="H38" s="914"/>
      <c r="J38" s="914"/>
      <c r="K38" s="909"/>
      <c r="L38" s="914"/>
      <c r="M38" s="909"/>
      <c r="N38" s="914"/>
      <c r="P38" s="919" t="s">
        <v>845</v>
      </c>
      <c r="R38" s="909">
        <v>0</v>
      </c>
      <c r="S38" s="909"/>
      <c r="T38" s="909">
        <f t="shared" si="51"/>
        <v>0</v>
      </c>
      <c r="U38" s="909"/>
      <c r="V38" s="909">
        <v>0</v>
      </c>
      <c r="W38" s="909"/>
      <c r="X38" s="909">
        <f t="shared" si="52"/>
        <v>0</v>
      </c>
      <c r="Y38" s="909"/>
      <c r="Z38" s="449" t="s">
        <v>1534</v>
      </c>
      <c r="AA38" s="909"/>
      <c r="AB38" s="909">
        <v>0</v>
      </c>
      <c r="AC38" s="909"/>
      <c r="AD38" s="914"/>
      <c r="AE38" s="909"/>
      <c r="AF38" s="909">
        <v>0</v>
      </c>
      <c r="AG38" s="909"/>
      <c r="AH38" s="449" t="s">
        <v>856</v>
      </c>
      <c r="AI38" s="909"/>
      <c r="AJ38" s="448">
        <f t="shared" si="42"/>
        <v>0</v>
      </c>
      <c r="AK38" s="909"/>
      <c r="AL38" s="448">
        <f t="shared" si="43"/>
        <v>0</v>
      </c>
      <c r="AM38" s="909"/>
      <c r="AN38" s="448">
        <f t="shared" si="44"/>
        <v>0</v>
      </c>
      <c r="AO38" s="909"/>
      <c r="AP38" s="909">
        <f t="shared" si="45"/>
        <v>0</v>
      </c>
      <c r="AR38" s="909">
        <v>0</v>
      </c>
      <c r="AS38" s="909"/>
      <c r="AT38" s="914"/>
      <c r="AU38" s="909"/>
      <c r="AV38" s="909">
        <v>0</v>
      </c>
      <c r="AW38" s="909"/>
      <c r="AX38" s="448">
        <f t="shared" si="46"/>
        <v>0</v>
      </c>
      <c r="AY38" s="909"/>
      <c r="AZ38" s="448">
        <f t="shared" si="47"/>
        <v>0</v>
      </c>
      <c r="BA38" s="909"/>
      <c r="BB38" s="448">
        <f t="shared" si="48"/>
        <v>0</v>
      </c>
      <c r="BC38" s="909"/>
      <c r="BD38" s="909">
        <f t="shared" si="49"/>
        <v>0</v>
      </c>
      <c r="BF38" s="909">
        <f t="shared" si="50"/>
        <v>0</v>
      </c>
      <c r="BI38" s="437">
        <f t="shared" si="40"/>
        <v>305</v>
      </c>
    </row>
    <row r="39" spans="1:61" ht="15">
      <c r="A39" s="437">
        <f t="shared" si="41"/>
        <v>306</v>
      </c>
      <c r="B39" s="913"/>
      <c r="F39" s="917" t="s">
        <v>1524</v>
      </c>
      <c r="H39" s="914"/>
      <c r="J39" s="914"/>
      <c r="K39" s="909"/>
      <c r="L39" s="914"/>
      <c r="M39" s="909"/>
      <c r="N39" s="914"/>
      <c r="P39" s="919" t="s">
        <v>845</v>
      </c>
      <c r="R39" s="909">
        <v>0</v>
      </c>
      <c r="S39" s="909"/>
      <c r="T39" s="909">
        <f t="shared" si="51"/>
        <v>0</v>
      </c>
      <c r="U39" s="909"/>
      <c r="V39" s="909">
        <v>0</v>
      </c>
      <c r="W39" s="909"/>
      <c r="X39" s="909">
        <f t="shared" si="52"/>
        <v>0</v>
      </c>
      <c r="Y39" s="909"/>
      <c r="Z39" s="449" t="s">
        <v>1534</v>
      </c>
      <c r="AA39" s="909"/>
      <c r="AB39" s="909">
        <v>0</v>
      </c>
      <c r="AC39" s="909"/>
      <c r="AD39" s="914"/>
      <c r="AE39" s="909"/>
      <c r="AF39" s="909">
        <v>0</v>
      </c>
      <c r="AG39" s="909"/>
      <c r="AH39" s="449" t="s">
        <v>856</v>
      </c>
      <c r="AI39" s="909"/>
      <c r="AJ39" s="448">
        <f t="shared" si="42"/>
        <v>0</v>
      </c>
      <c r="AK39" s="909"/>
      <c r="AL39" s="448">
        <f t="shared" si="43"/>
        <v>0</v>
      </c>
      <c r="AM39" s="909"/>
      <c r="AN39" s="448">
        <f t="shared" si="44"/>
        <v>0</v>
      </c>
      <c r="AO39" s="909"/>
      <c r="AP39" s="909">
        <f t="shared" si="45"/>
        <v>0</v>
      </c>
      <c r="AR39" s="909">
        <v>0</v>
      </c>
      <c r="AS39" s="909"/>
      <c r="AT39" s="914"/>
      <c r="AU39" s="909"/>
      <c r="AV39" s="909">
        <v>0</v>
      </c>
      <c r="AW39" s="909"/>
      <c r="AX39" s="448">
        <f t="shared" si="46"/>
        <v>0</v>
      </c>
      <c r="AY39" s="909"/>
      <c r="AZ39" s="448">
        <f t="shared" si="47"/>
        <v>0</v>
      </c>
      <c r="BA39" s="909"/>
      <c r="BB39" s="448">
        <f t="shared" si="48"/>
        <v>0</v>
      </c>
      <c r="BC39" s="909"/>
      <c r="BD39" s="909">
        <f t="shared" si="49"/>
        <v>0</v>
      </c>
      <c r="BF39" s="909">
        <f t="shared" si="50"/>
        <v>0</v>
      </c>
      <c r="BI39" s="437">
        <f t="shared" si="40"/>
        <v>306</v>
      </c>
    </row>
    <row r="40" spans="1:61" ht="15">
      <c r="A40" s="437">
        <f t="shared" si="41"/>
        <v>307</v>
      </c>
      <c r="B40" s="913"/>
      <c r="F40" s="917" t="s">
        <v>1524</v>
      </c>
      <c r="H40" s="914"/>
      <c r="J40" s="914"/>
      <c r="K40" s="909"/>
      <c r="L40" s="914"/>
      <c r="M40" s="909"/>
      <c r="N40" s="914"/>
      <c r="P40" s="919" t="s">
        <v>845</v>
      </c>
      <c r="R40" s="909">
        <v>0</v>
      </c>
      <c r="S40" s="909"/>
      <c r="T40" s="909">
        <f t="shared" si="51"/>
        <v>0</v>
      </c>
      <c r="U40" s="909"/>
      <c r="V40" s="909">
        <v>0</v>
      </c>
      <c r="W40" s="909"/>
      <c r="X40" s="909">
        <f t="shared" si="52"/>
        <v>0</v>
      </c>
      <c r="Y40" s="909"/>
      <c r="Z40" s="449" t="s">
        <v>1534</v>
      </c>
      <c r="AA40" s="909"/>
      <c r="AB40" s="909">
        <v>0</v>
      </c>
      <c r="AC40" s="909"/>
      <c r="AD40" s="914"/>
      <c r="AE40" s="909"/>
      <c r="AF40" s="909">
        <v>0</v>
      </c>
      <c r="AG40" s="909"/>
      <c r="AH40" s="449" t="s">
        <v>856</v>
      </c>
      <c r="AI40" s="909"/>
      <c r="AJ40" s="448">
        <f t="shared" si="42"/>
        <v>0</v>
      </c>
      <c r="AK40" s="909"/>
      <c r="AL40" s="448">
        <f t="shared" si="43"/>
        <v>0</v>
      </c>
      <c r="AM40" s="909"/>
      <c r="AN40" s="448">
        <f t="shared" si="44"/>
        <v>0</v>
      </c>
      <c r="AO40" s="909"/>
      <c r="AP40" s="909">
        <f t="shared" si="45"/>
        <v>0</v>
      </c>
      <c r="AR40" s="909">
        <v>0</v>
      </c>
      <c r="AS40" s="909"/>
      <c r="AT40" s="914"/>
      <c r="AU40" s="909"/>
      <c r="AV40" s="909">
        <v>0</v>
      </c>
      <c r="AW40" s="909"/>
      <c r="AX40" s="448">
        <f t="shared" si="46"/>
        <v>0</v>
      </c>
      <c r="AY40" s="909"/>
      <c r="AZ40" s="448">
        <f t="shared" si="47"/>
        <v>0</v>
      </c>
      <c r="BA40" s="909"/>
      <c r="BB40" s="448">
        <f t="shared" si="48"/>
        <v>0</v>
      </c>
      <c r="BC40" s="909"/>
      <c r="BD40" s="909">
        <f t="shared" si="49"/>
        <v>0</v>
      </c>
      <c r="BF40" s="909">
        <f t="shared" si="50"/>
        <v>0</v>
      </c>
      <c r="BI40" s="437">
        <f t="shared" si="40"/>
        <v>307</v>
      </c>
    </row>
    <row r="41" spans="1:61" ht="15">
      <c r="A41" s="437">
        <f t="shared" si="41"/>
        <v>308</v>
      </c>
      <c r="B41" s="913"/>
      <c r="F41" s="917" t="s">
        <v>1524</v>
      </c>
      <c r="H41" s="914"/>
      <c r="J41" s="914"/>
      <c r="K41" s="909"/>
      <c r="L41" s="914"/>
      <c r="M41" s="909"/>
      <c r="N41" s="914"/>
      <c r="P41" s="919" t="s">
        <v>845</v>
      </c>
      <c r="R41" s="909">
        <f>N41</f>
        <v>0</v>
      </c>
      <c r="S41" s="909"/>
      <c r="T41" s="909"/>
      <c r="U41" s="909"/>
      <c r="V41" s="909">
        <v>0</v>
      </c>
      <c r="W41" s="909"/>
      <c r="X41" s="909">
        <f t="shared" si="52"/>
        <v>0</v>
      </c>
      <c r="Y41" s="909"/>
      <c r="Z41" s="449" t="s">
        <v>1534</v>
      </c>
      <c r="AA41" s="909"/>
      <c r="AB41" s="909">
        <v>0</v>
      </c>
      <c r="AC41" s="909"/>
      <c r="AD41" s="914"/>
      <c r="AE41" s="909"/>
      <c r="AF41" s="909">
        <v>0</v>
      </c>
      <c r="AG41" s="909"/>
      <c r="AH41" s="449" t="s">
        <v>856</v>
      </c>
      <c r="AI41" s="909"/>
      <c r="AJ41" s="448">
        <f t="shared" si="42"/>
        <v>0</v>
      </c>
      <c r="AK41" s="909"/>
      <c r="AL41" s="448">
        <f t="shared" si="43"/>
        <v>0</v>
      </c>
      <c r="AM41" s="909"/>
      <c r="AN41" s="448">
        <f t="shared" si="44"/>
        <v>0</v>
      </c>
      <c r="AO41" s="909"/>
      <c r="AP41" s="909">
        <f t="shared" si="45"/>
        <v>0</v>
      </c>
      <c r="AR41" s="909">
        <v>0</v>
      </c>
      <c r="AS41" s="909"/>
      <c r="AT41" s="914"/>
      <c r="AU41" s="909"/>
      <c r="AV41" s="909">
        <v>0</v>
      </c>
      <c r="AW41" s="909"/>
      <c r="AX41" s="448">
        <f t="shared" si="46"/>
        <v>0</v>
      </c>
      <c r="AY41" s="909"/>
      <c r="AZ41" s="448">
        <f t="shared" si="47"/>
        <v>0</v>
      </c>
      <c r="BA41" s="909"/>
      <c r="BB41" s="448">
        <f t="shared" si="48"/>
        <v>0</v>
      </c>
      <c r="BC41" s="909"/>
      <c r="BD41" s="909">
        <f t="shared" si="49"/>
        <v>0</v>
      </c>
      <c r="BF41" s="909">
        <f t="shared" si="50"/>
        <v>0</v>
      </c>
      <c r="BI41" s="437">
        <f t="shared" si="40"/>
        <v>308</v>
      </c>
    </row>
    <row r="42" spans="1:61" ht="15">
      <c r="A42" s="437">
        <f t="shared" si="41"/>
        <v>309</v>
      </c>
      <c r="B42" s="913"/>
      <c r="F42" s="917" t="s">
        <v>1524</v>
      </c>
      <c r="H42" s="914"/>
      <c r="J42" s="914"/>
      <c r="K42" s="909"/>
      <c r="L42" s="914"/>
      <c r="M42" s="909"/>
      <c r="N42" s="914"/>
      <c r="P42" s="919" t="s">
        <v>845</v>
      </c>
      <c r="R42" s="909">
        <v>0</v>
      </c>
      <c r="S42" s="909"/>
      <c r="T42" s="909">
        <f t="shared" si="51"/>
        <v>0</v>
      </c>
      <c r="U42" s="909"/>
      <c r="V42" s="909">
        <v>0</v>
      </c>
      <c r="W42" s="909"/>
      <c r="X42" s="909">
        <f t="shared" si="52"/>
        <v>0</v>
      </c>
      <c r="Y42" s="909"/>
      <c r="Z42" s="449" t="s">
        <v>1534</v>
      </c>
      <c r="AA42" s="909"/>
      <c r="AB42" s="909">
        <v>0</v>
      </c>
      <c r="AC42" s="909"/>
      <c r="AD42" s="914"/>
      <c r="AE42" s="909"/>
      <c r="AF42" s="909">
        <v>0</v>
      </c>
      <c r="AG42" s="909"/>
      <c r="AH42" s="449" t="s">
        <v>856</v>
      </c>
      <c r="AI42" s="909"/>
      <c r="AJ42" s="448">
        <f t="shared" si="42"/>
        <v>0</v>
      </c>
      <c r="AK42" s="909"/>
      <c r="AL42" s="448">
        <f t="shared" si="43"/>
        <v>0</v>
      </c>
      <c r="AM42" s="909"/>
      <c r="AN42" s="448">
        <f t="shared" si="44"/>
        <v>0</v>
      </c>
      <c r="AO42" s="909"/>
      <c r="AP42" s="909">
        <f t="shared" si="45"/>
        <v>0</v>
      </c>
      <c r="AR42" s="909">
        <v>0</v>
      </c>
      <c r="AS42" s="909"/>
      <c r="AT42" s="914"/>
      <c r="AU42" s="909"/>
      <c r="AV42" s="909">
        <v>0</v>
      </c>
      <c r="AW42" s="909"/>
      <c r="AX42" s="448">
        <f t="shared" si="46"/>
        <v>0</v>
      </c>
      <c r="AY42" s="909"/>
      <c r="AZ42" s="448">
        <f t="shared" si="47"/>
        <v>0</v>
      </c>
      <c r="BA42" s="909"/>
      <c r="BB42" s="448">
        <f t="shared" si="48"/>
        <v>0</v>
      </c>
      <c r="BC42" s="909"/>
      <c r="BD42" s="909">
        <f t="shared" si="49"/>
        <v>0</v>
      </c>
      <c r="BF42" s="909">
        <f t="shared" si="50"/>
        <v>0</v>
      </c>
      <c r="BI42" s="437">
        <f t="shared" si="40"/>
        <v>309</v>
      </c>
    </row>
    <row r="43" spans="1:61" ht="15">
      <c r="A43" s="437">
        <f t="shared" si="41"/>
        <v>310</v>
      </c>
      <c r="B43" s="913"/>
      <c r="F43" s="917" t="s">
        <v>1524</v>
      </c>
      <c r="H43" s="914"/>
      <c r="J43" s="914"/>
      <c r="K43" s="909"/>
      <c r="L43" s="914"/>
      <c r="M43" s="909"/>
      <c r="N43" s="914"/>
      <c r="P43" s="919" t="s">
        <v>845</v>
      </c>
      <c r="R43" s="909">
        <v>0</v>
      </c>
      <c r="S43" s="909"/>
      <c r="T43" s="909">
        <f t="shared" si="51"/>
        <v>0</v>
      </c>
      <c r="U43" s="909"/>
      <c r="V43" s="909">
        <v>0</v>
      </c>
      <c r="W43" s="909"/>
      <c r="X43" s="909">
        <f t="shared" si="52"/>
        <v>0</v>
      </c>
      <c r="Y43" s="909"/>
      <c r="Z43" s="449" t="s">
        <v>1534</v>
      </c>
      <c r="AA43" s="909"/>
      <c r="AB43" s="909">
        <v>0</v>
      </c>
      <c r="AC43" s="909"/>
      <c r="AD43" s="914"/>
      <c r="AE43" s="909"/>
      <c r="AF43" s="909">
        <v>0</v>
      </c>
      <c r="AG43" s="909"/>
      <c r="AH43" s="449" t="s">
        <v>856</v>
      </c>
      <c r="AI43" s="909"/>
      <c r="AJ43" s="448">
        <f t="shared" si="42"/>
        <v>0</v>
      </c>
      <c r="AK43" s="909"/>
      <c r="AL43" s="448">
        <f t="shared" si="43"/>
        <v>0</v>
      </c>
      <c r="AM43" s="909"/>
      <c r="AN43" s="448">
        <f t="shared" si="44"/>
        <v>0</v>
      </c>
      <c r="AO43" s="909"/>
      <c r="AP43" s="909">
        <f t="shared" si="45"/>
        <v>0</v>
      </c>
      <c r="AR43" s="909">
        <v>0</v>
      </c>
      <c r="AS43" s="909"/>
      <c r="AT43" s="914"/>
      <c r="AU43" s="909"/>
      <c r="AV43" s="909">
        <v>0</v>
      </c>
      <c r="AW43" s="909"/>
      <c r="AX43" s="448">
        <f t="shared" si="46"/>
        <v>0</v>
      </c>
      <c r="AY43" s="909"/>
      <c r="AZ43" s="448">
        <f t="shared" si="47"/>
        <v>0</v>
      </c>
      <c r="BA43" s="909"/>
      <c r="BB43" s="448">
        <f t="shared" si="48"/>
        <v>0</v>
      </c>
      <c r="BC43" s="909"/>
      <c r="BD43" s="909">
        <f t="shared" si="49"/>
        <v>0</v>
      </c>
      <c r="BF43" s="909">
        <f t="shared" si="50"/>
        <v>0</v>
      </c>
      <c r="BI43" s="437">
        <f t="shared" si="40"/>
        <v>310</v>
      </c>
    </row>
    <row r="44" spans="1:61" ht="15">
      <c r="A44" s="437">
        <f t="shared" si="41"/>
        <v>311</v>
      </c>
      <c r="B44" s="913"/>
      <c r="F44" s="917" t="s">
        <v>1524</v>
      </c>
      <c r="H44" s="914"/>
      <c r="J44" s="914"/>
      <c r="K44" s="909"/>
      <c r="L44" s="914"/>
      <c r="M44" s="909"/>
      <c r="N44" s="914"/>
      <c r="P44" s="919" t="s">
        <v>845</v>
      </c>
      <c r="R44" s="909">
        <v>0</v>
      </c>
      <c r="S44" s="909"/>
      <c r="T44" s="909">
        <f t="shared" si="51"/>
        <v>0</v>
      </c>
      <c r="U44" s="909"/>
      <c r="V44" s="909">
        <v>0</v>
      </c>
      <c r="W44" s="909"/>
      <c r="X44" s="909">
        <f t="shared" si="52"/>
        <v>0</v>
      </c>
      <c r="Y44" s="909"/>
      <c r="Z44" s="449" t="s">
        <v>1534</v>
      </c>
      <c r="AA44" s="909"/>
      <c r="AB44" s="909">
        <v>0</v>
      </c>
      <c r="AC44" s="909"/>
      <c r="AD44" s="914"/>
      <c r="AE44" s="909"/>
      <c r="AF44" s="909">
        <v>0</v>
      </c>
      <c r="AG44" s="909"/>
      <c r="AH44" s="449" t="s">
        <v>856</v>
      </c>
      <c r="AI44" s="909"/>
      <c r="AJ44" s="448">
        <f t="shared" si="42"/>
        <v>0</v>
      </c>
      <c r="AK44" s="909"/>
      <c r="AL44" s="448">
        <f t="shared" si="43"/>
        <v>0</v>
      </c>
      <c r="AM44" s="909"/>
      <c r="AN44" s="448">
        <f t="shared" si="44"/>
        <v>0</v>
      </c>
      <c r="AO44" s="909"/>
      <c r="AP44" s="909">
        <f t="shared" si="45"/>
        <v>0</v>
      </c>
      <c r="AR44" s="909">
        <v>0</v>
      </c>
      <c r="AS44" s="909"/>
      <c r="AT44" s="914"/>
      <c r="AU44" s="909"/>
      <c r="AV44" s="909">
        <v>0</v>
      </c>
      <c r="AW44" s="909"/>
      <c r="AX44" s="448">
        <f t="shared" si="46"/>
        <v>0</v>
      </c>
      <c r="AY44" s="909"/>
      <c r="AZ44" s="448">
        <f t="shared" si="47"/>
        <v>0</v>
      </c>
      <c r="BA44" s="909"/>
      <c r="BB44" s="448">
        <f t="shared" si="48"/>
        <v>0</v>
      </c>
      <c r="BC44" s="909"/>
      <c r="BD44" s="909">
        <f t="shared" si="49"/>
        <v>0</v>
      </c>
      <c r="BF44" s="909">
        <f t="shared" si="50"/>
        <v>0</v>
      </c>
      <c r="BI44" s="437">
        <f t="shared" si="40"/>
        <v>311</v>
      </c>
    </row>
    <row r="45" spans="1:61" ht="15">
      <c r="A45" s="437">
        <f t="shared" si="41"/>
        <v>312</v>
      </c>
      <c r="B45" s="913"/>
      <c r="F45" s="917" t="s">
        <v>1524</v>
      </c>
      <c r="H45" s="914"/>
      <c r="J45" s="914"/>
      <c r="K45" s="909"/>
      <c r="L45" s="914"/>
      <c r="M45" s="909"/>
      <c r="N45" s="914"/>
      <c r="P45" s="919" t="s">
        <v>845</v>
      </c>
      <c r="R45" s="909">
        <v>0</v>
      </c>
      <c r="S45" s="909"/>
      <c r="T45" s="909">
        <f t="shared" si="51"/>
        <v>0</v>
      </c>
      <c r="U45" s="909"/>
      <c r="V45" s="909">
        <v>0</v>
      </c>
      <c r="W45" s="909"/>
      <c r="X45" s="909">
        <f t="shared" si="52"/>
        <v>0</v>
      </c>
      <c r="Y45" s="909"/>
      <c r="Z45" s="449" t="s">
        <v>1534</v>
      </c>
      <c r="AA45" s="909"/>
      <c r="AB45" s="909">
        <v>0</v>
      </c>
      <c r="AC45" s="909"/>
      <c r="AD45" s="914"/>
      <c r="AE45" s="909"/>
      <c r="AF45" s="909">
        <v>0</v>
      </c>
      <c r="AG45" s="909"/>
      <c r="AH45" s="449" t="s">
        <v>856</v>
      </c>
      <c r="AI45" s="909"/>
      <c r="AJ45" s="448">
        <f t="shared" si="42"/>
        <v>0</v>
      </c>
      <c r="AK45" s="909"/>
      <c r="AL45" s="448">
        <f t="shared" si="43"/>
        <v>0</v>
      </c>
      <c r="AM45" s="909"/>
      <c r="AN45" s="448">
        <f t="shared" si="44"/>
        <v>0</v>
      </c>
      <c r="AO45" s="909"/>
      <c r="AP45" s="909">
        <f t="shared" si="45"/>
        <v>0</v>
      </c>
      <c r="AR45" s="909">
        <v>0</v>
      </c>
      <c r="AS45" s="909"/>
      <c r="AT45" s="914"/>
      <c r="AU45" s="909"/>
      <c r="AV45" s="909">
        <v>0</v>
      </c>
      <c r="AW45" s="909"/>
      <c r="AX45" s="448">
        <f t="shared" si="46"/>
        <v>0</v>
      </c>
      <c r="AY45" s="909"/>
      <c r="AZ45" s="448">
        <f t="shared" si="47"/>
        <v>0</v>
      </c>
      <c r="BA45" s="909"/>
      <c r="BB45" s="448">
        <f t="shared" si="48"/>
        <v>0</v>
      </c>
      <c r="BC45" s="909"/>
      <c r="BD45" s="909">
        <f t="shared" si="49"/>
        <v>0</v>
      </c>
      <c r="BF45" s="909">
        <f t="shared" si="50"/>
        <v>0</v>
      </c>
      <c r="BI45" s="437">
        <f t="shared" si="40"/>
        <v>312</v>
      </c>
    </row>
    <row r="46" spans="1:61" ht="15">
      <c r="A46" s="437">
        <f t="shared" si="41"/>
        <v>313</v>
      </c>
      <c r="B46" s="913"/>
      <c r="F46" s="917" t="s">
        <v>1524</v>
      </c>
      <c r="H46" s="914"/>
      <c r="J46" s="914"/>
      <c r="K46" s="909"/>
      <c r="L46" s="914"/>
      <c r="M46" s="909"/>
      <c r="N46" s="914"/>
      <c r="P46" s="919" t="s">
        <v>845</v>
      </c>
      <c r="R46" s="909">
        <v>0</v>
      </c>
      <c r="S46" s="909"/>
      <c r="T46" s="909">
        <f t="shared" si="51"/>
        <v>0</v>
      </c>
      <c r="U46" s="909"/>
      <c r="V46" s="909">
        <v>0</v>
      </c>
      <c r="W46" s="909"/>
      <c r="X46" s="909">
        <f t="shared" si="52"/>
        <v>0</v>
      </c>
      <c r="Y46" s="909"/>
      <c r="Z46" s="449" t="s">
        <v>1534</v>
      </c>
      <c r="AA46" s="909"/>
      <c r="AB46" s="909">
        <v>0</v>
      </c>
      <c r="AC46" s="909"/>
      <c r="AD46" s="914"/>
      <c r="AE46" s="909"/>
      <c r="AF46" s="909">
        <v>0</v>
      </c>
      <c r="AG46" s="909"/>
      <c r="AH46" s="449" t="s">
        <v>856</v>
      </c>
      <c r="AI46" s="909"/>
      <c r="AJ46" s="448">
        <f t="shared" si="42"/>
        <v>0</v>
      </c>
      <c r="AK46" s="909"/>
      <c r="AL46" s="448">
        <f t="shared" si="43"/>
        <v>0</v>
      </c>
      <c r="AM46" s="909"/>
      <c r="AN46" s="448">
        <f t="shared" si="44"/>
        <v>0</v>
      </c>
      <c r="AO46" s="909"/>
      <c r="AP46" s="909">
        <f t="shared" si="45"/>
        <v>0</v>
      </c>
      <c r="AR46" s="909">
        <v>0</v>
      </c>
      <c r="AS46" s="909"/>
      <c r="AT46" s="914"/>
      <c r="AU46" s="909"/>
      <c r="AV46" s="909">
        <v>0</v>
      </c>
      <c r="AW46" s="909"/>
      <c r="AX46" s="448">
        <f t="shared" si="46"/>
        <v>0</v>
      </c>
      <c r="AY46" s="909"/>
      <c r="AZ46" s="448">
        <f t="shared" si="47"/>
        <v>0</v>
      </c>
      <c r="BA46" s="909"/>
      <c r="BB46" s="448">
        <f t="shared" si="48"/>
        <v>0</v>
      </c>
      <c r="BC46" s="909"/>
      <c r="BD46" s="909">
        <f t="shared" si="49"/>
        <v>0</v>
      </c>
      <c r="BF46" s="909">
        <f t="shared" si="50"/>
        <v>0</v>
      </c>
      <c r="BI46" s="437">
        <f t="shared" si="40"/>
        <v>313</v>
      </c>
    </row>
    <row r="47" spans="1:61" ht="15">
      <c r="A47" s="437">
        <f t="shared" si="41"/>
        <v>314</v>
      </c>
      <c r="B47" s="913"/>
      <c r="F47" s="917" t="s">
        <v>1524</v>
      </c>
      <c r="H47" s="914"/>
      <c r="J47" s="914"/>
      <c r="K47" s="909"/>
      <c r="L47" s="914"/>
      <c r="M47" s="909"/>
      <c r="N47" s="914"/>
      <c r="P47" s="919" t="s">
        <v>845</v>
      </c>
      <c r="R47" s="909">
        <v>0</v>
      </c>
      <c r="S47" s="909"/>
      <c r="T47" s="909">
        <f t="shared" si="51"/>
        <v>0</v>
      </c>
      <c r="U47" s="909"/>
      <c r="V47" s="909">
        <v>0</v>
      </c>
      <c r="W47" s="909"/>
      <c r="X47" s="909">
        <f t="shared" si="52"/>
        <v>0</v>
      </c>
      <c r="Y47" s="909"/>
      <c r="Z47" s="449" t="s">
        <v>1534</v>
      </c>
      <c r="AA47" s="909"/>
      <c r="AB47" s="909">
        <v>0</v>
      </c>
      <c r="AC47" s="909"/>
      <c r="AD47" s="914"/>
      <c r="AE47" s="909"/>
      <c r="AF47" s="909">
        <v>0</v>
      </c>
      <c r="AG47" s="909"/>
      <c r="AH47" s="449" t="s">
        <v>856</v>
      </c>
      <c r="AI47" s="909"/>
      <c r="AJ47" s="448">
        <f t="shared" si="42"/>
        <v>0</v>
      </c>
      <c r="AK47" s="909"/>
      <c r="AL47" s="448">
        <f t="shared" si="43"/>
        <v>0</v>
      </c>
      <c r="AM47" s="909"/>
      <c r="AN47" s="448">
        <f t="shared" si="44"/>
        <v>0</v>
      </c>
      <c r="AO47" s="909"/>
      <c r="AP47" s="909">
        <f t="shared" si="45"/>
        <v>0</v>
      </c>
      <c r="AR47" s="909">
        <v>0</v>
      </c>
      <c r="AS47" s="909"/>
      <c r="AT47" s="914"/>
      <c r="AU47" s="909"/>
      <c r="AV47" s="909">
        <v>0</v>
      </c>
      <c r="AW47" s="909"/>
      <c r="AX47" s="448">
        <f t="shared" si="46"/>
        <v>0</v>
      </c>
      <c r="AY47" s="909"/>
      <c r="AZ47" s="448">
        <f t="shared" si="47"/>
        <v>0</v>
      </c>
      <c r="BA47" s="909"/>
      <c r="BB47" s="448">
        <f t="shared" si="48"/>
        <v>0</v>
      </c>
      <c r="BC47" s="909"/>
      <c r="BD47" s="909">
        <f t="shared" si="49"/>
        <v>0</v>
      </c>
      <c r="BF47" s="909">
        <f t="shared" si="50"/>
        <v>0</v>
      </c>
      <c r="BI47" s="437">
        <f t="shared" si="40"/>
        <v>314</v>
      </c>
    </row>
    <row r="48" spans="1:61" ht="15">
      <c r="A48" s="437">
        <f t="shared" si="41"/>
        <v>315</v>
      </c>
      <c r="B48" s="913"/>
      <c r="F48" s="917" t="s">
        <v>1524</v>
      </c>
      <c r="H48" s="914"/>
      <c r="J48" s="914"/>
      <c r="K48" s="909"/>
      <c r="L48" s="914"/>
      <c r="M48" s="909"/>
      <c r="N48" s="914"/>
      <c r="P48" s="919" t="s">
        <v>845</v>
      </c>
      <c r="R48" s="909">
        <v>0</v>
      </c>
      <c r="S48" s="909"/>
      <c r="T48" s="909">
        <f t="shared" si="51"/>
        <v>0</v>
      </c>
      <c r="U48" s="909"/>
      <c r="V48" s="909">
        <v>0</v>
      </c>
      <c r="W48" s="909"/>
      <c r="X48" s="909">
        <f t="shared" si="52"/>
        <v>0</v>
      </c>
      <c r="Y48" s="909"/>
      <c r="Z48" s="449" t="s">
        <v>1534</v>
      </c>
      <c r="AA48" s="909"/>
      <c r="AB48" s="909">
        <v>0</v>
      </c>
      <c r="AC48" s="909"/>
      <c r="AD48" s="914"/>
      <c r="AE48" s="909"/>
      <c r="AF48" s="909">
        <v>0</v>
      </c>
      <c r="AG48" s="909"/>
      <c r="AH48" s="449" t="s">
        <v>856</v>
      </c>
      <c r="AI48" s="909"/>
      <c r="AJ48" s="448">
        <f t="shared" si="42"/>
        <v>0</v>
      </c>
      <c r="AK48" s="909"/>
      <c r="AL48" s="448">
        <f t="shared" si="43"/>
        <v>0</v>
      </c>
      <c r="AM48" s="909"/>
      <c r="AN48" s="448">
        <f t="shared" si="44"/>
        <v>0</v>
      </c>
      <c r="AO48" s="909"/>
      <c r="AP48" s="909">
        <f t="shared" si="45"/>
        <v>0</v>
      </c>
      <c r="AR48" s="909">
        <v>0</v>
      </c>
      <c r="AS48" s="909"/>
      <c r="AT48" s="914"/>
      <c r="AU48" s="909"/>
      <c r="AV48" s="909">
        <v>0</v>
      </c>
      <c r="AW48" s="909"/>
      <c r="AX48" s="448">
        <f t="shared" si="46"/>
        <v>0</v>
      </c>
      <c r="AY48" s="909"/>
      <c r="AZ48" s="448">
        <f t="shared" si="47"/>
        <v>0</v>
      </c>
      <c r="BA48" s="909"/>
      <c r="BB48" s="448">
        <f t="shared" si="48"/>
        <v>0</v>
      </c>
      <c r="BC48" s="909"/>
      <c r="BD48" s="909">
        <f t="shared" si="49"/>
        <v>0</v>
      </c>
      <c r="BF48" s="909">
        <f t="shared" si="50"/>
        <v>0</v>
      </c>
      <c r="BI48" s="437">
        <f t="shared" si="40"/>
        <v>315</v>
      </c>
    </row>
    <row r="49" spans="1:61" ht="15">
      <c r="A49" s="437">
        <f t="shared" si="41"/>
        <v>316</v>
      </c>
      <c r="B49" s="913"/>
      <c r="F49" s="917" t="s">
        <v>1524</v>
      </c>
      <c r="H49" s="914"/>
      <c r="J49" s="914"/>
      <c r="K49" s="909"/>
      <c r="L49" s="914"/>
      <c r="M49" s="909"/>
      <c r="N49" s="914"/>
      <c r="P49" s="919" t="s">
        <v>845</v>
      </c>
      <c r="R49" s="909">
        <v>0</v>
      </c>
      <c r="S49" s="909"/>
      <c r="T49" s="909">
        <f t="shared" si="51"/>
        <v>0</v>
      </c>
      <c r="U49" s="909"/>
      <c r="V49" s="909">
        <v>0</v>
      </c>
      <c r="W49" s="909"/>
      <c r="X49" s="909">
        <f t="shared" si="52"/>
        <v>0</v>
      </c>
      <c r="Y49" s="909"/>
      <c r="Z49" s="449" t="s">
        <v>1534</v>
      </c>
      <c r="AA49" s="909"/>
      <c r="AB49" s="909">
        <v>0</v>
      </c>
      <c r="AC49" s="909"/>
      <c r="AD49" s="914"/>
      <c r="AE49" s="909"/>
      <c r="AF49" s="909">
        <v>0</v>
      </c>
      <c r="AG49" s="909"/>
      <c r="AH49" s="449" t="s">
        <v>856</v>
      </c>
      <c r="AI49" s="909"/>
      <c r="AJ49" s="448">
        <f t="shared" si="42"/>
        <v>0</v>
      </c>
      <c r="AK49" s="909"/>
      <c r="AL49" s="448">
        <f t="shared" si="43"/>
        <v>0</v>
      </c>
      <c r="AM49" s="909"/>
      <c r="AN49" s="448">
        <f t="shared" si="44"/>
        <v>0</v>
      </c>
      <c r="AO49" s="909"/>
      <c r="AP49" s="909">
        <f t="shared" si="45"/>
        <v>0</v>
      </c>
      <c r="AR49" s="909">
        <v>0</v>
      </c>
      <c r="AS49" s="909"/>
      <c r="AT49" s="914"/>
      <c r="AU49" s="909"/>
      <c r="AV49" s="909">
        <v>0</v>
      </c>
      <c r="AW49" s="909"/>
      <c r="AX49" s="448">
        <f t="shared" si="46"/>
        <v>0</v>
      </c>
      <c r="AY49" s="909"/>
      <c r="AZ49" s="448">
        <f t="shared" si="47"/>
        <v>0</v>
      </c>
      <c r="BA49" s="909"/>
      <c r="BB49" s="448">
        <f t="shared" si="48"/>
        <v>0</v>
      </c>
      <c r="BC49" s="909"/>
      <c r="BD49" s="909">
        <f t="shared" si="49"/>
        <v>0</v>
      </c>
      <c r="BF49" s="909">
        <f t="shared" si="50"/>
        <v>0</v>
      </c>
      <c r="BI49" s="437">
        <f t="shared" si="40"/>
        <v>316</v>
      </c>
    </row>
    <row r="50" spans="1:61" ht="15">
      <c r="A50" s="437">
        <f t="shared" si="41"/>
        <v>317</v>
      </c>
      <c r="B50" s="913"/>
      <c r="F50" s="917" t="s">
        <v>1524</v>
      </c>
      <c r="H50" s="914"/>
      <c r="J50" s="914"/>
      <c r="K50" s="909"/>
      <c r="L50" s="914"/>
      <c r="M50" s="909"/>
      <c r="N50" s="914"/>
      <c r="P50" s="919" t="s">
        <v>845</v>
      </c>
      <c r="R50" s="909">
        <v>0</v>
      </c>
      <c r="S50" s="909"/>
      <c r="T50" s="909">
        <f t="shared" si="51"/>
        <v>0</v>
      </c>
      <c r="U50" s="909"/>
      <c r="V50" s="909">
        <v>0</v>
      </c>
      <c r="W50" s="909"/>
      <c r="X50" s="909">
        <f t="shared" si="52"/>
        <v>0</v>
      </c>
      <c r="Y50" s="909"/>
      <c r="Z50" s="449" t="s">
        <v>1534</v>
      </c>
      <c r="AA50" s="909"/>
      <c r="AB50" s="909">
        <v>0</v>
      </c>
      <c r="AC50" s="909"/>
      <c r="AD50" s="914"/>
      <c r="AE50" s="909"/>
      <c r="AF50" s="909">
        <v>0</v>
      </c>
      <c r="AG50" s="909"/>
      <c r="AH50" s="449" t="s">
        <v>856</v>
      </c>
      <c r="AI50" s="909"/>
      <c r="AJ50" s="448">
        <f t="shared" si="42"/>
        <v>0</v>
      </c>
      <c r="AK50" s="909"/>
      <c r="AL50" s="448">
        <f t="shared" si="43"/>
        <v>0</v>
      </c>
      <c r="AM50" s="909"/>
      <c r="AN50" s="448">
        <f t="shared" si="44"/>
        <v>0</v>
      </c>
      <c r="AO50" s="909"/>
      <c r="AP50" s="909">
        <f t="shared" si="45"/>
        <v>0</v>
      </c>
      <c r="AR50" s="909">
        <v>0</v>
      </c>
      <c r="AS50" s="909"/>
      <c r="AT50" s="914"/>
      <c r="AU50" s="909"/>
      <c r="AV50" s="909">
        <v>0</v>
      </c>
      <c r="AW50" s="909"/>
      <c r="AX50" s="448">
        <f t="shared" si="46"/>
        <v>0</v>
      </c>
      <c r="AY50" s="909"/>
      <c r="AZ50" s="448">
        <f t="shared" si="47"/>
        <v>0</v>
      </c>
      <c r="BA50" s="909"/>
      <c r="BB50" s="448">
        <f t="shared" si="48"/>
        <v>0</v>
      </c>
      <c r="BC50" s="909"/>
      <c r="BD50" s="909">
        <f t="shared" si="49"/>
        <v>0</v>
      </c>
      <c r="BF50" s="909">
        <f t="shared" si="50"/>
        <v>0</v>
      </c>
      <c r="BI50" s="437">
        <f t="shared" si="40"/>
        <v>317</v>
      </c>
    </row>
    <row r="51" spans="1:61" ht="15">
      <c r="A51" s="437">
        <f t="shared" si="41"/>
        <v>318</v>
      </c>
      <c r="B51" s="913"/>
      <c r="F51" s="917" t="s">
        <v>1524</v>
      </c>
      <c r="H51" s="914"/>
      <c r="J51" s="914"/>
      <c r="K51" s="909"/>
      <c r="L51" s="914"/>
      <c r="M51" s="909"/>
      <c r="N51" s="914"/>
      <c r="P51" s="919" t="s">
        <v>845</v>
      </c>
      <c r="R51" s="909">
        <v>0</v>
      </c>
      <c r="S51" s="909"/>
      <c r="T51" s="909">
        <f t="shared" si="51"/>
        <v>0</v>
      </c>
      <c r="U51" s="909"/>
      <c r="V51" s="909">
        <v>0</v>
      </c>
      <c r="W51" s="909"/>
      <c r="X51" s="909">
        <f t="shared" si="52"/>
        <v>0</v>
      </c>
      <c r="Y51" s="909"/>
      <c r="Z51" s="449" t="s">
        <v>1534</v>
      </c>
      <c r="AA51" s="909"/>
      <c r="AB51" s="909">
        <v>0</v>
      </c>
      <c r="AC51" s="909"/>
      <c r="AD51" s="914"/>
      <c r="AE51" s="909"/>
      <c r="AF51" s="909">
        <v>0</v>
      </c>
      <c r="AG51" s="909"/>
      <c r="AH51" s="449" t="s">
        <v>856</v>
      </c>
      <c r="AI51" s="909"/>
      <c r="AJ51" s="448">
        <f t="shared" si="42"/>
        <v>0</v>
      </c>
      <c r="AK51" s="909"/>
      <c r="AL51" s="448">
        <f t="shared" si="43"/>
        <v>0</v>
      </c>
      <c r="AM51" s="909"/>
      <c r="AN51" s="448">
        <f t="shared" si="44"/>
        <v>0</v>
      </c>
      <c r="AO51" s="909"/>
      <c r="AP51" s="909">
        <f t="shared" si="45"/>
        <v>0</v>
      </c>
      <c r="AR51" s="909">
        <v>0</v>
      </c>
      <c r="AS51" s="909"/>
      <c r="AT51" s="914"/>
      <c r="AU51" s="909"/>
      <c r="AV51" s="909">
        <v>0</v>
      </c>
      <c r="AW51" s="909"/>
      <c r="AX51" s="448">
        <f t="shared" si="46"/>
        <v>0</v>
      </c>
      <c r="AY51" s="909"/>
      <c r="AZ51" s="448">
        <f t="shared" si="47"/>
        <v>0</v>
      </c>
      <c r="BA51" s="909"/>
      <c r="BB51" s="448">
        <f t="shared" si="48"/>
        <v>0</v>
      </c>
      <c r="BC51" s="909"/>
      <c r="BD51" s="909">
        <f t="shared" si="49"/>
        <v>0</v>
      </c>
      <c r="BF51" s="909">
        <f t="shared" si="50"/>
        <v>0</v>
      </c>
      <c r="BI51" s="437">
        <f t="shared" si="40"/>
        <v>318</v>
      </c>
    </row>
    <row r="52" spans="1:61" ht="15">
      <c r="A52" s="437">
        <f t="shared" si="41"/>
        <v>319</v>
      </c>
      <c r="B52" s="913"/>
      <c r="F52" s="917" t="s">
        <v>1524</v>
      </c>
      <c r="H52" s="914"/>
      <c r="J52" s="914"/>
      <c r="K52" s="909"/>
      <c r="L52" s="914"/>
      <c r="M52" s="909"/>
      <c r="N52" s="914"/>
      <c r="P52" s="919" t="s">
        <v>845</v>
      </c>
      <c r="R52" s="909">
        <v>0</v>
      </c>
      <c r="S52" s="909"/>
      <c r="T52" s="909">
        <f t="shared" si="51"/>
        <v>0</v>
      </c>
      <c r="U52" s="909"/>
      <c r="V52" s="909">
        <v>0</v>
      </c>
      <c r="W52" s="909"/>
      <c r="X52" s="909">
        <f t="shared" si="52"/>
        <v>0</v>
      </c>
      <c r="Y52" s="909"/>
      <c r="Z52" s="449" t="s">
        <v>1534</v>
      </c>
      <c r="AA52" s="909"/>
      <c r="AB52" s="909">
        <v>0</v>
      </c>
      <c r="AC52" s="909"/>
      <c r="AD52" s="914"/>
      <c r="AE52" s="909"/>
      <c r="AF52" s="909">
        <v>0</v>
      </c>
      <c r="AG52" s="909"/>
      <c r="AH52" s="449" t="s">
        <v>856</v>
      </c>
      <c r="AI52" s="909"/>
      <c r="AJ52" s="448">
        <f t="shared" si="42"/>
        <v>0</v>
      </c>
      <c r="AK52" s="909"/>
      <c r="AL52" s="448">
        <f t="shared" si="43"/>
        <v>0</v>
      </c>
      <c r="AM52" s="909"/>
      <c r="AN52" s="448">
        <f t="shared" si="44"/>
        <v>0</v>
      </c>
      <c r="AO52" s="909"/>
      <c r="AP52" s="909">
        <f t="shared" si="45"/>
        <v>0</v>
      </c>
      <c r="AR52" s="909">
        <v>0</v>
      </c>
      <c r="AS52" s="909"/>
      <c r="AT52" s="914"/>
      <c r="AU52" s="909"/>
      <c r="AV52" s="909">
        <v>0</v>
      </c>
      <c r="AW52" s="909"/>
      <c r="AX52" s="448">
        <f t="shared" si="46"/>
        <v>0</v>
      </c>
      <c r="AY52" s="909"/>
      <c r="AZ52" s="448">
        <f t="shared" si="47"/>
        <v>0</v>
      </c>
      <c r="BA52" s="909"/>
      <c r="BB52" s="448">
        <f t="shared" si="48"/>
        <v>0</v>
      </c>
      <c r="BC52" s="909"/>
      <c r="BD52" s="909">
        <f t="shared" si="49"/>
        <v>0</v>
      </c>
      <c r="BF52" s="909">
        <f t="shared" si="50"/>
        <v>0</v>
      </c>
      <c r="BI52" s="437">
        <f t="shared" si="40"/>
        <v>319</v>
      </c>
    </row>
    <row r="53" spans="1:61" ht="15">
      <c r="A53" s="437">
        <f t="shared" si="41"/>
        <v>320</v>
      </c>
      <c r="B53" s="913"/>
      <c r="F53" s="917" t="s">
        <v>1524</v>
      </c>
      <c r="H53" s="914"/>
      <c r="J53" s="914"/>
      <c r="K53" s="909"/>
      <c r="L53" s="914"/>
      <c r="M53" s="909"/>
      <c r="N53" s="914"/>
      <c r="P53" s="919" t="s">
        <v>845</v>
      </c>
      <c r="R53" s="909">
        <v>0</v>
      </c>
      <c r="S53" s="909"/>
      <c r="T53" s="909">
        <f t="shared" si="51"/>
        <v>0</v>
      </c>
      <c r="U53" s="909"/>
      <c r="V53" s="909">
        <v>0</v>
      </c>
      <c r="W53" s="909"/>
      <c r="X53" s="909">
        <f t="shared" si="52"/>
        <v>0</v>
      </c>
      <c r="Y53" s="909"/>
      <c r="Z53" s="449" t="s">
        <v>1534</v>
      </c>
      <c r="AA53" s="909"/>
      <c r="AB53" s="909">
        <v>0</v>
      </c>
      <c r="AC53" s="909"/>
      <c r="AD53" s="914"/>
      <c r="AE53" s="909"/>
      <c r="AF53" s="909">
        <v>0</v>
      </c>
      <c r="AG53" s="909"/>
      <c r="AH53" s="449" t="s">
        <v>856</v>
      </c>
      <c r="AI53" s="909"/>
      <c r="AJ53" s="448">
        <f t="shared" si="42"/>
        <v>0</v>
      </c>
      <c r="AK53" s="909"/>
      <c r="AL53" s="448">
        <f t="shared" si="43"/>
        <v>0</v>
      </c>
      <c r="AM53" s="909"/>
      <c r="AN53" s="448">
        <f t="shared" si="44"/>
        <v>0</v>
      </c>
      <c r="AO53" s="909"/>
      <c r="AP53" s="909">
        <f t="shared" si="45"/>
        <v>0</v>
      </c>
      <c r="AR53" s="909">
        <v>0</v>
      </c>
      <c r="AS53" s="909"/>
      <c r="AT53" s="914"/>
      <c r="AU53" s="909"/>
      <c r="AV53" s="909">
        <v>0</v>
      </c>
      <c r="AW53" s="909"/>
      <c r="AX53" s="448">
        <f t="shared" si="46"/>
        <v>0</v>
      </c>
      <c r="AY53" s="909"/>
      <c r="AZ53" s="448">
        <f t="shared" si="47"/>
        <v>0</v>
      </c>
      <c r="BA53" s="909"/>
      <c r="BB53" s="448">
        <f t="shared" si="48"/>
        <v>0</v>
      </c>
      <c r="BC53" s="909"/>
      <c r="BD53" s="909">
        <f t="shared" si="49"/>
        <v>0</v>
      </c>
      <c r="BF53" s="909">
        <f t="shared" si="50"/>
        <v>0</v>
      </c>
      <c r="BI53" s="437">
        <f t="shared" si="40"/>
        <v>320</v>
      </c>
    </row>
    <row r="54" spans="1:61" ht="15">
      <c r="A54" s="437">
        <f t="shared" si="41"/>
        <v>321</v>
      </c>
      <c r="B54" s="913"/>
      <c r="F54" s="917" t="s">
        <v>1524</v>
      </c>
      <c r="H54" s="914"/>
      <c r="J54" s="914"/>
      <c r="K54" s="909"/>
      <c r="L54" s="914"/>
      <c r="M54" s="909"/>
      <c r="N54" s="914"/>
      <c r="P54" s="919" t="s">
        <v>845</v>
      </c>
      <c r="R54" s="909">
        <v>0</v>
      </c>
      <c r="S54" s="909"/>
      <c r="T54" s="909">
        <f t="shared" si="51"/>
        <v>0</v>
      </c>
      <c r="U54" s="909"/>
      <c r="V54" s="909">
        <v>0</v>
      </c>
      <c r="W54" s="909"/>
      <c r="X54" s="909">
        <f t="shared" si="52"/>
        <v>0</v>
      </c>
      <c r="Y54" s="909"/>
      <c r="Z54" s="449" t="s">
        <v>1534</v>
      </c>
      <c r="AA54" s="909"/>
      <c r="AB54" s="909">
        <v>0</v>
      </c>
      <c r="AC54" s="909"/>
      <c r="AD54" s="914"/>
      <c r="AE54" s="909"/>
      <c r="AF54" s="909">
        <v>0</v>
      </c>
      <c r="AG54" s="909"/>
      <c r="AH54" s="449" t="s">
        <v>856</v>
      </c>
      <c r="AI54" s="909"/>
      <c r="AJ54" s="448">
        <f t="shared" si="42"/>
        <v>0</v>
      </c>
      <c r="AK54" s="909"/>
      <c r="AL54" s="448">
        <f t="shared" si="43"/>
        <v>0</v>
      </c>
      <c r="AM54" s="909"/>
      <c r="AN54" s="448">
        <f t="shared" si="44"/>
        <v>0</v>
      </c>
      <c r="AO54" s="909"/>
      <c r="AP54" s="909">
        <f t="shared" si="45"/>
        <v>0</v>
      </c>
      <c r="AR54" s="909">
        <v>0</v>
      </c>
      <c r="AS54" s="909"/>
      <c r="AT54" s="914"/>
      <c r="AU54" s="909"/>
      <c r="AV54" s="909">
        <v>0</v>
      </c>
      <c r="AW54" s="909"/>
      <c r="AX54" s="448">
        <f t="shared" si="46"/>
        <v>0</v>
      </c>
      <c r="AY54" s="909"/>
      <c r="AZ54" s="448">
        <f t="shared" si="47"/>
        <v>0</v>
      </c>
      <c r="BA54" s="909"/>
      <c r="BB54" s="448">
        <f t="shared" si="48"/>
        <v>0</v>
      </c>
      <c r="BC54" s="909"/>
      <c r="BD54" s="909">
        <f t="shared" si="49"/>
        <v>0</v>
      </c>
      <c r="BF54" s="909">
        <f t="shared" si="50"/>
        <v>0</v>
      </c>
      <c r="BI54" s="437">
        <f t="shared" si="40"/>
        <v>321</v>
      </c>
    </row>
    <row r="55" spans="1:61" ht="15">
      <c r="A55" s="437">
        <f t="shared" si="41"/>
        <v>322</v>
      </c>
      <c r="B55" s="913"/>
      <c r="F55" s="917" t="s">
        <v>1524</v>
      </c>
      <c r="H55" s="914"/>
      <c r="J55" s="914"/>
      <c r="K55" s="909"/>
      <c r="L55" s="914"/>
      <c r="M55" s="909"/>
      <c r="N55" s="914"/>
      <c r="P55" s="919" t="s">
        <v>845</v>
      </c>
      <c r="R55" s="909">
        <v>0</v>
      </c>
      <c r="S55" s="909"/>
      <c r="T55" s="909">
        <f t="shared" si="51"/>
        <v>0</v>
      </c>
      <c r="U55" s="909"/>
      <c r="V55" s="909">
        <v>0</v>
      </c>
      <c r="W55" s="909"/>
      <c r="X55" s="909">
        <f t="shared" si="52"/>
        <v>0</v>
      </c>
      <c r="Y55" s="909"/>
      <c r="Z55" s="449" t="s">
        <v>1534</v>
      </c>
      <c r="AA55" s="909"/>
      <c r="AB55" s="909">
        <v>0</v>
      </c>
      <c r="AC55" s="909"/>
      <c r="AD55" s="914"/>
      <c r="AE55" s="909"/>
      <c r="AF55" s="909">
        <v>0</v>
      </c>
      <c r="AG55" s="909"/>
      <c r="AH55" s="449" t="s">
        <v>856</v>
      </c>
      <c r="AI55" s="909"/>
      <c r="AJ55" s="448">
        <f t="shared" si="42"/>
        <v>0</v>
      </c>
      <c r="AK55" s="909"/>
      <c r="AL55" s="448">
        <f t="shared" si="43"/>
        <v>0</v>
      </c>
      <c r="AM55" s="909"/>
      <c r="AN55" s="448">
        <f t="shared" si="44"/>
        <v>0</v>
      </c>
      <c r="AO55" s="909"/>
      <c r="AP55" s="909">
        <f t="shared" si="45"/>
        <v>0</v>
      </c>
      <c r="AR55" s="909">
        <v>0</v>
      </c>
      <c r="AS55" s="909"/>
      <c r="AT55" s="914"/>
      <c r="AU55" s="909"/>
      <c r="AV55" s="909">
        <v>0</v>
      </c>
      <c r="AW55" s="909"/>
      <c r="AX55" s="448">
        <f t="shared" si="46"/>
        <v>0</v>
      </c>
      <c r="AY55" s="909"/>
      <c r="AZ55" s="448">
        <f t="shared" si="47"/>
        <v>0</v>
      </c>
      <c r="BA55" s="909"/>
      <c r="BB55" s="448">
        <f t="shared" si="48"/>
        <v>0</v>
      </c>
      <c r="BC55" s="909"/>
      <c r="BD55" s="909">
        <f t="shared" si="49"/>
        <v>0</v>
      </c>
      <c r="BF55" s="909">
        <f t="shared" si="50"/>
        <v>0</v>
      </c>
      <c r="BI55" s="437">
        <f t="shared" si="40"/>
        <v>322</v>
      </c>
    </row>
    <row r="56" spans="1:61" ht="15">
      <c r="A56" s="437">
        <f t="shared" si="41"/>
        <v>323</v>
      </c>
      <c r="B56" s="913"/>
      <c r="F56" s="917" t="s">
        <v>1524</v>
      </c>
      <c r="H56" s="914"/>
      <c r="J56" s="914"/>
      <c r="K56" s="909"/>
      <c r="L56" s="914"/>
      <c r="M56" s="909"/>
      <c r="N56" s="914"/>
      <c r="P56" s="919" t="s">
        <v>845</v>
      </c>
      <c r="R56" s="909">
        <v>0</v>
      </c>
      <c r="S56" s="909"/>
      <c r="T56" s="909">
        <f t="shared" si="51"/>
        <v>0</v>
      </c>
      <c r="U56" s="909"/>
      <c r="V56" s="909">
        <v>0</v>
      </c>
      <c r="W56" s="909"/>
      <c r="X56" s="909">
        <f t="shared" si="52"/>
        <v>0</v>
      </c>
      <c r="Y56" s="909"/>
      <c r="Z56" s="449" t="s">
        <v>1534</v>
      </c>
      <c r="AA56" s="909"/>
      <c r="AB56" s="909">
        <v>0</v>
      </c>
      <c r="AC56" s="909"/>
      <c r="AD56" s="914"/>
      <c r="AE56" s="909"/>
      <c r="AF56" s="909">
        <v>0</v>
      </c>
      <c r="AG56" s="909"/>
      <c r="AH56" s="449" t="s">
        <v>856</v>
      </c>
      <c r="AI56" s="909"/>
      <c r="AJ56" s="448">
        <f t="shared" si="42"/>
        <v>0</v>
      </c>
      <c r="AK56" s="909"/>
      <c r="AL56" s="448">
        <f t="shared" si="43"/>
        <v>0</v>
      </c>
      <c r="AM56" s="909"/>
      <c r="AN56" s="448">
        <f t="shared" si="44"/>
        <v>0</v>
      </c>
      <c r="AO56" s="909"/>
      <c r="AP56" s="909">
        <f t="shared" si="45"/>
        <v>0</v>
      </c>
      <c r="AR56" s="909">
        <v>0</v>
      </c>
      <c r="AS56" s="909"/>
      <c r="AT56" s="914"/>
      <c r="AU56" s="909"/>
      <c r="AV56" s="909">
        <v>0</v>
      </c>
      <c r="AW56" s="909"/>
      <c r="AX56" s="448">
        <f t="shared" si="46"/>
        <v>0</v>
      </c>
      <c r="AY56" s="909"/>
      <c r="AZ56" s="448">
        <f t="shared" si="47"/>
        <v>0</v>
      </c>
      <c r="BA56" s="909"/>
      <c r="BB56" s="448">
        <f t="shared" si="48"/>
        <v>0</v>
      </c>
      <c r="BC56" s="909"/>
      <c r="BD56" s="909">
        <f t="shared" si="49"/>
        <v>0</v>
      </c>
      <c r="BF56" s="909">
        <f t="shared" si="50"/>
        <v>0</v>
      </c>
      <c r="BI56" s="437">
        <f t="shared" si="40"/>
        <v>323</v>
      </c>
    </row>
    <row r="57" spans="1:61" ht="15">
      <c r="A57" s="437">
        <f t="shared" si="41"/>
        <v>324</v>
      </c>
      <c r="B57" s="913"/>
      <c r="F57" s="917" t="s">
        <v>1524</v>
      </c>
      <c r="H57" s="914"/>
      <c r="J57" s="914"/>
      <c r="K57" s="909"/>
      <c r="L57" s="914"/>
      <c r="M57" s="909"/>
      <c r="N57" s="914"/>
      <c r="P57" s="919" t="s">
        <v>845</v>
      </c>
      <c r="R57" s="909">
        <v>0</v>
      </c>
      <c r="S57" s="909"/>
      <c r="T57" s="909">
        <f t="shared" si="51"/>
        <v>0</v>
      </c>
      <c r="U57" s="909"/>
      <c r="V57" s="909">
        <v>0</v>
      </c>
      <c r="W57" s="909"/>
      <c r="X57" s="909">
        <f t="shared" si="52"/>
        <v>0</v>
      </c>
      <c r="Y57" s="909"/>
      <c r="Z57" s="449" t="s">
        <v>1534</v>
      </c>
      <c r="AA57" s="909"/>
      <c r="AB57" s="909">
        <v>0</v>
      </c>
      <c r="AC57" s="909"/>
      <c r="AD57" s="914"/>
      <c r="AE57" s="909"/>
      <c r="AF57" s="909">
        <v>0</v>
      </c>
      <c r="AG57" s="909"/>
      <c r="AH57" s="449" t="s">
        <v>856</v>
      </c>
      <c r="AI57" s="909"/>
      <c r="AJ57" s="448">
        <f t="shared" si="42"/>
        <v>0</v>
      </c>
      <c r="AK57" s="909"/>
      <c r="AL57" s="448">
        <f t="shared" si="43"/>
        <v>0</v>
      </c>
      <c r="AM57" s="909"/>
      <c r="AN57" s="448">
        <f t="shared" si="44"/>
        <v>0</v>
      </c>
      <c r="AO57" s="909"/>
      <c r="AP57" s="909">
        <f t="shared" si="45"/>
        <v>0</v>
      </c>
      <c r="AR57" s="909">
        <v>0</v>
      </c>
      <c r="AS57" s="909"/>
      <c r="AT57" s="914"/>
      <c r="AU57" s="909"/>
      <c r="AV57" s="909">
        <v>0</v>
      </c>
      <c r="AW57" s="909"/>
      <c r="AX57" s="448">
        <f t="shared" si="46"/>
        <v>0</v>
      </c>
      <c r="AY57" s="909"/>
      <c r="AZ57" s="448">
        <f t="shared" si="47"/>
        <v>0</v>
      </c>
      <c r="BA57" s="909"/>
      <c r="BB57" s="448">
        <f t="shared" si="48"/>
        <v>0</v>
      </c>
      <c r="BC57" s="909"/>
      <c r="BD57" s="909">
        <f t="shared" si="49"/>
        <v>0</v>
      </c>
      <c r="BF57" s="909">
        <f t="shared" si="50"/>
        <v>0</v>
      </c>
      <c r="BI57" s="437">
        <f t="shared" si="40"/>
        <v>324</v>
      </c>
    </row>
    <row r="58" spans="1:61" ht="15">
      <c r="A58" s="437">
        <f t="shared" si="41"/>
        <v>325</v>
      </c>
      <c r="B58" s="913"/>
      <c r="F58" s="917" t="s">
        <v>1524</v>
      </c>
      <c r="H58" s="914"/>
      <c r="J58" s="914"/>
      <c r="K58" s="909"/>
      <c r="L58" s="914"/>
      <c r="M58" s="909"/>
      <c r="N58" s="914"/>
      <c r="P58" s="919" t="s">
        <v>845</v>
      </c>
      <c r="R58" s="909">
        <v>0</v>
      </c>
      <c r="S58" s="909"/>
      <c r="T58" s="909">
        <f t="shared" si="51"/>
        <v>0</v>
      </c>
      <c r="U58" s="909"/>
      <c r="V58" s="909">
        <v>0</v>
      </c>
      <c r="W58" s="909"/>
      <c r="X58" s="909">
        <f t="shared" si="52"/>
        <v>0</v>
      </c>
      <c r="Y58" s="909"/>
      <c r="Z58" s="449" t="s">
        <v>1534</v>
      </c>
      <c r="AA58" s="909"/>
      <c r="AB58" s="909">
        <v>0</v>
      </c>
      <c r="AC58" s="909"/>
      <c r="AD58" s="914"/>
      <c r="AE58" s="909"/>
      <c r="AF58" s="909">
        <v>0</v>
      </c>
      <c r="AG58" s="909"/>
      <c r="AH58" s="449" t="s">
        <v>856</v>
      </c>
      <c r="AI58" s="909"/>
      <c r="AJ58" s="448">
        <f t="shared" si="42"/>
        <v>0</v>
      </c>
      <c r="AK58" s="909"/>
      <c r="AL58" s="448">
        <f t="shared" si="43"/>
        <v>0</v>
      </c>
      <c r="AM58" s="909"/>
      <c r="AN58" s="448">
        <f t="shared" si="44"/>
        <v>0</v>
      </c>
      <c r="AO58" s="909"/>
      <c r="AP58" s="909">
        <f t="shared" si="45"/>
        <v>0</v>
      </c>
      <c r="AR58" s="909">
        <v>0</v>
      </c>
      <c r="AS58" s="909"/>
      <c r="AT58" s="914"/>
      <c r="AU58" s="909"/>
      <c r="AV58" s="909">
        <v>0</v>
      </c>
      <c r="AW58" s="909"/>
      <c r="AX58" s="448">
        <f t="shared" si="46"/>
        <v>0</v>
      </c>
      <c r="AY58" s="909"/>
      <c r="AZ58" s="448">
        <f t="shared" si="47"/>
        <v>0</v>
      </c>
      <c r="BA58" s="909"/>
      <c r="BB58" s="448">
        <f t="shared" si="48"/>
        <v>0</v>
      </c>
      <c r="BC58" s="909"/>
      <c r="BD58" s="909">
        <f t="shared" si="49"/>
        <v>0</v>
      </c>
      <c r="BF58" s="909">
        <f t="shared" si="50"/>
        <v>0</v>
      </c>
      <c r="BI58" s="437">
        <f t="shared" si="40"/>
        <v>325</v>
      </c>
    </row>
    <row r="59" spans="1:61" ht="15">
      <c r="A59" s="437">
        <f t="shared" si="41"/>
        <v>326</v>
      </c>
      <c r="B59" s="913"/>
      <c r="F59" s="917" t="s">
        <v>1524</v>
      </c>
      <c r="H59" s="914"/>
      <c r="J59" s="914"/>
      <c r="K59" s="909"/>
      <c r="L59" s="914"/>
      <c r="M59" s="909"/>
      <c r="N59" s="914"/>
      <c r="P59" s="919" t="s">
        <v>845</v>
      </c>
      <c r="R59" s="909">
        <v>0</v>
      </c>
      <c r="S59" s="909"/>
      <c r="T59" s="909">
        <f t="shared" si="51"/>
        <v>0</v>
      </c>
      <c r="U59" s="909"/>
      <c r="V59" s="909">
        <v>0</v>
      </c>
      <c r="W59" s="909"/>
      <c r="X59" s="909">
        <f t="shared" si="52"/>
        <v>0</v>
      </c>
      <c r="Y59" s="909"/>
      <c r="Z59" s="449" t="s">
        <v>1534</v>
      </c>
      <c r="AA59" s="909"/>
      <c r="AB59" s="909">
        <v>0</v>
      </c>
      <c r="AC59" s="909"/>
      <c r="AD59" s="914"/>
      <c r="AE59" s="909"/>
      <c r="AF59" s="909">
        <v>0</v>
      </c>
      <c r="AG59" s="909"/>
      <c r="AH59" s="449" t="s">
        <v>856</v>
      </c>
      <c r="AI59" s="909"/>
      <c r="AJ59" s="448">
        <f t="shared" si="42"/>
        <v>0</v>
      </c>
      <c r="AK59" s="909"/>
      <c r="AL59" s="448">
        <f t="shared" si="43"/>
        <v>0</v>
      </c>
      <c r="AM59" s="909"/>
      <c r="AN59" s="448">
        <f t="shared" si="44"/>
        <v>0</v>
      </c>
      <c r="AO59" s="909"/>
      <c r="AP59" s="909">
        <f t="shared" si="45"/>
        <v>0</v>
      </c>
      <c r="AR59" s="909">
        <v>0</v>
      </c>
      <c r="AS59" s="909"/>
      <c r="AT59" s="914"/>
      <c r="AU59" s="909"/>
      <c r="AV59" s="909">
        <v>0</v>
      </c>
      <c r="AW59" s="909"/>
      <c r="AX59" s="448">
        <f t="shared" si="46"/>
        <v>0</v>
      </c>
      <c r="AY59" s="909"/>
      <c r="AZ59" s="448">
        <f t="shared" si="47"/>
        <v>0</v>
      </c>
      <c r="BA59" s="909"/>
      <c r="BB59" s="448">
        <f t="shared" si="48"/>
        <v>0</v>
      </c>
      <c r="BC59" s="909"/>
      <c r="BD59" s="909">
        <f t="shared" si="49"/>
        <v>0</v>
      </c>
      <c r="BF59" s="909">
        <f t="shared" si="50"/>
        <v>0</v>
      </c>
      <c r="BI59" s="437">
        <f t="shared" si="40"/>
        <v>326</v>
      </c>
    </row>
    <row r="60" spans="1:61" ht="15">
      <c r="A60" s="437">
        <f t="shared" si="41"/>
        <v>327</v>
      </c>
      <c r="B60" s="913"/>
      <c r="F60" s="917" t="s">
        <v>1524</v>
      </c>
      <c r="H60" s="914"/>
      <c r="J60" s="914"/>
      <c r="K60" s="909"/>
      <c r="L60" s="914"/>
      <c r="M60" s="909"/>
      <c r="N60" s="914"/>
      <c r="P60" s="919" t="s">
        <v>845</v>
      </c>
      <c r="R60" s="909">
        <v>0</v>
      </c>
      <c r="S60" s="909"/>
      <c r="T60" s="909">
        <f t="shared" si="51"/>
        <v>0</v>
      </c>
      <c r="U60" s="909"/>
      <c r="V60" s="909">
        <v>0</v>
      </c>
      <c r="W60" s="909"/>
      <c r="X60" s="909">
        <f t="shared" si="52"/>
        <v>0</v>
      </c>
      <c r="Y60" s="909"/>
      <c r="Z60" s="449" t="s">
        <v>1534</v>
      </c>
      <c r="AA60" s="909"/>
      <c r="AB60" s="909">
        <v>0</v>
      </c>
      <c r="AC60" s="909"/>
      <c r="AD60" s="914"/>
      <c r="AE60" s="909"/>
      <c r="AF60" s="909">
        <v>0</v>
      </c>
      <c r="AG60" s="909"/>
      <c r="AH60" s="449" t="s">
        <v>856</v>
      </c>
      <c r="AI60" s="909"/>
      <c r="AJ60" s="448">
        <f t="shared" si="42"/>
        <v>0</v>
      </c>
      <c r="AK60" s="909"/>
      <c r="AL60" s="448">
        <f t="shared" si="43"/>
        <v>0</v>
      </c>
      <c r="AM60" s="909"/>
      <c r="AN60" s="448">
        <f t="shared" si="44"/>
        <v>0</v>
      </c>
      <c r="AO60" s="909"/>
      <c r="AP60" s="909">
        <f t="shared" si="45"/>
        <v>0</v>
      </c>
      <c r="AR60" s="909">
        <v>0</v>
      </c>
      <c r="AS60" s="909"/>
      <c r="AT60" s="914"/>
      <c r="AU60" s="909"/>
      <c r="AV60" s="909">
        <v>0</v>
      </c>
      <c r="AW60" s="909"/>
      <c r="AX60" s="448">
        <f t="shared" si="46"/>
        <v>0</v>
      </c>
      <c r="AY60" s="909"/>
      <c r="AZ60" s="448">
        <f t="shared" si="47"/>
        <v>0</v>
      </c>
      <c r="BA60" s="909"/>
      <c r="BB60" s="448">
        <f t="shared" si="48"/>
        <v>0</v>
      </c>
      <c r="BC60" s="909"/>
      <c r="BD60" s="909">
        <f t="shared" si="49"/>
        <v>0</v>
      </c>
      <c r="BF60" s="909">
        <f t="shared" si="50"/>
        <v>0</v>
      </c>
      <c r="BI60" s="437">
        <f t="shared" si="40"/>
        <v>327</v>
      </c>
    </row>
    <row r="61" spans="1:61" ht="15">
      <c r="A61" s="437">
        <f t="shared" si="41"/>
        <v>328</v>
      </c>
      <c r="B61" s="913"/>
      <c r="F61" s="917" t="s">
        <v>1524</v>
      </c>
      <c r="H61" s="914"/>
      <c r="J61" s="914"/>
      <c r="K61" s="909"/>
      <c r="L61" s="914"/>
      <c r="M61" s="909"/>
      <c r="N61" s="914"/>
      <c r="P61" s="919" t="s">
        <v>845</v>
      </c>
      <c r="R61" s="909">
        <v>0</v>
      </c>
      <c r="S61" s="909"/>
      <c r="T61" s="909">
        <f t="shared" si="51"/>
        <v>0</v>
      </c>
      <c r="U61" s="909"/>
      <c r="V61" s="909">
        <v>0</v>
      </c>
      <c r="W61" s="909"/>
      <c r="X61" s="909">
        <f t="shared" si="52"/>
        <v>0</v>
      </c>
      <c r="Y61" s="909"/>
      <c r="Z61" s="449" t="s">
        <v>1534</v>
      </c>
      <c r="AA61" s="909"/>
      <c r="AB61" s="909">
        <v>0</v>
      </c>
      <c r="AC61" s="909"/>
      <c r="AD61" s="914"/>
      <c r="AE61" s="909"/>
      <c r="AF61" s="909">
        <v>0</v>
      </c>
      <c r="AG61" s="909"/>
      <c r="AH61" s="449" t="s">
        <v>856</v>
      </c>
      <c r="AI61" s="909"/>
      <c r="AJ61" s="448">
        <f t="shared" si="42"/>
        <v>0</v>
      </c>
      <c r="AK61" s="909"/>
      <c r="AL61" s="448">
        <f t="shared" si="43"/>
        <v>0</v>
      </c>
      <c r="AM61" s="909"/>
      <c r="AN61" s="448">
        <f t="shared" si="44"/>
        <v>0</v>
      </c>
      <c r="AO61" s="909"/>
      <c r="AP61" s="909">
        <f t="shared" si="45"/>
        <v>0</v>
      </c>
      <c r="AR61" s="909">
        <v>0</v>
      </c>
      <c r="AS61" s="909"/>
      <c r="AT61" s="914"/>
      <c r="AU61" s="909"/>
      <c r="AV61" s="909">
        <v>0</v>
      </c>
      <c r="AW61" s="909"/>
      <c r="AX61" s="448">
        <f t="shared" si="46"/>
        <v>0</v>
      </c>
      <c r="AY61" s="909"/>
      <c r="AZ61" s="448">
        <f t="shared" si="47"/>
        <v>0</v>
      </c>
      <c r="BA61" s="909"/>
      <c r="BB61" s="448">
        <f t="shared" si="48"/>
        <v>0</v>
      </c>
      <c r="BC61" s="909"/>
      <c r="BD61" s="909">
        <f t="shared" si="49"/>
        <v>0</v>
      </c>
      <c r="BF61" s="909">
        <f t="shared" si="50"/>
        <v>0</v>
      </c>
      <c r="BI61" s="437">
        <f t="shared" si="40"/>
        <v>328</v>
      </c>
    </row>
    <row r="62" spans="1:61" ht="15">
      <c r="A62" s="437">
        <f t="shared" si="41"/>
        <v>329</v>
      </c>
      <c r="B62" s="913"/>
      <c r="F62" s="917" t="s">
        <v>1524</v>
      </c>
      <c r="H62" s="914"/>
      <c r="J62" s="914"/>
      <c r="K62" s="909"/>
      <c r="L62" s="914"/>
      <c r="M62" s="909"/>
      <c r="N62" s="914"/>
      <c r="P62" s="919" t="s">
        <v>845</v>
      </c>
      <c r="R62" s="909">
        <v>0</v>
      </c>
      <c r="S62" s="909"/>
      <c r="T62" s="909">
        <f t="shared" si="51"/>
        <v>0</v>
      </c>
      <c r="U62" s="909"/>
      <c r="V62" s="909">
        <v>0</v>
      </c>
      <c r="W62" s="909"/>
      <c r="X62" s="909">
        <f t="shared" si="52"/>
        <v>0</v>
      </c>
      <c r="Y62" s="909"/>
      <c r="Z62" s="449" t="s">
        <v>1534</v>
      </c>
      <c r="AA62" s="909"/>
      <c r="AB62" s="909">
        <v>0</v>
      </c>
      <c r="AC62" s="909"/>
      <c r="AD62" s="914"/>
      <c r="AE62" s="909"/>
      <c r="AF62" s="909">
        <v>0</v>
      </c>
      <c r="AG62" s="909"/>
      <c r="AH62" s="449" t="s">
        <v>856</v>
      </c>
      <c r="AI62" s="909"/>
      <c r="AJ62" s="448">
        <f t="shared" si="42"/>
        <v>0</v>
      </c>
      <c r="AK62" s="909"/>
      <c r="AL62" s="448">
        <f t="shared" si="43"/>
        <v>0</v>
      </c>
      <c r="AM62" s="909"/>
      <c r="AN62" s="448">
        <f t="shared" si="44"/>
        <v>0</v>
      </c>
      <c r="AO62" s="909"/>
      <c r="AP62" s="909">
        <f t="shared" si="45"/>
        <v>0</v>
      </c>
      <c r="AR62" s="909">
        <v>0</v>
      </c>
      <c r="AS62" s="909"/>
      <c r="AT62" s="914"/>
      <c r="AU62" s="909"/>
      <c r="AV62" s="909">
        <v>0</v>
      </c>
      <c r="AW62" s="909"/>
      <c r="AX62" s="448">
        <f t="shared" si="46"/>
        <v>0</v>
      </c>
      <c r="AY62" s="909"/>
      <c r="AZ62" s="448">
        <f t="shared" si="47"/>
        <v>0</v>
      </c>
      <c r="BA62" s="909"/>
      <c r="BB62" s="448">
        <f t="shared" si="48"/>
        <v>0</v>
      </c>
      <c r="BC62" s="909"/>
      <c r="BD62" s="909">
        <f t="shared" si="49"/>
        <v>0</v>
      </c>
      <c r="BF62" s="909">
        <f t="shared" si="50"/>
        <v>0</v>
      </c>
      <c r="BI62" s="437">
        <f t="shared" si="40"/>
        <v>329</v>
      </c>
    </row>
    <row r="63" spans="1:61" ht="15">
      <c r="A63" s="437">
        <f t="shared" si="41"/>
        <v>330</v>
      </c>
      <c r="B63" s="913"/>
      <c r="F63" s="917" t="s">
        <v>1524</v>
      </c>
      <c r="H63" s="914"/>
      <c r="J63" s="914"/>
      <c r="K63" s="909"/>
      <c r="L63" s="914"/>
      <c r="M63" s="909"/>
      <c r="N63" s="914"/>
      <c r="P63" s="919" t="s">
        <v>845</v>
      </c>
      <c r="R63" s="909">
        <v>0</v>
      </c>
      <c r="S63" s="909"/>
      <c r="T63" s="909">
        <f t="shared" si="51"/>
        <v>0</v>
      </c>
      <c r="U63" s="909"/>
      <c r="V63" s="909">
        <v>0</v>
      </c>
      <c r="W63" s="909"/>
      <c r="X63" s="909">
        <f t="shared" si="52"/>
        <v>0</v>
      </c>
      <c r="Y63" s="909"/>
      <c r="Z63" s="449" t="s">
        <v>1534</v>
      </c>
      <c r="AA63" s="909"/>
      <c r="AB63" s="909">
        <v>0</v>
      </c>
      <c r="AC63" s="909"/>
      <c r="AD63" s="914"/>
      <c r="AE63" s="909"/>
      <c r="AF63" s="909">
        <v>0</v>
      </c>
      <c r="AG63" s="909"/>
      <c r="AH63" s="449" t="s">
        <v>856</v>
      </c>
      <c r="AI63" s="909"/>
      <c r="AJ63" s="448">
        <f t="shared" si="42"/>
        <v>0</v>
      </c>
      <c r="AK63" s="909"/>
      <c r="AL63" s="448">
        <f t="shared" si="43"/>
        <v>0</v>
      </c>
      <c r="AM63" s="909"/>
      <c r="AN63" s="448">
        <f t="shared" si="44"/>
        <v>0</v>
      </c>
      <c r="AO63" s="909"/>
      <c r="AP63" s="909">
        <f t="shared" si="45"/>
        <v>0</v>
      </c>
      <c r="AR63" s="909">
        <v>0</v>
      </c>
      <c r="AS63" s="909"/>
      <c r="AT63" s="914"/>
      <c r="AU63" s="909"/>
      <c r="AV63" s="909">
        <v>0</v>
      </c>
      <c r="AW63" s="909"/>
      <c r="AX63" s="448">
        <f t="shared" si="46"/>
        <v>0</v>
      </c>
      <c r="AY63" s="909"/>
      <c r="AZ63" s="448">
        <f t="shared" si="47"/>
        <v>0</v>
      </c>
      <c r="BA63" s="909"/>
      <c r="BB63" s="448">
        <f t="shared" si="48"/>
        <v>0</v>
      </c>
      <c r="BC63" s="909"/>
      <c r="BD63" s="909">
        <f t="shared" si="49"/>
        <v>0</v>
      </c>
      <c r="BF63" s="909">
        <f t="shared" si="50"/>
        <v>0</v>
      </c>
      <c r="BI63" s="437">
        <f t="shared" si="40"/>
        <v>330</v>
      </c>
    </row>
    <row r="64" spans="1:61" ht="15">
      <c r="A64" s="437">
        <f t="shared" si="41"/>
        <v>331</v>
      </c>
      <c r="B64" s="913"/>
      <c r="F64" s="917" t="s">
        <v>1524</v>
      </c>
      <c r="H64" s="914"/>
      <c r="J64" s="914"/>
      <c r="K64" s="909"/>
      <c r="L64" s="914"/>
      <c r="M64" s="909"/>
      <c r="N64" s="914"/>
      <c r="P64" s="919" t="s">
        <v>845</v>
      </c>
      <c r="R64" s="909">
        <v>0</v>
      </c>
      <c r="S64" s="909"/>
      <c r="T64" s="909">
        <f t="shared" si="51"/>
        <v>0</v>
      </c>
      <c r="U64" s="909"/>
      <c r="V64" s="909">
        <v>0</v>
      </c>
      <c r="W64" s="909"/>
      <c r="X64" s="909">
        <f t="shared" si="52"/>
        <v>0</v>
      </c>
      <c r="Y64" s="909"/>
      <c r="Z64" s="449" t="s">
        <v>1534</v>
      </c>
      <c r="AA64" s="909"/>
      <c r="AB64" s="909">
        <v>0</v>
      </c>
      <c r="AC64" s="909"/>
      <c r="AD64" s="914"/>
      <c r="AE64" s="909"/>
      <c r="AF64" s="909">
        <v>0</v>
      </c>
      <c r="AG64" s="909"/>
      <c r="AH64" s="449" t="s">
        <v>856</v>
      </c>
      <c r="AI64" s="909"/>
      <c r="AJ64" s="448">
        <f t="shared" si="42"/>
        <v>0</v>
      </c>
      <c r="AK64" s="909"/>
      <c r="AL64" s="448">
        <f t="shared" si="43"/>
        <v>0</v>
      </c>
      <c r="AM64" s="909"/>
      <c r="AN64" s="448">
        <f t="shared" si="44"/>
        <v>0</v>
      </c>
      <c r="AO64" s="909"/>
      <c r="AP64" s="909">
        <f t="shared" si="45"/>
        <v>0</v>
      </c>
      <c r="AR64" s="909">
        <v>0</v>
      </c>
      <c r="AS64" s="909"/>
      <c r="AT64" s="914"/>
      <c r="AU64" s="909"/>
      <c r="AV64" s="909">
        <v>0</v>
      </c>
      <c r="AW64" s="909"/>
      <c r="AX64" s="448">
        <f t="shared" si="46"/>
        <v>0</v>
      </c>
      <c r="AY64" s="909"/>
      <c r="AZ64" s="448">
        <f t="shared" si="47"/>
        <v>0</v>
      </c>
      <c r="BA64" s="909"/>
      <c r="BB64" s="448">
        <f t="shared" si="48"/>
        <v>0</v>
      </c>
      <c r="BC64" s="909"/>
      <c r="BD64" s="909">
        <f t="shared" si="49"/>
        <v>0</v>
      </c>
      <c r="BF64" s="909">
        <f t="shared" si="50"/>
        <v>0</v>
      </c>
      <c r="BI64" s="437">
        <f t="shared" si="40"/>
        <v>331</v>
      </c>
    </row>
    <row r="65" spans="1:61" ht="15">
      <c r="A65" s="437">
        <f t="shared" si="41"/>
        <v>332</v>
      </c>
      <c r="B65" s="913"/>
      <c r="F65" s="917" t="s">
        <v>1524</v>
      </c>
      <c r="H65" s="914"/>
      <c r="J65" s="914"/>
      <c r="K65" s="909"/>
      <c r="L65" s="914"/>
      <c r="M65" s="909"/>
      <c r="N65" s="914"/>
      <c r="P65" s="919" t="s">
        <v>845</v>
      </c>
      <c r="R65" s="909">
        <v>0</v>
      </c>
      <c r="S65" s="909"/>
      <c r="T65" s="909">
        <f t="shared" si="51"/>
        <v>0</v>
      </c>
      <c r="U65" s="909"/>
      <c r="V65" s="909">
        <v>0</v>
      </c>
      <c r="W65" s="909"/>
      <c r="X65" s="909">
        <f t="shared" si="52"/>
        <v>0</v>
      </c>
      <c r="Y65" s="909"/>
      <c r="Z65" s="449" t="s">
        <v>1534</v>
      </c>
      <c r="AA65" s="909"/>
      <c r="AB65" s="909">
        <v>0</v>
      </c>
      <c r="AC65" s="909"/>
      <c r="AD65" s="914"/>
      <c r="AE65" s="909"/>
      <c r="AF65" s="909">
        <v>0</v>
      </c>
      <c r="AG65" s="909"/>
      <c r="AH65" s="449" t="s">
        <v>856</v>
      </c>
      <c r="AI65" s="909"/>
      <c r="AJ65" s="448">
        <f t="shared" si="42"/>
        <v>0</v>
      </c>
      <c r="AK65" s="909"/>
      <c r="AL65" s="448">
        <f t="shared" si="43"/>
        <v>0</v>
      </c>
      <c r="AM65" s="909"/>
      <c r="AN65" s="448">
        <f t="shared" si="44"/>
        <v>0</v>
      </c>
      <c r="AO65" s="909"/>
      <c r="AP65" s="909">
        <f t="shared" si="45"/>
        <v>0</v>
      </c>
      <c r="AR65" s="909">
        <v>0</v>
      </c>
      <c r="AS65" s="909"/>
      <c r="AT65" s="914"/>
      <c r="AU65" s="909"/>
      <c r="AV65" s="909">
        <v>0</v>
      </c>
      <c r="AW65" s="909"/>
      <c r="AX65" s="448">
        <f t="shared" si="46"/>
        <v>0</v>
      </c>
      <c r="AY65" s="909"/>
      <c r="AZ65" s="448">
        <f t="shared" si="47"/>
        <v>0</v>
      </c>
      <c r="BA65" s="909"/>
      <c r="BB65" s="448">
        <f t="shared" si="48"/>
        <v>0</v>
      </c>
      <c r="BC65" s="909"/>
      <c r="BD65" s="909">
        <f t="shared" si="49"/>
        <v>0</v>
      </c>
      <c r="BF65" s="909">
        <f t="shared" si="50"/>
        <v>0</v>
      </c>
      <c r="BI65" s="437">
        <f t="shared" si="40"/>
        <v>332</v>
      </c>
    </row>
    <row r="66" spans="1:61" ht="15">
      <c r="A66" s="437">
        <f t="shared" si="41"/>
        <v>333</v>
      </c>
      <c r="B66" s="913"/>
      <c r="F66" s="917" t="s">
        <v>1524</v>
      </c>
      <c r="H66" s="914"/>
      <c r="J66" s="914"/>
      <c r="K66" s="909"/>
      <c r="L66" s="914"/>
      <c r="M66" s="909"/>
      <c r="N66" s="914"/>
      <c r="P66" s="919" t="s">
        <v>845</v>
      </c>
      <c r="R66" s="909">
        <f>+N66</f>
        <v>0</v>
      </c>
      <c r="S66" s="909"/>
      <c r="T66" s="909"/>
      <c r="U66" s="909"/>
      <c r="V66" s="909">
        <v>0</v>
      </c>
      <c r="W66" s="909"/>
      <c r="X66" s="909">
        <f t="shared" si="52"/>
        <v>0</v>
      </c>
      <c r="Y66" s="909"/>
      <c r="Z66" s="449" t="s">
        <v>1534</v>
      </c>
      <c r="AA66" s="909"/>
      <c r="AB66" s="909">
        <v>0</v>
      </c>
      <c r="AC66" s="909"/>
      <c r="AD66" s="914"/>
      <c r="AE66" s="909"/>
      <c r="AF66" s="909">
        <v>0</v>
      </c>
      <c r="AG66" s="909"/>
      <c r="AH66" s="449" t="s">
        <v>856</v>
      </c>
      <c r="AI66" s="909"/>
      <c r="AJ66" s="448">
        <f t="shared" si="42"/>
        <v>0</v>
      </c>
      <c r="AK66" s="909"/>
      <c r="AL66" s="448">
        <f t="shared" si="43"/>
        <v>0</v>
      </c>
      <c r="AM66" s="909"/>
      <c r="AN66" s="448">
        <f t="shared" si="44"/>
        <v>0</v>
      </c>
      <c r="AO66" s="909"/>
      <c r="AP66" s="909">
        <f t="shared" si="45"/>
        <v>0</v>
      </c>
      <c r="AR66" s="909">
        <v>0</v>
      </c>
      <c r="AS66" s="909"/>
      <c r="AT66" s="914"/>
      <c r="AU66" s="909"/>
      <c r="AV66" s="909">
        <v>0</v>
      </c>
      <c r="AW66" s="909"/>
      <c r="AX66" s="448">
        <f t="shared" si="46"/>
        <v>0</v>
      </c>
      <c r="AY66" s="909"/>
      <c r="AZ66" s="448">
        <f t="shared" si="47"/>
        <v>0</v>
      </c>
      <c r="BA66" s="909"/>
      <c r="BB66" s="448">
        <f t="shared" si="48"/>
        <v>0</v>
      </c>
      <c r="BC66" s="909"/>
      <c r="BD66" s="909">
        <f t="shared" si="49"/>
        <v>0</v>
      </c>
      <c r="BF66" s="909">
        <f t="shared" si="50"/>
        <v>0</v>
      </c>
      <c r="BI66" s="437">
        <f t="shared" si="40"/>
        <v>333</v>
      </c>
    </row>
    <row r="67" spans="1:61" ht="15">
      <c r="A67" s="437">
        <f t="shared" si="41"/>
        <v>334</v>
      </c>
      <c r="B67" s="913"/>
      <c r="F67" s="917" t="s">
        <v>1524</v>
      </c>
      <c r="H67" s="914"/>
      <c r="J67" s="914"/>
      <c r="K67" s="909"/>
      <c r="L67" s="914"/>
      <c r="M67" s="909"/>
      <c r="N67" s="914"/>
      <c r="P67" s="919" t="s">
        <v>845</v>
      </c>
      <c r="R67" s="909">
        <v>0</v>
      </c>
      <c r="S67" s="909"/>
      <c r="T67" s="909">
        <f t="shared" si="51"/>
        <v>0</v>
      </c>
      <c r="U67" s="909"/>
      <c r="V67" s="909">
        <v>0</v>
      </c>
      <c r="W67" s="909"/>
      <c r="X67" s="909">
        <f t="shared" si="52"/>
        <v>0</v>
      </c>
      <c r="Y67" s="909"/>
      <c r="Z67" s="449" t="s">
        <v>1534</v>
      </c>
      <c r="AA67" s="909"/>
      <c r="AB67" s="909">
        <v>0</v>
      </c>
      <c r="AC67" s="909"/>
      <c r="AD67" s="914"/>
      <c r="AE67" s="909"/>
      <c r="AF67" s="909">
        <v>0</v>
      </c>
      <c r="AG67" s="909"/>
      <c r="AH67" s="449" t="s">
        <v>856</v>
      </c>
      <c r="AI67" s="909"/>
      <c r="AJ67" s="448">
        <f t="shared" si="42"/>
        <v>0</v>
      </c>
      <c r="AK67" s="909"/>
      <c r="AL67" s="448">
        <f t="shared" si="43"/>
        <v>0</v>
      </c>
      <c r="AM67" s="909"/>
      <c r="AN67" s="448">
        <f t="shared" si="44"/>
        <v>0</v>
      </c>
      <c r="AO67" s="909"/>
      <c r="AP67" s="909">
        <f t="shared" si="45"/>
        <v>0</v>
      </c>
      <c r="AR67" s="909">
        <v>0</v>
      </c>
      <c r="AS67" s="909"/>
      <c r="AT67" s="914"/>
      <c r="AU67" s="909"/>
      <c r="AV67" s="909">
        <v>0</v>
      </c>
      <c r="AW67" s="909"/>
      <c r="AX67" s="448">
        <f t="shared" si="46"/>
        <v>0</v>
      </c>
      <c r="AY67" s="909"/>
      <c r="AZ67" s="448">
        <f t="shared" si="47"/>
        <v>0</v>
      </c>
      <c r="BA67" s="909"/>
      <c r="BB67" s="448">
        <f t="shared" si="48"/>
        <v>0</v>
      </c>
      <c r="BC67" s="909"/>
      <c r="BD67" s="909">
        <f t="shared" si="49"/>
        <v>0</v>
      </c>
      <c r="BF67" s="909">
        <f t="shared" si="50"/>
        <v>0</v>
      </c>
      <c r="BI67" s="437">
        <f t="shared" si="40"/>
        <v>334</v>
      </c>
    </row>
    <row r="68" spans="1:61" ht="15">
      <c r="A68" s="437">
        <f t="shared" si="41"/>
        <v>335</v>
      </c>
      <c r="B68" s="913"/>
      <c r="F68" s="917" t="s">
        <v>1524</v>
      </c>
      <c r="H68" s="914"/>
      <c r="J68" s="914"/>
      <c r="K68" s="909"/>
      <c r="L68" s="914"/>
      <c r="M68" s="909"/>
      <c r="N68" s="914"/>
      <c r="P68" s="919" t="s">
        <v>845</v>
      </c>
      <c r="R68" s="909">
        <v>0</v>
      </c>
      <c r="S68" s="909"/>
      <c r="T68" s="909">
        <f t="shared" si="51"/>
        <v>0</v>
      </c>
      <c r="U68" s="909"/>
      <c r="V68" s="909">
        <v>0</v>
      </c>
      <c r="W68" s="909"/>
      <c r="X68" s="909">
        <f t="shared" si="52"/>
        <v>0</v>
      </c>
      <c r="Y68" s="909"/>
      <c r="Z68" s="449" t="s">
        <v>1534</v>
      </c>
      <c r="AA68" s="909"/>
      <c r="AB68" s="909">
        <v>0</v>
      </c>
      <c r="AC68" s="909"/>
      <c r="AD68" s="914"/>
      <c r="AE68" s="909"/>
      <c r="AF68" s="909">
        <v>0</v>
      </c>
      <c r="AG68" s="909"/>
      <c r="AH68" s="449" t="s">
        <v>856</v>
      </c>
      <c r="AI68" s="909"/>
      <c r="AJ68" s="448">
        <f t="shared" si="42"/>
        <v>0</v>
      </c>
      <c r="AK68" s="909"/>
      <c r="AL68" s="448">
        <f t="shared" si="43"/>
        <v>0</v>
      </c>
      <c r="AM68" s="909"/>
      <c r="AN68" s="448">
        <f t="shared" si="44"/>
        <v>0</v>
      </c>
      <c r="AO68" s="909"/>
      <c r="AP68" s="909">
        <f t="shared" si="45"/>
        <v>0</v>
      </c>
      <c r="AR68" s="909">
        <v>0</v>
      </c>
      <c r="AS68" s="909"/>
      <c r="AT68" s="914"/>
      <c r="AU68" s="909"/>
      <c r="AV68" s="909">
        <v>0</v>
      </c>
      <c r="AW68" s="909"/>
      <c r="AX68" s="448">
        <f t="shared" si="46"/>
        <v>0</v>
      </c>
      <c r="AY68" s="909"/>
      <c r="AZ68" s="448">
        <f t="shared" si="47"/>
        <v>0</v>
      </c>
      <c r="BA68" s="909"/>
      <c r="BB68" s="448">
        <f t="shared" si="48"/>
        <v>0</v>
      </c>
      <c r="BC68" s="909"/>
      <c r="BD68" s="909">
        <f t="shared" si="49"/>
        <v>0</v>
      </c>
      <c r="BF68" s="909">
        <f t="shared" si="50"/>
        <v>0</v>
      </c>
      <c r="BI68" s="437">
        <f t="shared" si="40"/>
        <v>335</v>
      </c>
    </row>
    <row r="69" spans="1:61" ht="15">
      <c r="A69" s="437">
        <f t="shared" si="41"/>
        <v>336</v>
      </c>
      <c r="B69" s="913"/>
      <c r="F69" s="917" t="s">
        <v>1524</v>
      </c>
      <c r="H69" s="914"/>
      <c r="J69" s="914"/>
      <c r="K69" s="909"/>
      <c r="L69" s="914"/>
      <c r="M69" s="909"/>
      <c r="N69" s="914"/>
      <c r="P69" s="919" t="s">
        <v>845</v>
      </c>
      <c r="R69" s="909">
        <v>0</v>
      </c>
      <c r="S69" s="909"/>
      <c r="T69" s="909">
        <f t="shared" si="51"/>
        <v>0</v>
      </c>
      <c r="U69" s="909"/>
      <c r="V69" s="909">
        <v>0</v>
      </c>
      <c r="W69" s="909"/>
      <c r="X69" s="909">
        <f t="shared" si="52"/>
        <v>0</v>
      </c>
      <c r="Y69" s="909"/>
      <c r="Z69" s="449" t="s">
        <v>1534</v>
      </c>
      <c r="AA69" s="909"/>
      <c r="AB69" s="909">
        <v>0</v>
      </c>
      <c r="AC69" s="909"/>
      <c r="AD69" s="914"/>
      <c r="AE69" s="909"/>
      <c r="AF69" s="909">
        <v>0</v>
      </c>
      <c r="AG69" s="909"/>
      <c r="AH69" s="449" t="s">
        <v>856</v>
      </c>
      <c r="AI69" s="909"/>
      <c r="AJ69" s="448">
        <f t="shared" si="42"/>
        <v>0</v>
      </c>
      <c r="AK69" s="909"/>
      <c r="AL69" s="448">
        <f t="shared" si="43"/>
        <v>0</v>
      </c>
      <c r="AM69" s="909"/>
      <c r="AN69" s="448">
        <f t="shared" si="44"/>
        <v>0</v>
      </c>
      <c r="AO69" s="909"/>
      <c r="AP69" s="909">
        <f t="shared" si="45"/>
        <v>0</v>
      </c>
      <c r="AR69" s="909">
        <v>0</v>
      </c>
      <c r="AS69" s="909"/>
      <c r="AT69" s="914"/>
      <c r="AU69" s="909"/>
      <c r="AV69" s="909">
        <v>0</v>
      </c>
      <c r="AW69" s="909"/>
      <c r="AX69" s="448">
        <f t="shared" si="46"/>
        <v>0</v>
      </c>
      <c r="AY69" s="909"/>
      <c r="AZ69" s="448">
        <f t="shared" si="47"/>
        <v>0</v>
      </c>
      <c r="BA69" s="909"/>
      <c r="BB69" s="448">
        <f t="shared" si="48"/>
        <v>0</v>
      </c>
      <c r="BC69" s="909"/>
      <c r="BD69" s="909">
        <f t="shared" si="49"/>
        <v>0</v>
      </c>
      <c r="BF69" s="909">
        <f t="shared" si="50"/>
        <v>0</v>
      </c>
      <c r="BI69" s="437">
        <f t="shared" si="40"/>
        <v>336</v>
      </c>
    </row>
    <row r="70" spans="1:61" ht="15">
      <c r="A70" s="437">
        <f t="shared" si="41"/>
        <v>337</v>
      </c>
      <c r="B70" s="913"/>
      <c r="F70" s="917" t="s">
        <v>1524</v>
      </c>
      <c r="H70" s="914"/>
      <c r="J70" s="914"/>
      <c r="K70" s="909"/>
      <c r="L70" s="914"/>
      <c r="M70" s="909"/>
      <c r="N70" s="914"/>
      <c r="P70" s="919" t="s">
        <v>845</v>
      </c>
      <c r="R70" s="909">
        <v>0</v>
      </c>
      <c r="S70" s="909"/>
      <c r="T70" s="909">
        <f t="shared" si="51"/>
        <v>0</v>
      </c>
      <c r="U70" s="909"/>
      <c r="V70" s="909">
        <v>0</v>
      </c>
      <c r="W70" s="909"/>
      <c r="X70" s="909">
        <f t="shared" si="52"/>
        <v>0</v>
      </c>
      <c r="Y70" s="909"/>
      <c r="Z70" s="449" t="s">
        <v>1534</v>
      </c>
      <c r="AA70" s="909"/>
      <c r="AB70" s="909">
        <v>0</v>
      </c>
      <c r="AC70" s="909"/>
      <c r="AD70" s="914"/>
      <c r="AE70" s="909"/>
      <c r="AF70" s="909">
        <v>0</v>
      </c>
      <c r="AG70" s="909"/>
      <c r="AH70" s="449" t="s">
        <v>856</v>
      </c>
      <c r="AI70" s="909"/>
      <c r="AJ70" s="448">
        <f t="shared" si="42"/>
        <v>0</v>
      </c>
      <c r="AK70" s="909"/>
      <c r="AL70" s="448">
        <f t="shared" si="43"/>
        <v>0</v>
      </c>
      <c r="AM70" s="909"/>
      <c r="AN70" s="448">
        <f t="shared" si="44"/>
        <v>0</v>
      </c>
      <c r="AO70" s="909"/>
      <c r="AP70" s="909">
        <f t="shared" si="45"/>
        <v>0</v>
      </c>
      <c r="AR70" s="909">
        <v>0</v>
      </c>
      <c r="AS70" s="909"/>
      <c r="AT70" s="914"/>
      <c r="AU70" s="909"/>
      <c r="AV70" s="909">
        <v>0</v>
      </c>
      <c r="AW70" s="909"/>
      <c r="AX70" s="448">
        <f t="shared" si="46"/>
        <v>0</v>
      </c>
      <c r="AY70" s="909"/>
      <c r="AZ70" s="448">
        <f t="shared" si="47"/>
        <v>0</v>
      </c>
      <c r="BA70" s="909"/>
      <c r="BB70" s="448">
        <f t="shared" si="48"/>
        <v>0</v>
      </c>
      <c r="BC70" s="909"/>
      <c r="BD70" s="909">
        <f t="shared" si="49"/>
        <v>0</v>
      </c>
      <c r="BF70" s="909">
        <f t="shared" si="50"/>
        <v>0</v>
      </c>
      <c r="BI70" s="437">
        <f t="shared" si="40"/>
        <v>337</v>
      </c>
    </row>
    <row r="71" spans="1:61" ht="15">
      <c r="A71" s="437">
        <f t="shared" si="41"/>
        <v>338</v>
      </c>
      <c r="B71" s="913"/>
      <c r="F71" s="917" t="s">
        <v>1524</v>
      </c>
      <c r="H71" s="914"/>
      <c r="J71" s="914"/>
      <c r="K71" s="909"/>
      <c r="L71" s="914"/>
      <c r="M71" s="909"/>
      <c r="N71" s="914"/>
      <c r="P71" s="919" t="s">
        <v>845</v>
      </c>
      <c r="R71" s="909">
        <v>0</v>
      </c>
      <c r="S71" s="909"/>
      <c r="T71" s="909">
        <f t="shared" si="51"/>
        <v>0</v>
      </c>
      <c r="U71" s="909"/>
      <c r="V71" s="909">
        <v>0</v>
      </c>
      <c r="W71" s="909"/>
      <c r="X71" s="909">
        <f t="shared" si="52"/>
        <v>0</v>
      </c>
      <c r="Y71" s="909"/>
      <c r="Z71" s="449" t="s">
        <v>1534</v>
      </c>
      <c r="AA71" s="909"/>
      <c r="AB71" s="909">
        <v>0</v>
      </c>
      <c r="AC71" s="909"/>
      <c r="AD71" s="914"/>
      <c r="AE71" s="909"/>
      <c r="AF71" s="909">
        <v>0</v>
      </c>
      <c r="AG71" s="909"/>
      <c r="AH71" s="449" t="s">
        <v>856</v>
      </c>
      <c r="AI71" s="909"/>
      <c r="AJ71" s="448">
        <f t="shared" si="42"/>
        <v>0</v>
      </c>
      <c r="AK71" s="909"/>
      <c r="AL71" s="448">
        <f t="shared" si="43"/>
        <v>0</v>
      </c>
      <c r="AM71" s="909"/>
      <c r="AN71" s="448">
        <f t="shared" si="44"/>
        <v>0</v>
      </c>
      <c r="AO71" s="909"/>
      <c r="AP71" s="909">
        <f t="shared" si="45"/>
        <v>0</v>
      </c>
      <c r="AR71" s="909">
        <v>0</v>
      </c>
      <c r="AS71" s="909"/>
      <c r="AT71" s="914"/>
      <c r="AU71" s="909"/>
      <c r="AV71" s="909">
        <v>0</v>
      </c>
      <c r="AW71" s="909"/>
      <c r="AX71" s="448">
        <f t="shared" si="46"/>
        <v>0</v>
      </c>
      <c r="AY71" s="909"/>
      <c r="AZ71" s="448">
        <f t="shared" si="47"/>
        <v>0</v>
      </c>
      <c r="BA71" s="909"/>
      <c r="BB71" s="448">
        <f t="shared" si="48"/>
        <v>0</v>
      </c>
      <c r="BC71" s="909"/>
      <c r="BD71" s="909">
        <f t="shared" si="49"/>
        <v>0</v>
      </c>
      <c r="BF71" s="909">
        <f t="shared" si="50"/>
        <v>0</v>
      </c>
      <c r="BI71" s="437">
        <f t="shared" si="40"/>
        <v>338</v>
      </c>
    </row>
    <row r="72" spans="1:61" ht="15">
      <c r="A72" s="437">
        <f t="shared" si="41"/>
        <v>339</v>
      </c>
      <c r="B72" s="913"/>
      <c r="F72" s="917" t="s">
        <v>1524</v>
      </c>
      <c r="H72" s="914"/>
      <c r="J72" s="914"/>
      <c r="K72" s="909"/>
      <c r="L72" s="914"/>
      <c r="M72" s="909"/>
      <c r="N72" s="914"/>
      <c r="P72" s="919" t="s">
        <v>845</v>
      </c>
      <c r="R72" s="909">
        <v>0</v>
      </c>
      <c r="S72" s="909"/>
      <c r="T72" s="909">
        <f t="shared" si="51"/>
        <v>0</v>
      </c>
      <c r="U72" s="909"/>
      <c r="V72" s="909">
        <v>0</v>
      </c>
      <c r="W72" s="909"/>
      <c r="X72" s="909">
        <f t="shared" si="52"/>
        <v>0</v>
      </c>
      <c r="Y72" s="909"/>
      <c r="Z72" s="449" t="s">
        <v>1534</v>
      </c>
      <c r="AA72" s="909"/>
      <c r="AB72" s="909">
        <v>0</v>
      </c>
      <c r="AC72" s="909"/>
      <c r="AD72" s="914"/>
      <c r="AE72" s="909"/>
      <c r="AF72" s="909">
        <v>0</v>
      </c>
      <c r="AG72" s="909"/>
      <c r="AH72" s="449" t="s">
        <v>856</v>
      </c>
      <c r="AI72" s="909"/>
      <c r="AJ72" s="448">
        <f t="shared" si="42"/>
        <v>0</v>
      </c>
      <c r="AK72" s="909"/>
      <c r="AL72" s="448">
        <f t="shared" si="43"/>
        <v>0</v>
      </c>
      <c r="AM72" s="909"/>
      <c r="AN72" s="448">
        <f t="shared" si="44"/>
        <v>0</v>
      </c>
      <c r="AO72" s="909"/>
      <c r="AP72" s="909">
        <f t="shared" si="45"/>
        <v>0</v>
      </c>
      <c r="AR72" s="909">
        <v>0</v>
      </c>
      <c r="AS72" s="909"/>
      <c r="AT72" s="914"/>
      <c r="AU72" s="909"/>
      <c r="AV72" s="909">
        <v>0</v>
      </c>
      <c r="AW72" s="909"/>
      <c r="AX72" s="448">
        <f t="shared" si="46"/>
        <v>0</v>
      </c>
      <c r="AY72" s="909"/>
      <c r="AZ72" s="448">
        <f t="shared" si="47"/>
        <v>0</v>
      </c>
      <c r="BA72" s="909"/>
      <c r="BB72" s="448">
        <f t="shared" si="48"/>
        <v>0</v>
      </c>
      <c r="BC72" s="909"/>
      <c r="BD72" s="909">
        <f t="shared" si="49"/>
        <v>0</v>
      </c>
      <c r="BF72" s="909">
        <f t="shared" si="50"/>
        <v>0</v>
      </c>
      <c r="BI72" s="437">
        <f t="shared" si="40"/>
        <v>339</v>
      </c>
    </row>
    <row r="73" spans="1:61" ht="15">
      <c r="A73" s="437">
        <f t="shared" si="41"/>
        <v>340</v>
      </c>
      <c r="B73" s="913"/>
      <c r="F73" s="917" t="s">
        <v>1524</v>
      </c>
      <c r="H73" s="914"/>
      <c r="J73" s="914"/>
      <c r="K73" s="909"/>
      <c r="L73" s="914"/>
      <c r="M73" s="909"/>
      <c r="N73" s="914"/>
      <c r="P73" s="919" t="s">
        <v>845</v>
      </c>
      <c r="R73" s="909">
        <v>0</v>
      </c>
      <c r="S73" s="909"/>
      <c r="T73" s="909">
        <f t="shared" si="51"/>
        <v>0</v>
      </c>
      <c r="U73" s="909"/>
      <c r="V73" s="909">
        <v>0</v>
      </c>
      <c r="W73" s="909"/>
      <c r="X73" s="909">
        <f t="shared" si="52"/>
        <v>0</v>
      </c>
      <c r="Y73" s="909"/>
      <c r="Z73" s="449" t="s">
        <v>1534</v>
      </c>
      <c r="AA73" s="909"/>
      <c r="AB73" s="909">
        <v>0</v>
      </c>
      <c r="AC73" s="909"/>
      <c r="AD73" s="914"/>
      <c r="AE73" s="909"/>
      <c r="AF73" s="909">
        <v>0</v>
      </c>
      <c r="AG73" s="909"/>
      <c r="AH73" s="449" t="s">
        <v>856</v>
      </c>
      <c r="AI73" s="909"/>
      <c r="AJ73" s="448">
        <f t="shared" si="42"/>
        <v>0</v>
      </c>
      <c r="AK73" s="909"/>
      <c r="AL73" s="448">
        <f t="shared" si="43"/>
        <v>0</v>
      </c>
      <c r="AM73" s="909"/>
      <c r="AN73" s="448">
        <f t="shared" si="44"/>
        <v>0</v>
      </c>
      <c r="AO73" s="909"/>
      <c r="AP73" s="909">
        <f t="shared" si="45"/>
        <v>0</v>
      </c>
      <c r="AR73" s="909">
        <v>0</v>
      </c>
      <c r="AS73" s="909"/>
      <c r="AT73" s="914"/>
      <c r="AU73" s="909"/>
      <c r="AV73" s="909">
        <v>0</v>
      </c>
      <c r="AW73" s="909"/>
      <c r="AX73" s="448">
        <f t="shared" si="46"/>
        <v>0</v>
      </c>
      <c r="AY73" s="909"/>
      <c r="AZ73" s="448">
        <f t="shared" si="47"/>
        <v>0</v>
      </c>
      <c r="BA73" s="909"/>
      <c r="BB73" s="448">
        <f t="shared" si="48"/>
        <v>0</v>
      </c>
      <c r="BC73" s="909"/>
      <c r="BD73" s="909">
        <f t="shared" si="49"/>
        <v>0</v>
      </c>
      <c r="BF73" s="909">
        <f t="shared" si="50"/>
        <v>0</v>
      </c>
      <c r="BI73" s="437">
        <f t="shared" si="40"/>
        <v>340</v>
      </c>
    </row>
    <row r="74" spans="1:61" ht="15">
      <c r="A74" s="437">
        <f t="shared" si="41"/>
        <v>341</v>
      </c>
      <c r="B74" s="913"/>
      <c r="F74" s="917" t="s">
        <v>1524</v>
      </c>
      <c r="H74" s="914"/>
      <c r="J74" s="914"/>
      <c r="K74" s="909"/>
      <c r="L74" s="914"/>
      <c r="M74" s="909"/>
      <c r="N74" s="914"/>
      <c r="P74" s="919" t="s">
        <v>845</v>
      </c>
      <c r="R74" s="909">
        <v>0</v>
      </c>
      <c r="S74" s="909"/>
      <c r="T74" s="909">
        <f t="shared" si="51"/>
        <v>0</v>
      </c>
      <c r="U74" s="909"/>
      <c r="V74" s="909">
        <v>0</v>
      </c>
      <c r="W74" s="909"/>
      <c r="X74" s="909">
        <f t="shared" si="52"/>
        <v>0</v>
      </c>
      <c r="Y74" s="909"/>
      <c r="Z74" s="449" t="s">
        <v>1534</v>
      </c>
      <c r="AA74" s="909"/>
      <c r="AB74" s="909">
        <v>0</v>
      </c>
      <c r="AC74" s="909"/>
      <c r="AD74" s="914"/>
      <c r="AE74" s="909"/>
      <c r="AF74" s="909">
        <v>0</v>
      </c>
      <c r="AG74" s="909"/>
      <c r="AH74" s="449" t="s">
        <v>856</v>
      </c>
      <c r="AI74" s="909"/>
      <c r="AJ74" s="448">
        <f t="shared" si="42"/>
        <v>0</v>
      </c>
      <c r="AK74" s="909"/>
      <c r="AL74" s="448">
        <f t="shared" si="43"/>
        <v>0</v>
      </c>
      <c r="AM74" s="909"/>
      <c r="AN74" s="448">
        <f t="shared" si="44"/>
        <v>0</v>
      </c>
      <c r="AO74" s="909"/>
      <c r="AP74" s="909">
        <f t="shared" si="45"/>
        <v>0</v>
      </c>
      <c r="AR74" s="909">
        <v>0</v>
      </c>
      <c r="AS74" s="909"/>
      <c r="AT74" s="914"/>
      <c r="AU74" s="909"/>
      <c r="AV74" s="909">
        <v>0</v>
      </c>
      <c r="AW74" s="909"/>
      <c r="AX74" s="448">
        <f t="shared" si="46"/>
        <v>0</v>
      </c>
      <c r="AY74" s="909"/>
      <c r="AZ74" s="448">
        <f t="shared" si="47"/>
        <v>0</v>
      </c>
      <c r="BA74" s="909"/>
      <c r="BB74" s="448">
        <f t="shared" si="48"/>
        <v>0</v>
      </c>
      <c r="BC74" s="909"/>
      <c r="BD74" s="909">
        <f t="shared" si="49"/>
        <v>0</v>
      </c>
      <c r="BF74" s="909">
        <f t="shared" si="50"/>
        <v>0</v>
      </c>
      <c r="BI74" s="437">
        <f t="shared" si="40"/>
        <v>341</v>
      </c>
    </row>
    <row r="75" spans="1:61" ht="15">
      <c r="A75" s="437">
        <f t="shared" si="41"/>
        <v>342</v>
      </c>
      <c r="B75" s="913"/>
      <c r="F75" s="917" t="s">
        <v>1524</v>
      </c>
      <c r="H75" s="914"/>
      <c r="J75" s="914"/>
      <c r="K75" s="909"/>
      <c r="L75" s="914"/>
      <c r="M75" s="909"/>
      <c r="N75" s="914"/>
      <c r="P75" s="919" t="s">
        <v>845</v>
      </c>
      <c r="R75" s="909">
        <v>0</v>
      </c>
      <c r="S75" s="909"/>
      <c r="T75" s="909">
        <f t="shared" si="51"/>
        <v>0</v>
      </c>
      <c r="U75" s="909"/>
      <c r="V75" s="909">
        <v>0</v>
      </c>
      <c r="W75" s="909"/>
      <c r="X75" s="909">
        <f t="shared" si="52"/>
        <v>0</v>
      </c>
      <c r="Y75" s="909"/>
      <c r="Z75" s="449" t="s">
        <v>1534</v>
      </c>
      <c r="AA75" s="909"/>
      <c r="AB75" s="909">
        <v>0</v>
      </c>
      <c r="AC75" s="909"/>
      <c r="AD75" s="914"/>
      <c r="AE75" s="909"/>
      <c r="AF75" s="909">
        <v>0</v>
      </c>
      <c r="AG75" s="909"/>
      <c r="AH75" s="449" t="s">
        <v>856</v>
      </c>
      <c r="AI75" s="909"/>
      <c r="AJ75" s="448">
        <f t="shared" si="42"/>
        <v>0</v>
      </c>
      <c r="AK75" s="909"/>
      <c r="AL75" s="448">
        <f t="shared" si="43"/>
        <v>0</v>
      </c>
      <c r="AM75" s="909"/>
      <c r="AN75" s="448">
        <f t="shared" si="44"/>
        <v>0</v>
      </c>
      <c r="AO75" s="909"/>
      <c r="AP75" s="909">
        <f t="shared" si="45"/>
        <v>0</v>
      </c>
      <c r="AR75" s="909">
        <v>0</v>
      </c>
      <c r="AS75" s="909"/>
      <c r="AT75" s="914"/>
      <c r="AU75" s="909"/>
      <c r="AV75" s="909">
        <v>0</v>
      </c>
      <c r="AW75" s="909"/>
      <c r="AX75" s="448">
        <f t="shared" si="46"/>
        <v>0</v>
      </c>
      <c r="AY75" s="909"/>
      <c r="AZ75" s="448">
        <f t="shared" si="47"/>
        <v>0</v>
      </c>
      <c r="BA75" s="909"/>
      <c r="BB75" s="448">
        <f t="shared" si="48"/>
        <v>0</v>
      </c>
      <c r="BC75" s="909"/>
      <c r="BD75" s="909">
        <f t="shared" si="49"/>
        <v>0</v>
      </c>
      <c r="BF75" s="909">
        <f t="shared" si="50"/>
        <v>0</v>
      </c>
      <c r="BI75" s="437">
        <f t="shared" si="40"/>
        <v>342</v>
      </c>
    </row>
    <row r="76" spans="1:61" ht="15">
      <c r="A76" s="437">
        <f t="shared" si="41"/>
        <v>343</v>
      </c>
      <c r="B76" s="913"/>
      <c r="F76" s="917" t="s">
        <v>1524</v>
      </c>
      <c r="H76" s="914"/>
      <c r="J76" s="914"/>
      <c r="K76" s="909"/>
      <c r="L76" s="914"/>
      <c r="M76" s="909"/>
      <c r="N76" s="914"/>
      <c r="P76" s="919" t="s">
        <v>845</v>
      </c>
      <c r="R76" s="909">
        <v>0</v>
      </c>
      <c r="S76" s="909"/>
      <c r="T76" s="909">
        <f t="shared" si="51"/>
        <v>0</v>
      </c>
      <c r="U76" s="909"/>
      <c r="V76" s="909">
        <v>0</v>
      </c>
      <c r="W76" s="909"/>
      <c r="X76" s="909">
        <f t="shared" si="52"/>
        <v>0</v>
      </c>
      <c r="Y76" s="909"/>
      <c r="Z76" s="449" t="s">
        <v>1534</v>
      </c>
      <c r="AA76" s="909"/>
      <c r="AB76" s="909">
        <v>0</v>
      </c>
      <c r="AC76" s="909"/>
      <c r="AD76" s="914"/>
      <c r="AE76" s="909"/>
      <c r="AF76" s="909">
        <v>0</v>
      </c>
      <c r="AG76" s="909"/>
      <c r="AH76" s="449" t="s">
        <v>856</v>
      </c>
      <c r="AI76" s="909"/>
      <c r="AJ76" s="448">
        <f t="shared" si="42"/>
        <v>0</v>
      </c>
      <c r="AK76" s="909"/>
      <c r="AL76" s="448">
        <f t="shared" si="43"/>
        <v>0</v>
      </c>
      <c r="AM76" s="909"/>
      <c r="AN76" s="448">
        <f t="shared" si="44"/>
        <v>0</v>
      </c>
      <c r="AO76" s="909"/>
      <c r="AP76" s="909">
        <f t="shared" si="45"/>
        <v>0</v>
      </c>
      <c r="AR76" s="909">
        <v>0</v>
      </c>
      <c r="AS76" s="909"/>
      <c r="AT76" s="914"/>
      <c r="AU76" s="909"/>
      <c r="AV76" s="909">
        <v>0</v>
      </c>
      <c r="AW76" s="909"/>
      <c r="AX76" s="448">
        <f t="shared" si="46"/>
        <v>0</v>
      </c>
      <c r="AY76" s="909"/>
      <c r="AZ76" s="448">
        <f t="shared" si="47"/>
        <v>0</v>
      </c>
      <c r="BA76" s="909"/>
      <c r="BB76" s="448">
        <f t="shared" si="48"/>
        <v>0</v>
      </c>
      <c r="BC76" s="909"/>
      <c r="BD76" s="909">
        <f t="shared" si="49"/>
        <v>0</v>
      </c>
      <c r="BF76" s="909">
        <f t="shared" si="50"/>
        <v>0</v>
      </c>
      <c r="BI76" s="437">
        <f t="shared" si="40"/>
        <v>343</v>
      </c>
    </row>
    <row r="77" spans="1:61" ht="15">
      <c r="A77" s="437">
        <f t="shared" si="41"/>
        <v>344</v>
      </c>
      <c r="B77" s="913"/>
      <c r="F77" s="917" t="s">
        <v>1524</v>
      </c>
      <c r="H77" s="914"/>
      <c r="J77" s="914"/>
      <c r="K77" s="909"/>
      <c r="L77" s="914"/>
      <c r="M77" s="909"/>
      <c r="N77" s="914"/>
      <c r="P77" s="919" t="s">
        <v>845</v>
      </c>
      <c r="R77" s="909">
        <v>0</v>
      </c>
      <c r="S77" s="909"/>
      <c r="T77" s="909">
        <f t="shared" si="51"/>
        <v>0</v>
      </c>
      <c r="U77" s="909"/>
      <c r="V77" s="909">
        <v>0</v>
      </c>
      <c r="W77" s="909"/>
      <c r="X77" s="909">
        <f t="shared" si="52"/>
        <v>0</v>
      </c>
      <c r="Y77" s="909"/>
      <c r="Z77" s="449" t="s">
        <v>1534</v>
      </c>
      <c r="AA77" s="909"/>
      <c r="AB77" s="909">
        <v>0</v>
      </c>
      <c r="AC77" s="909"/>
      <c r="AD77" s="914"/>
      <c r="AE77" s="909"/>
      <c r="AF77" s="909">
        <v>0</v>
      </c>
      <c r="AG77" s="909"/>
      <c r="AH77" s="449" t="s">
        <v>856</v>
      </c>
      <c r="AI77" s="909"/>
      <c r="AJ77" s="448">
        <f t="shared" si="42"/>
        <v>0</v>
      </c>
      <c r="AK77" s="909"/>
      <c r="AL77" s="448">
        <f t="shared" si="43"/>
        <v>0</v>
      </c>
      <c r="AM77" s="909"/>
      <c r="AN77" s="448">
        <f t="shared" si="44"/>
        <v>0</v>
      </c>
      <c r="AO77" s="909"/>
      <c r="AP77" s="909">
        <f t="shared" si="45"/>
        <v>0</v>
      </c>
      <c r="AR77" s="909">
        <v>0</v>
      </c>
      <c r="AS77" s="909"/>
      <c r="AT77" s="914"/>
      <c r="AU77" s="909"/>
      <c r="AV77" s="909">
        <v>0</v>
      </c>
      <c r="AW77" s="909"/>
      <c r="AX77" s="448">
        <f t="shared" si="46"/>
        <v>0</v>
      </c>
      <c r="AY77" s="909"/>
      <c r="AZ77" s="448">
        <f t="shared" si="47"/>
        <v>0</v>
      </c>
      <c r="BA77" s="909"/>
      <c r="BB77" s="448">
        <f t="shared" si="48"/>
        <v>0</v>
      </c>
      <c r="BC77" s="909"/>
      <c r="BD77" s="909">
        <f t="shared" si="49"/>
        <v>0</v>
      </c>
      <c r="BF77" s="909">
        <f t="shared" si="50"/>
        <v>0</v>
      </c>
      <c r="BI77" s="437">
        <f t="shared" si="40"/>
        <v>344</v>
      </c>
    </row>
    <row r="78" spans="1:61" ht="15">
      <c r="A78" s="437">
        <f t="shared" si="41"/>
        <v>345</v>
      </c>
      <c r="B78" s="913"/>
      <c r="F78" s="917" t="s">
        <v>1524</v>
      </c>
      <c r="H78" s="914"/>
      <c r="J78" s="914"/>
      <c r="K78" s="909"/>
      <c r="L78" s="914"/>
      <c r="M78" s="909"/>
      <c r="N78" s="914"/>
      <c r="P78" s="919" t="s">
        <v>845</v>
      </c>
      <c r="R78" s="909">
        <v>0</v>
      </c>
      <c r="S78" s="909"/>
      <c r="T78" s="909">
        <f t="shared" si="51"/>
        <v>0</v>
      </c>
      <c r="U78" s="909"/>
      <c r="V78" s="909">
        <v>0</v>
      </c>
      <c r="W78" s="909"/>
      <c r="X78" s="909">
        <f t="shared" si="52"/>
        <v>0</v>
      </c>
      <c r="Y78" s="909"/>
      <c r="Z78" s="449" t="s">
        <v>1534</v>
      </c>
      <c r="AA78" s="909"/>
      <c r="AB78" s="909">
        <v>0</v>
      </c>
      <c r="AC78" s="909"/>
      <c r="AD78" s="914"/>
      <c r="AE78" s="909"/>
      <c r="AF78" s="909">
        <v>0</v>
      </c>
      <c r="AG78" s="909"/>
      <c r="AH78" s="449" t="s">
        <v>856</v>
      </c>
      <c r="AI78" s="909"/>
      <c r="AJ78" s="448">
        <f t="shared" si="42"/>
        <v>0</v>
      </c>
      <c r="AK78" s="909"/>
      <c r="AL78" s="448">
        <f t="shared" si="43"/>
        <v>0</v>
      </c>
      <c r="AM78" s="909"/>
      <c r="AN78" s="448">
        <f t="shared" si="44"/>
        <v>0</v>
      </c>
      <c r="AO78" s="909"/>
      <c r="AP78" s="909">
        <f t="shared" si="45"/>
        <v>0</v>
      </c>
      <c r="AR78" s="909">
        <v>0</v>
      </c>
      <c r="AS78" s="909"/>
      <c r="AT78" s="914"/>
      <c r="AU78" s="909"/>
      <c r="AV78" s="909">
        <v>0</v>
      </c>
      <c r="AW78" s="909"/>
      <c r="AX78" s="448">
        <f t="shared" si="46"/>
        <v>0</v>
      </c>
      <c r="AY78" s="909"/>
      <c r="AZ78" s="448">
        <f t="shared" si="47"/>
        <v>0</v>
      </c>
      <c r="BA78" s="909"/>
      <c r="BB78" s="448">
        <f t="shared" si="48"/>
        <v>0</v>
      </c>
      <c r="BC78" s="909"/>
      <c r="BD78" s="909">
        <f t="shared" si="49"/>
        <v>0</v>
      </c>
      <c r="BF78" s="909">
        <f t="shared" si="50"/>
        <v>0</v>
      </c>
      <c r="BI78" s="437">
        <f t="shared" si="40"/>
        <v>345</v>
      </c>
    </row>
    <row r="79" spans="1:61" ht="15">
      <c r="A79" s="437">
        <f t="shared" si="41"/>
        <v>346</v>
      </c>
      <c r="B79" s="913"/>
      <c r="F79" s="917" t="s">
        <v>1524</v>
      </c>
      <c r="H79" s="914"/>
      <c r="J79" s="914"/>
      <c r="K79" s="909"/>
      <c r="L79" s="914"/>
      <c r="M79" s="909"/>
      <c r="N79" s="914"/>
      <c r="P79" s="919" t="s">
        <v>845</v>
      </c>
      <c r="R79" s="909">
        <v>0</v>
      </c>
      <c r="S79" s="909"/>
      <c r="T79" s="909">
        <f t="shared" si="51"/>
        <v>0</v>
      </c>
      <c r="U79" s="909"/>
      <c r="V79" s="909">
        <v>0</v>
      </c>
      <c r="W79" s="909"/>
      <c r="X79" s="909">
        <f t="shared" si="52"/>
        <v>0</v>
      </c>
      <c r="Y79" s="909"/>
      <c r="Z79" s="449" t="s">
        <v>1534</v>
      </c>
      <c r="AA79" s="909"/>
      <c r="AB79" s="909">
        <v>0</v>
      </c>
      <c r="AC79" s="909"/>
      <c r="AD79" s="914"/>
      <c r="AE79" s="909"/>
      <c r="AF79" s="909">
        <v>0</v>
      </c>
      <c r="AG79" s="909"/>
      <c r="AH79" s="449" t="s">
        <v>856</v>
      </c>
      <c r="AI79" s="909"/>
      <c r="AJ79" s="448">
        <f t="shared" si="42"/>
        <v>0</v>
      </c>
      <c r="AK79" s="909"/>
      <c r="AL79" s="448">
        <f t="shared" si="43"/>
        <v>0</v>
      </c>
      <c r="AM79" s="909"/>
      <c r="AN79" s="448">
        <f t="shared" si="44"/>
        <v>0</v>
      </c>
      <c r="AO79" s="909"/>
      <c r="AP79" s="909">
        <f t="shared" si="45"/>
        <v>0</v>
      </c>
      <c r="AR79" s="909">
        <v>0</v>
      </c>
      <c r="AS79" s="909"/>
      <c r="AT79" s="914"/>
      <c r="AU79" s="909"/>
      <c r="AV79" s="909">
        <v>0</v>
      </c>
      <c r="AW79" s="909"/>
      <c r="AX79" s="448">
        <f t="shared" si="46"/>
        <v>0</v>
      </c>
      <c r="AY79" s="909"/>
      <c r="AZ79" s="448">
        <f t="shared" si="47"/>
        <v>0</v>
      </c>
      <c r="BA79" s="909"/>
      <c r="BB79" s="448">
        <f t="shared" si="48"/>
        <v>0</v>
      </c>
      <c r="BC79" s="909"/>
      <c r="BD79" s="909">
        <f t="shared" si="49"/>
        <v>0</v>
      </c>
      <c r="BF79" s="909">
        <f t="shared" si="50"/>
        <v>0</v>
      </c>
      <c r="BI79" s="437">
        <f t="shared" si="40"/>
        <v>346</v>
      </c>
    </row>
    <row r="80" spans="1:61" ht="15">
      <c r="A80" s="437">
        <f t="shared" si="41"/>
        <v>347</v>
      </c>
      <c r="B80" s="913"/>
      <c r="F80" s="917" t="s">
        <v>1524</v>
      </c>
      <c r="H80" s="914"/>
      <c r="J80" s="914"/>
      <c r="K80" s="909"/>
      <c r="L80" s="914"/>
      <c r="M80" s="909"/>
      <c r="N80" s="914"/>
      <c r="P80" s="919" t="s">
        <v>845</v>
      </c>
      <c r="R80" s="909">
        <v>0</v>
      </c>
      <c r="S80" s="909"/>
      <c r="T80" s="909">
        <f t="shared" si="51"/>
        <v>0</v>
      </c>
      <c r="U80" s="909"/>
      <c r="V80" s="909">
        <v>0</v>
      </c>
      <c r="W80" s="909"/>
      <c r="X80" s="909">
        <f t="shared" si="52"/>
        <v>0</v>
      </c>
      <c r="Y80" s="909"/>
      <c r="Z80" s="449" t="s">
        <v>1534</v>
      </c>
      <c r="AA80" s="909"/>
      <c r="AB80" s="909">
        <v>0</v>
      </c>
      <c r="AC80" s="909"/>
      <c r="AD80" s="914"/>
      <c r="AE80" s="909"/>
      <c r="AF80" s="909">
        <v>0</v>
      </c>
      <c r="AG80" s="909"/>
      <c r="AH80" s="449" t="s">
        <v>856</v>
      </c>
      <c r="AI80" s="909"/>
      <c r="AJ80" s="448">
        <f t="shared" si="42"/>
        <v>0</v>
      </c>
      <c r="AK80" s="909"/>
      <c r="AL80" s="448">
        <f t="shared" si="43"/>
        <v>0</v>
      </c>
      <c r="AM80" s="909"/>
      <c r="AN80" s="448">
        <f t="shared" si="44"/>
        <v>0</v>
      </c>
      <c r="AO80" s="909"/>
      <c r="AP80" s="909">
        <f t="shared" si="45"/>
        <v>0</v>
      </c>
      <c r="AR80" s="909">
        <v>0</v>
      </c>
      <c r="AS80" s="909"/>
      <c r="AT80" s="914"/>
      <c r="AU80" s="909"/>
      <c r="AV80" s="909">
        <v>0</v>
      </c>
      <c r="AW80" s="909"/>
      <c r="AX80" s="448">
        <f t="shared" si="46"/>
        <v>0</v>
      </c>
      <c r="AY80" s="909"/>
      <c r="AZ80" s="448">
        <f t="shared" si="47"/>
        <v>0</v>
      </c>
      <c r="BA80" s="909"/>
      <c r="BB80" s="448">
        <f t="shared" si="48"/>
        <v>0</v>
      </c>
      <c r="BC80" s="909"/>
      <c r="BD80" s="909">
        <f t="shared" si="49"/>
        <v>0</v>
      </c>
      <c r="BF80" s="909">
        <f t="shared" si="50"/>
        <v>0</v>
      </c>
      <c r="BI80" s="437">
        <f t="shared" si="40"/>
        <v>347</v>
      </c>
    </row>
    <row r="81" spans="1:61" ht="15">
      <c r="A81" s="437">
        <f t="shared" si="41"/>
        <v>348</v>
      </c>
      <c r="B81" s="913"/>
      <c r="F81" s="917" t="s">
        <v>1524</v>
      </c>
      <c r="H81" s="914"/>
      <c r="J81" s="914"/>
      <c r="K81" s="909"/>
      <c r="L81" s="914"/>
      <c r="M81" s="909"/>
      <c r="N81" s="914"/>
      <c r="P81" s="919" t="s">
        <v>845</v>
      </c>
      <c r="R81" s="909">
        <v>0</v>
      </c>
      <c r="S81" s="909"/>
      <c r="T81" s="909">
        <f t="shared" si="51"/>
        <v>0</v>
      </c>
      <c r="U81" s="909"/>
      <c r="V81" s="909">
        <v>0</v>
      </c>
      <c r="W81" s="909"/>
      <c r="X81" s="909">
        <f t="shared" si="52"/>
        <v>0</v>
      </c>
      <c r="Y81" s="909"/>
      <c r="Z81" s="449" t="s">
        <v>1534</v>
      </c>
      <c r="AA81" s="909"/>
      <c r="AB81" s="909">
        <v>0</v>
      </c>
      <c r="AC81" s="909"/>
      <c r="AD81" s="914"/>
      <c r="AE81" s="909"/>
      <c r="AF81" s="909">
        <v>0</v>
      </c>
      <c r="AG81" s="909"/>
      <c r="AH81" s="449" t="s">
        <v>856</v>
      </c>
      <c r="AI81" s="909"/>
      <c r="AJ81" s="448">
        <f t="shared" si="42"/>
        <v>0</v>
      </c>
      <c r="AK81" s="909"/>
      <c r="AL81" s="448">
        <f t="shared" si="43"/>
        <v>0</v>
      </c>
      <c r="AM81" s="909"/>
      <c r="AN81" s="448">
        <f t="shared" si="44"/>
        <v>0</v>
      </c>
      <c r="AO81" s="909"/>
      <c r="AP81" s="909">
        <f t="shared" si="45"/>
        <v>0</v>
      </c>
      <c r="AR81" s="909">
        <v>0</v>
      </c>
      <c r="AS81" s="909"/>
      <c r="AT81" s="914"/>
      <c r="AU81" s="909"/>
      <c r="AV81" s="909">
        <v>0</v>
      </c>
      <c r="AW81" s="909"/>
      <c r="AX81" s="448">
        <f t="shared" si="46"/>
        <v>0</v>
      </c>
      <c r="AY81" s="909"/>
      <c r="AZ81" s="448">
        <f t="shared" si="47"/>
        <v>0</v>
      </c>
      <c r="BA81" s="909"/>
      <c r="BB81" s="448">
        <f t="shared" si="48"/>
        <v>0</v>
      </c>
      <c r="BC81" s="909"/>
      <c r="BD81" s="909">
        <f t="shared" si="49"/>
        <v>0</v>
      </c>
      <c r="BF81" s="909">
        <f t="shared" si="50"/>
        <v>0</v>
      </c>
      <c r="BI81" s="437">
        <f t="shared" si="40"/>
        <v>348</v>
      </c>
    </row>
    <row r="82" spans="1:61" ht="15">
      <c r="A82" s="437">
        <f t="shared" si="41"/>
        <v>349</v>
      </c>
      <c r="B82" s="913"/>
      <c r="F82" s="917" t="s">
        <v>1524</v>
      </c>
      <c r="H82" s="914"/>
      <c r="J82" s="914"/>
      <c r="K82" s="909"/>
      <c r="L82" s="914"/>
      <c r="M82" s="909"/>
      <c r="N82" s="914"/>
      <c r="P82" s="919" t="s">
        <v>845</v>
      </c>
      <c r="R82" s="909">
        <v>0</v>
      </c>
      <c r="S82" s="909"/>
      <c r="T82" s="909">
        <f t="shared" si="51"/>
        <v>0</v>
      </c>
      <c r="U82" s="909"/>
      <c r="V82" s="909">
        <v>0</v>
      </c>
      <c r="W82" s="909"/>
      <c r="X82" s="909">
        <f t="shared" si="52"/>
        <v>0</v>
      </c>
      <c r="Y82" s="909"/>
      <c r="Z82" s="449" t="s">
        <v>1534</v>
      </c>
      <c r="AA82" s="909"/>
      <c r="AB82" s="909">
        <v>0</v>
      </c>
      <c r="AC82" s="909"/>
      <c r="AD82" s="914"/>
      <c r="AE82" s="909"/>
      <c r="AF82" s="909">
        <v>0</v>
      </c>
      <c r="AG82" s="909"/>
      <c r="AH82" s="449" t="s">
        <v>856</v>
      </c>
      <c r="AI82" s="909"/>
      <c r="AJ82" s="448">
        <f t="shared" si="42"/>
        <v>0</v>
      </c>
      <c r="AK82" s="909"/>
      <c r="AL82" s="448">
        <f t="shared" si="43"/>
        <v>0</v>
      </c>
      <c r="AM82" s="909"/>
      <c r="AN82" s="448">
        <f t="shared" si="44"/>
        <v>0</v>
      </c>
      <c r="AO82" s="909"/>
      <c r="AP82" s="909">
        <f t="shared" si="45"/>
        <v>0</v>
      </c>
      <c r="AR82" s="909">
        <v>0</v>
      </c>
      <c r="AS82" s="909"/>
      <c r="AT82" s="914"/>
      <c r="AU82" s="909"/>
      <c r="AV82" s="909">
        <v>0</v>
      </c>
      <c r="AW82" s="909"/>
      <c r="AX82" s="448">
        <f t="shared" si="46"/>
        <v>0</v>
      </c>
      <c r="AY82" s="909"/>
      <c r="AZ82" s="448">
        <f t="shared" si="47"/>
        <v>0</v>
      </c>
      <c r="BA82" s="909"/>
      <c r="BB82" s="448">
        <f t="shared" si="48"/>
        <v>0</v>
      </c>
      <c r="BC82" s="909"/>
      <c r="BD82" s="909">
        <f t="shared" si="49"/>
        <v>0</v>
      </c>
      <c r="BF82" s="909">
        <f t="shared" si="50"/>
        <v>0</v>
      </c>
      <c r="BI82" s="437">
        <f t="shared" si="40"/>
        <v>349</v>
      </c>
    </row>
    <row r="83" spans="1:61" ht="15">
      <c r="A83" s="437">
        <f t="shared" si="41"/>
        <v>350</v>
      </c>
      <c r="B83" s="913"/>
      <c r="F83" s="917" t="s">
        <v>1524</v>
      </c>
      <c r="H83" s="914"/>
      <c r="J83" s="914"/>
      <c r="K83" s="909"/>
      <c r="L83" s="914"/>
      <c r="M83" s="909"/>
      <c r="N83" s="914"/>
      <c r="P83" s="919" t="s">
        <v>845</v>
      </c>
      <c r="R83" s="909">
        <v>0</v>
      </c>
      <c r="S83" s="909"/>
      <c r="T83" s="909">
        <f t="shared" si="51"/>
        <v>0</v>
      </c>
      <c r="U83" s="909"/>
      <c r="V83" s="909">
        <v>0</v>
      </c>
      <c r="W83" s="909"/>
      <c r="X83" s="909">
        <f t="shared" si="52"/>
        <v>0</v>
      </c>
      <c r="Y83" s="909"/>
      <c r="Z83" s="449" t="s">
        <v>1534</v>
      </c>
      <c r="AA83" s="909"/>
      <c r="AB83" s="909">
        <v>0</v>
      </c>
      <c r="AC83" s="909"/>
      <c r="AD83" s="914"/>
      <c r="AE83" s="909"/>
      <c r="AF83" s="909">
        <v>0</v>
      </c>
      <c r="AG83" s="909"/>
      <c r="AH83" s="449" t="s">
        <v>856</v>
      </c>
      <c r="AI83" s="909"/>
      <c r="AJ83" s="448">
        <f t="shared" si="42"/>
        <v>0</v>
      </c>
      <c r="AK83" s="909"/>
      <c r="AL83" s="448">
        <f t="shared" si="43"/>
        <v>0</v>
      </c>
      <c r="AM83" s="909"/>
      <c r="AN83" s="448">
        <f t="shared" si="44"/>
        <v>0</v>
      </c>
      <c r="AO83" s="909"/>
      <c r="AP83" s="909">
        <f t="shared" si="45"/>
        <v>0</v>
      </c>
      <c r="AR83" s="909">
        <v>0</v>
      </c>
      <c r="AS83" s="909"/>
      <c r="AT83" s="914"/>
      <c r="AU83" s="909"/>
      <c r="AV83" s="909">
        <v>0</v>
      </c>
      <c r="AW83" s="909"/>
      <c r="AX83" s="448">
        <f t="shared" si="46"/>
        <v>0</v>
      </c>
      <c r="AY83" s="909"/>
      <c r="AZ83" s="448">
        <f t="shared" si="47"/>
        <v>0</v>
      </c>
      <c r="BA83" s="909"/>
      <c r="BB83" s="448">
        <f t="shared" si="48"/>
        <v>0</v>
      </c>
      <c r="BC83" s="909"/>
      <c r="BD83" s="909">
        <f t="shared" si="49"/>
        <v>0</v>
      </c>
      <c r="BF83" s="909">
        <f t="shared" si="50"/>
        <v>0</v>
      </c>
      <c r="BI83" s="437">
        <f t="shared" si="40"/>
        <v>350</v>
      </c>
    </row>
    <row r="84" spans="1:61" ht="15">
      <c r="A84" s="437">
        <f t="shared" si="41"/>
        <v>351</v>
      </c>
      <c r="B84" s="913"/>
      <c r="F84" s="917" t="s">
        <v>1524</v>
      </c>
      <c r="H84" s="914"/>
      <c r="J84" s="914"/>
      <c r="K84" s="909"/>
      <c r="L84" s="914"/>
      <c r="M84" s="909"/>
      <c r="N84" s="914"/>
      <c r="P84" s="919" t="s">
        <v>845</v>
      </c>
      <c r="R84" s="909">
        <v>0</v>
      </c>
      <c r="S84" s="909"/>
      <c r="T84" s="909">
        <f t="shared" si="51"/>
        <v>0</v>
      </c>
      <c r="U84" s="909"/>
      <c r="V84" s="909">
        <v>0</v>
      </c>
      <c r="W84" s="909"/>
      <c r="X84" s="909">
        <f t="shared" si="52"/>
        <v>0</v>
      </c>
      <c r="Y84" s="909"/>
      <c r="Z84" s="449" t="s">
        <v>1534</v>
      </c>
      <c r="AA84" s="909"/>
      <c r="AB84" s="909">
        <v>0</v>
      </c>
      <c r="AC84" s="909"/>
      <c r="AD84" s="914"/>
      <c r="AE84" s="909"/>
      <c r="AF84" s="909">
        <v>0</v>
      </c>
      <c r="AG84" s="909"/>
      <c r="AH84" s="449" t="s">
        <v>856</v>
      </c>
      <c r="AI84" s="909"/>
      <c r="AJ84" s="448">
        <f t="shared" si="42"/>
        <v>0</v>
      </c>
      <c r="AK84" s="909"/>
      <c r="AL84" s="448">
        <f t="shared" si="43"/>
        <v>0</v>
      </c>
      <c r="AM84" s="909"/>
      <c r="AN84" s="448">
        <f t="shared" si="44"/>
        <v>0</v>
      </c>
      <c r="AO84" s="909"/>
      <c r="AP84" s="909">
        <f t="shared" si="45"/>
        <v>0</v>
      </c>
      <c r="AR84" s="909">
        <v>0</v>
      </c>
      <c r="AS84" s="909"/>
      <c r="AT84" s="914"/>
      <c r="AU84" s="909"/>
      <c r="AV84" s="909">
        <v>0</v>
      </c>
      <c r="AW84" s="909"/>
      <c r="AX84" s="448">
        <f t="shared" si="46"/>
        <v>0</v>
      </c>
      <c r="AY84" s="909"/>
      <c r="AZ84" s="448">
        <f t="shared" si="47"/>
        <v>0</v>
      </c>
      <c r="BA84" s="909"/>
      <c r="BB84" s="448">
        <f t="shared" si="48"/>
        <v>0</v>
      </c>
      <c r="BC84" s="909"/>
      <c r="BD84" s="909">
        <f t="shared" si="49"/>
        <v>0</v>
      </c>
      <c r="BF84" s="909">
        <f t="shared" si="50"/>
        <v>0</v>
      </c>
      <c r="BI84" s="437">
        <f t="shared" si="40"/>
        <v>351</v>
      </c>
    </row>
    <row r="85" spans="1:61" ht="15">
      <c r="A85" s="437">
        <f t="shared" si="41"/>
        <v>352</v>
      </c>
      <c r="B85" s="913"/>
      <c r="F85" s="917" t="s">
        <v>1524</v>
      </c>
      <c r="H85" s="914"/>
      <c r="J85" s="914"/>
      <c r="K85" s="909"/>
      <c r="L85" s="914"/>
      <c r="M85" s="909"/>
      <c r="N85" s="914"/>
      <c r="P85" s="919" t="s">
        <v>845</v>
      </c>
      <c r="R85" s="909">
        <v>0</v>
      </c>
      <c r="S85" s="909"/>
      <c r="T85" s="909">
        <f t="shared" si="51"/>
        <v>0</v>
      </c>
      <c r="U85" s="909"/>
      <c r="V85" s="909">
        <v>0</v>
      </c>
      <c r="W85" s="909"/>
      <c r="X85" s="909">
        <f t="shared" si="52"/>
        <v>0</v>
      </c>
      <c r="Y85" s="909"/>
      <c r="Z85" s="449" t="s">
        <v>1534</v>
      </c>
      <c r="AA85" s="909"/>
      <c r="AB85" s="909">
        <v>0</v>
      </c>
      <c r="AC85" s="909"/>
      <c r="AD85" s="914"/>
      <c r="AE85" s="909"/>
      <c r="AF85" s="909">
        <v>0</v>
      </c>
      <c r="AG85" s="909"/>
      <c r="AH85" s="449" t="s">
        <v>856</v>
      </c>
      <c r="AI85" s="909"/>
      <c r="AJ85" s="448">
        <f t="shared" si="42"/>
        <v>0</v>
      </c>
      <c r="AK85" s="909"/>
      <c r="AL85" s="448">
        <f t="shared" si="43"/>
        <v>0</v>
      </c>
      <c r="AM85" s="909"/>
      <c r="AN85" s="448">
        <f t="shared" si="44"/>
        <v>0</v>
      </c>
      <c r="AO85" s="909"/>
      <c r="AP85" s="909">
        <f t="shared" si="45"/>
        <v>0</v>
      </c>
      <c r="AR85" s="909">
        <v>0</v>
      </c>
      <c r="AS85" s="909"/>
      <c r="AT85" s="914"/>
      <c r="AU85" s="909"/>
      <c r="AV85" s="909">
        <v>0</v>
      </c>
      <c r="AW85" s="909"/>
      <c r="AX85" s="448">
        <f t="shared" si="46"/>
        <v>0</v>
      </c>
      <c r="AY85" s="909"/>
      <c r="AZ85" s="448">
        <f t="shared" si="47"/>
        <v>0</v>
      </c>
      <c r="BA85" s="909"/>
      <c r="BB85" s="448">
        <f t="shared" si="48"/>
        <v>0</v>
      </c>
      <c r="BC85" s="909"/>
      <c r="BD85" s="909">
        <f t="shared" si="49"/>
        <v>0</v>
      </c>
      <c r="BF85" s="909">
        <f t="shared" si="50"/>
        <v>0</v>
      </c>
      <c r="BI85" s="437">
        <f t="shared" si="40"/>
        <v>352</v>
      </c>
    </row>
    <row r="86" spans="1:61" ht="15">
      <c r="A86" s="437">
        <f t="shared" si="41"/>
        <v>353</v>
      </c>
      <c r="B86" s="913"/>
      <c r="F86" s="917" t="s">
        <v>1524</v>
      </c>
      <c r="H86" s="914"/>
      <c r="J86" s="914"/>
      <c r="K86" s="909"/>
      <c r="L86" s="914"/>
      <c r="M86" s="909"/>
      <c r="N86" s="914"/>
      <c r="P86" s="919" t="s">
        <v>845</v>
      </c>
      <c r="R86" s="909">
        <v>0</v>
      </c>
      <c r="S86" s="909"/>
      <c r="T86" s="909">
        <f t="shared" si="51"/>
        <v>0</v>
      </c>
      <c r="U86" s="909"/>
      <c r="V86" s="909">
        <v>0</v>
      </c>
      <c r="W86" s="909"/>
      <c r="X86" s="909">
        <f t="shared" si="52"/>
        <v>0</v>
      </c>
      <c r="Y86" s="909"/>
      <c r="Z86" s="449" t="s">
        <v>1534</v>
      </c>
      <c r="AA86" s="909"/>
      <c r="AB86" s="909">
        <v>0</v>
      </c>
      <c r="AC86" s="909"/>
      <c r="AD86" s="914"/>
      <c r="AE86" s="909"/>
      <c r="AF86" s="909">
        <v>0</v>
      </c>
      <c r="AG86" s="909"/>
      <c r="AH86" s="449" t="s">
        <v>856</v>
      </c>
      <c r="AI86" s="909"/>
      <c r="AJ86" s="448">
        <f t="shared" si="42"/>
        <v>0</v>
      </c>
      <c r="AK86" s="909"/>
      <c r="AL86" s="448">
        <f t="shared" si="43"/>
        <v>0</v>
      </c>
      <c r="AM86" s="909"/>
      <c r="AN86" s="448">
        <f t="shared" si="44"/>
        <v>0</v>
      </c>
      <c r="AO86" s="909"/>
      <c r="AP86" s="909">
        <f t="shared" si="45"/>
        <v>0</v>
      </c>
      <c r="AR86" s="909">
        <v>0</v>
      </c>
      <c r="AS86" s="909"/>
      <c r="AT86" s="914"/>
      <c r="AU86" s="909"/>
      <c r="AV86" s="909">
        <v>0</v>
      </c>
      <c r="AW86" s="909"/>
      <c r="AX86" s="448">
        <f t="shared" si="46"/>
        <v>0</v>
      </c>
      <c r="AY86" s="909"/>
      <c r="AZ86" s="448">
        <f t="shared" si="47"/>
        <v>0</v>
      </c>
      <c r="BA86" s="909"/>
      <c r="BB86" s="448">
        <f t="shared" si="48"/>
        <v>0</v>
      </c>
      <c r="BC86" s="909"/>
      <c r="BD86" s="909">
        <f t="shared" si="49"/>
        <v>0</v>
      </c>
      <c r="BF86" s="909">
        <f t="shared" si="50"/>
        <v>0</v>
      </c>
      <c r="BI86" s="437">
        <f t="shared" si="40"/>
        <v>353</v>
      </c>
    </row>
    <row r="87" spans="1:61" ht="15">
      <c r="A87" s="437">
        <f t="shared" si="41"/>
        <v>354</v>
      </c>
      <c r="B87" s="913"/>
      <c r="F87" s="917" t="s">
        <v>1524</v>
      </c>
      <c r="H87" s="914"/>
      <c r="J87" s="914"/>
      <c r="K87" s="909"/>
      <c r="L87" s="914"/>
      <c r="M87" s="909"/>
      <c r="N87" s="914"/>
      <c r="P87" s="919" t="s">
        <v>845</v>
      </c>
      <c r="R87" s="909">
        <v>0</v>
      </c>
      <c r="S87" s="909"/>
      <c r="T87" s="909">
        <f t="shared" si="51"/>
        <v>0</v>
      </c>
      <c r="U87" s="909"/>
      <c r="V87" s="909">
        <v>0</v>
      </c>
      <c r="W87" s="909"/>
      <c r="X87" s="909">
        <f t="shared" si="52"/>
        <v>0</v>
      </c>
      <c r="Y87" s="909"/>
      <c r="Z87" s="449" t="s">
        <v>1534</v>
      </c>
      <c r="AA87" s="909"/>
      <c r="AB87" s="909">
        <v>0</v>
      </c>
      <c r="AC87" s="909"/>
      <c r="AD87" s="914"/>
      <c r="AE87" s="909"/>
      <c r="AF87" s="909">
        <v>0</v>
      </c>
      <c r="AG87" s="909"/>
      <c r="AH87" s="449" t="s">
        <v>856</v>
      </c>
      <c r="AI87" s="909"/>
      <c r="AJ87" s="448">
        <f t="shared" si="42"/>
        <v>0</v>
      </c>
      <c r="AK87" s="909"/>
      <c r="AL87" s="448">
        <f t="shared" si="43"/>
        <v>0</v>
      </c>
      <c r="AM87" s="909"/>
      <c r="AN87" s="448">
        <f t="shared" si="44"/>
        <v>0</v>
      </c>
      <c r="AO87" s="909"/>
      <c r="AP87" s="909">
        <f t="shared" si="45"/>
        <v>0</v>
      </c>
      <c r="AR87" s="909">
        <v>0</v>
      </c>
      <c r="AS87" s="909"/>
      <c r="AT87" s="914"/>
      <c r="AU87" s="909"/>
      <c r="AV87" s="909">
        <v>0</v>
      </c>
      <c r="AW87" s="909"/>
      <c r="AX87" s="448">
        <f t="shared" si="46"/>
        <v>0</v>
      </c>
      <c r="AY87" s="909"/>
      <c r="AZ87" s="448">
        <f t="shared" si="47"/>
        <v>0</v>
      </c>
      <c r="BA87" s="909"/>
      <c r="BB87" s="448">
        <f t="shared" si="48"/>
        <v>0</v>
      </c>
      <c r="BC87" s="909"/>
      <c r="BD87" s="909">
        <f t="shared" si="49"/>
        <v>0</v>
      </c>
      <c r="BF87" s="909">
        <f t="shared" si="50"/>
        <v>0</v>
      </c>
      <c r="BI87" s="437">
        <f t="shared" si="40"/>
        <v>354</v>
      </c>
    </row>
    <row r="88" spans="1:61" ht="15">
      <c r="A88" s="437">
        <f t="shared" si="41"/>
        <v>355</v>
      </c>
      <c r="B88" s="913"/>
      <c r="F88" s="917" t="s">
        <v>1524</v>
      </c>
      <c r="H88" s="914"/>
      <c r="J88" s="914"/>
      <c r="K88" s="909"/>
      <c r="L88" s="914"/>
      <c r="M88" s="909"/>
      <c r="N88" s="914"/>
      <c r="P88" s="919" t="s">
        <v>845</v>
      </c>
      <c r="R88" s="909">
        <v>0</v>
      </c>
      <c r="S88" s="909"/>
      <c r="T88" s="909">
        <f t="shared" si="51"/>
        <v>0</v>
      </c>
      <c r="U88" s="909"/>
      <c r="V88" s="909">
        <v>0</v>
      </c>
      <c r="W88" s="909"/>
      <c r="X88" s="909">
        <f t="shared" si="52"/>
        <v>0</v>
      </c>
      <c r="Y88" s="909"/>
      <c r="Z88" s="449" t="s">
        <v>1534</v>
      </c>
      <c r="AA88" s="909"/>
      <c r="AB88" s="909">
        <v>0</v>
      </c>
      <c r="AC88" s="909"/>
      <c r="AD88" s="914"/>
      <c r="AE88" s="909"/>
      <c r="AF88" s="909">
        <v>0</v>
      </c>
      <c r="AG88" s="909"/>
      <c r="AH88" s="449" t="s">
        <v>856</v>
      </c>
      <c r="AI88" s="909"/>
      <c r="AJ88" s="448">
        <f t="shared" si="42"/>
        <v>0</v>
      </c>
      <c r="AK88" s="909"/>
      <c r="AL88" s="448">
        <f t="shared" si="43"/>
        <v>0</v>
      </c>
      <c r="AM88" s="909"/>
      <c r="AN88" s="448">
        <f t="shared" si="44"/>
        <v>0</v>
      </c>
      <c r="AO88" s="909"/>
      <c r="AP88" s="909">
        <f t="shared" si="45"/>
        <v>0</v>
      </c>
      <c r="AR88" s="909">
        <v>0</v>
      </c>
      <c r="AS88" s="909"/>
      <c r="AT88" s="914"/>
      <c r="AU88" s="909"/>
      <c r="AV88" s="909">
        <v>0</v>
      </c>
      <c r="AW88" s="909"/>
      <c r="AX88" s="448">
        <f t="shared" si="46"/>
        <v>0</v>
      </c>
      <c r="AY88" s="909"/>
      <c r="AZ88" s="448">
        <f t="shared" si="47"/>
        <v>0</v>
      </c>
      <c r="BA88" s="909"/>
      <c r="BB88" s="448">
        <f t="shared" si="48"/>
        <v>0</v>
      </c>
      <c r="BC88" s="909"/>
      <c r="BD88" s="909">
        <f t="shared" si="49"/>
        <v>0</v>
      </c>
      <c r="BF88" s="909">
        <f t="shared" si="50"/>
        <v>0</v>
      </c>
      <c r="BI88" s="437">
        <f t="shared" si="40"/>
        <v>355</v>
      </c>
    </row>
    <row r="89" spans="1:61" ht="15">
      <c r="A89" s="437">
        <f t="shared" si="41"/>
        <v>356</v>
      </c>
      <c r="B89" s="915"/>
      <c r="F89" s="917"/>
      <c r="H89" s="914"/>
      <c r="J89" s="914"/>
      <c r="K89" s="909"/>
      <c r="L89" s="914"/>
      <c r="M89" s="909"/>
      <c r="N89" s="914"/>
      <c r="P89" s="919"/>
      <c r="R89" s="909">
        <v>0</v>
      </c>
      <c r="S89" s="909"/>
      <c r="T89" s="909">
        <f t="shared" si="51"/>
        <v>0</v>
      </c>
      <c r="U89" s="909"/>
      <c r="V89" s="909">
        <v>0</v>
      </c>
      <c r="W89" s="909"/>
      <c r="X89" s="909">
        <f t="shared" si="52"/>
        <v>0</v>
      </c>
      <c r="Y89" s="909"/>
      <c r="Z89" s="449"/>
      <c r="AA89" s="909"/>
      <c r="AB89" s="909">
        <v>0</v>
      </c>
      <c r="AC89" s="909"/>
      <c r="AD89" s="914"/>
      <c r="AE89" s="909"/>
      <c r="AF89" s="909">
        <v>0</v>
      </c>
      <c r="AG89" s="909"/>
      <c r="AH89" s="449"/>
      <c r="AI89" s="909"/>
      <c r="AJ89" s="448">
        <f t="shared" si="42"/>
        <v>0</v>
      </c>
      <c r="AK89" s="909"/>
      <c r="AL89" s="448">
        <f t="shared" si="43"/>
        <v>0</v>
      </c>
      <c r="AM89" s="909"/>
      <c r="AN89" s="448">
        <f t="shared" si="44"/>
        <v>0</v>
      </c>
      <c r="AO89" s="909"/>
      <c r="AP89" s="909">
        <f t="shared" si="45"/>
        <v>0</v>
      </c>
      <c r="AR89" s="909">
        <v>0</v>
      </c>
      <c r="AS89" s="909"/>
      <c r="AT89" s="914"/>
      <c r="AU89" s="909"/>
      <c r="AV89" s="909">
        <v>0</v>
      </c>
      <c r="AW89" s="909"/>
      <c r="AX89" s="448">
        <f t="shared" si="46"/>
        <v>0</v>
      </c>
      <c r="AY89" s="909"/>
      <c r="AZ89" s="448">
        <f t="shared" si="47"/>
        <v>0</v>
      </c>
      <c r="BA89" s="909"/>
      <c r="BB89" s="448">
        <f t="shared" si="48"/>
        <v>0</v>
      </c>
      <c r="BC89" s="909"/>
      <c r="BD89" s="909">
        <f t="shared" si="49"/>
        <v>0</v>
      </c>
      <c r="BF89" s="909">
        <f t="shared" si="50"/>
        <v>0</v>
      </c>
      <c r="BI89" s="437">
        <f t="shared" si="40"/>
        <v>356</v>
      </c>
    </row>
    <row r="90" spans="1:61" ht="15">
      <c r="A90" s="437">
        <f t="shared" si="41"/>
        <v>357</v>
      </c>
      <c r="B90" s="915" t="s">
        <v>370</v>
      </c>
      <c r="F90" s="917"/>
      <c r="H90" s="914"/>
      <c r="J90" s="914"/>
      <c r="K90" s="909"/>
      <c r="L90" s="914"/>
      <c r="M90" s="909"/>
      <c r="N90" s="914"/>
      <c r="P90" s="919"/>
      <c r="R90" s="909">
        <v>0</v>
      </c>
      <c r="S90" s="909"/>
      <c r="T90" s="909">
        <f t="shared" si="51"/>
        <v>0</v>
      </c>
      <c r="U90" s="909"/>
      <c r="V90" s="909">
        <v>0</v>
      </c>
      <c r="W90" s="909"/>
      <c r="X90" s="909">
        <f t="shared" si="52"/>
        <v>0</v>
      </c>
      <c r="Y90" s="909"/>
      <c r="Z90" s="449"/>
      <c r="AA90" s="909"/>
      <c r="AB90" s="909">
        <v>0</v>
      </c>
      <c r="AC90" s="909"/>
      <c r="AD90" s="914"/>
      <c r="AE90" s="909"/>
      <c r="AF90" s="909">
        <v>0</v>
      </c>
      <c r="AG90" s="909"/>
      <c r="AH90" s="449"/>
      <c r="AI90" s="909"/>
      <c r="AJ90" s="448">
        <f t="shared" si="42"/>
        <v>0</v>
      </c>
      <c r="AK90" s="909"/>
      <c r="AL90" s="448">
        <f t="shared" si="43"/>
        <v>0</v>
      </c>
      <c r="AM90" s="909"/>
      <c r="AN90" s="448">
        <f t="shared" si="44"/>
        <v>0</v>
      </c>
      <c r="AO90" s="909"/>
      <c r="AP90" s="909">
        <f t="shared" si="45"/>
        <v>0</v>
      </c>
      <c r="AR90" s="909">
        <v>0</v>
      </c>
      <c r="AS90" s="909"/>
      <c r="AT90" s="914"/>
      <c r="AU90" s="909"/>
      <c r="AV90" s="909">
        <v>0</v>
      </c>
      <c r="AW90" s="909"/>
      <c r="AX90" s="448">
        <f t="shared" si="46"/>
        <v>0</v>
      </c>
      <c r="AY90" s="909"/>
      <c r="AZ90" s="448">
        <f t="shared" si="47"/>
        <v>0</v>
      </c>
      <c r="BA90" s="909"/>
      <c r="BB90" s="448">
        <f t="shared" si="48"/>
        <v>0</v>
      </c>
      <c r="BC90" s="909"/>
      <c r="BD90" s="909">
        <f t="shared" si="49"/>
        <v>0</v>
      </c>
      <c r="BF90" s="909">
        <f t="shared" si="50"/>
        <v>0</v>
      </c>
      <c r="BI90" s="437">
        <f t="shared" si="40"/>
        <v>357</v>
      </c>
    </row>
    <row r="91" spans="1:61" ht="15">
      <c r="A91" s="437"/>
      <c r="B91" s="784"/>
      <c r="F91" s="917"/>
      <c r="H91" s="909"/>
      <c r="J91" s="909"/>
      <c r="K91" s="909"/>
      <c r="L91" s="909"/>
      <c r="M91" s="909"/>
      <c r="N91" s="909"/>
      <c r="P91" s="919"/>
      <c r="R91" s="909"/>
      <c r="S91" s="909"/>
      <c r="T91" s="909"/>
      <c r="U91" s="909"/>
      <c r="V91" s="909"/>
      <c r="W91" s="909"/>
      <c r="X91" s="909"/>
      <c r="Y91" s="909"/>
      <c r="Z91" s="449"/>
      <c r="AA91" s="909"/>
      <c r="AB91" s="909"/>
      <c r="AC91" s="909"/>
      <c r="AD91" s="909"/>
      <c r="AE91" s="909"/>
      <c r="AF91" s="909"/>
      <c r="AG91" s="909"/>
      <c r="AH91" s="449"/>
      <c r="AI91" s="909"/>
      <c r="AJ91" s="909"/>
      <c r="AK91" s="909"/>
      <c r="AL91" s="909"/>
      <c r="AM91" s="909"/>
      <c r="AN91" s="909"/>
      <c r="AO91" s="909"/>
      <c r="AP91" s="909"/>
      <c r="AR91" s="909"/>
      <c r="AS91" s="909"/>
      <c r="AT91" s="909"/>
      <c r="AU91" s="909"/>
      <c r="AV91" s="909"/>
      <c r="AW91" s="909"/>
      <c r="AX91" s="909"/>
      <c r="AY91" s="909"/>
      <c r="AZ91" s="909"/>
      <c r="BA91" s="909"/>
      <c r="BB91" s="909"/>
      <c r="BC91" s="909"/>
      <c r="BD91" s="909"/>
      <c r="BF91" s="909"/>
      <c r="BI91" s="437"/>
    </row>
    <row r="92" spans="1:61" ht="15">
      <c r="A92" s="787" t="s">
        <v>86</v>
      </c>
      <c r="F92" s="917"/>
      <c r="H92" s="908"/>
      <c r="P92" s="919"/>
      <c r="X92" s="909"/>
      <c r="Z92" s="896"/>
      <c r="AH92" s="896"/>
      <c r="BI92" s="907" t="s">
        <v>86</v>
      </c>
    </row>
    <row r="93" spans="1:61" ht="15">
      <c r="A93" s="437">
        <f>A33+100</f>
        <v>400</v>
      </c>
      <c r="B93" s="900" t="s">
        <v>841</v>
      </c>
      <c r="F93" s="917"/>
      <c r="H93" s="920">
        <f>ROUND(SUM(H94:H104),0)</f>
        <v>0</v>
      </c>
      <c r="J93" s="912">
        <f>ROUND(SUM(J94:J104),0)</f>
        <v>0</v>
      </c>
      <c r="K93" s="909"/>
      <c r="L93" s="912">
        <f>ROUND(SUM(L94:L104),0)</f>
        <v>0</v>
      </c>
      <c r="M93" s="909"/>
      <c r="N93" s="912">
        <f>ROUND(SUM(N94:N104),0)</f>
        <v>0</v>
      </c>
      <c r="O93" s="437"/>
      <c r="P93" s="919"/>
      <c r="Q93" s="437"/>
      <c r="R93" s="912">
        <f>ROUND(SUM(R94:R104),0)</f>
        <v>0</v>
      </c>
      <c r="S93" s="909"/>
      <c r="T93" s="912">
        <f>ROUND(SUM(T94:T104),0)</f>
        <v>0</v>
      </c>
      <c r="U93" s="909"/>
      <c r="V93" s="912">
        <f>ROUND(SUM(V94:V104),0)</f>
        <v>0</v>
      </c>
      <c r="W93" s="909"/>
      <c r="X93" s="912">
        <f>ROUND(SUM(X94:X104),0)</f>
        <v>0</v>
      </c>
      <c r="Y93" s="909"/>
      <c r="Z93" s="449"/>
      <c r="AA93" s="909"/>
      <c r="AB93" s="912">
        <f>SUM(AB94:AB104)</f>
        <v>0</v>
      </c>
      <c r="AC93" s="909"/>
      <c r="AD93" s="912">
        <f>SUM(AD94:AD104)</f>
        <v>0</v>
      </c>
      <c r="AE93" s="909"/>
      <c r="AF93" s="912">
        <f>SUM(AF94:AF104)</f>
        <v>0</v>
      </c>
      <c r="AG93" s="909"/>
      <c r="AH93" s="449"/>
      <c r="AI93" s="909"/>
      <c r="AJ93" s="912">
        <f>SUM(AJ94:AJ104)</f>
        <v>0</v>
      </c>
      <c r="AK93" s="909"/>
      <c r="AL93" s="912">
        <f>SUM(AL94:AL104)</f>
        <v>0</v>
      </c>
      <c r="AM93" s="909"/>
      <c r="AN93" s="912">
        <f>SUM(AN94:AN104)</f>
        <v>0</v>
      </c>
      <c r="AO93" s="909"/>
      <c r="AP93" s="912">
        <f>SUM(AP94:AP104)</f>
        <v>0</v>
      </c>
      <c r="AR93" s="912">
        <f>SUM(AR94:AR104)</f>
        <v>0</v>
      </c>
      <c r="AS93" s="909"/>
      <c r="AT93" s="912">
        <f>SUM(AT94:AT104)</f>
        <v>0</v>
      </c>
      <c r="AU93" s="909"/>
      <c r="AV93" s="912">
        <f>SUM(AV94:AV104)</f>
        <v>0</v>
      </c>
      <c r="AW93" s="909"/>
      <c r="AX93" s="912">
        <f>SUM(AX94:AX104)</f>
        <v>0</v>
      </c>
      <c r="AY93" s="909"/>
      <c r="AZ93" s="912">
        <f>SUM(AZ94:AZ104)</f>
        <v>0</v>
      </c>
      <c r="BA93" s="909"/>
      <c r="BB93" s="912">
        <f>SUM(BB94:BB104)</f>
        <v>0</v>
      </c>
      <c r="BC93" s="909"/>
      <c r="BD93" s="912">
        <f>SUM(BD94:BD104)</f>
        <v>0</v>
      </c>
      <c r="BF93" s="912">
        <f>ROUND(SUM(BF94:BF103),0)</f>
        <v>0</v>
      </c>
      <c r="BI93" s="437">
        <f t="shared" ref="BI93:BI104" si="53">A93</f>
        <v>400</v>
      </c>
    </row>
    <row r="94" spans="1:61" ht="15">
      <c r="A94" s="437">
        <f t="shared" ref="A94:A98" si="54">A93+1</f>
        <v>401</v>
      </c>
      <c r="B94" s="788"/>
      <c r="F94" s="784" t="s">
        <v>1533</v>
      </c>
      <c r="H94" s="914"/>
      <c r="J94" s="914"/>
      <c r="K94" s="909"/>
      <c r="L94" s="914"/>
      <c r="M94" s="909"/>
      <c r="N94" s="914"/>
      <c r="P94" s="919" t="s">
        <v>1530</v>
      </c>
      <c r="R94" s="909">
        <v>0</v>
      </c>
      <c r="S94" s="909"/>
      <c r="T94" s="909">
        <v>0</v>
      </c>
      <c r="U94" s="909"/>
      <c r="V94" s="909">
        <f>+N94</f>
        <v>0</v>
      </c>
      <c r="W94" s="909"/>
      <c r="X94" s="909">
        <f t="shared" si="52"/>
        <v>0</v>
      </c>
      <c r="Y94" s="909"/>
      <c r="Z94" s="449" t="s">
        <v>1534</v>
      </c>
      <c r="AA94" s="909"/>
      <c r="AB94" s="909">
        <v>0</v>
      </c>
      <c r="AC94" s="909"/>
      <c r="AD94" s="909">
        <v>0</v>
      </c>
      <c r="AE94" s="909"/>
      <c r="AF94" s="914"/>
      <c r="AG94" s="909"/>
      <c r="AH94" s="449" t="s">
        <v>1531</v>
      </c>
      <c r="AI94" s="909"/>
      <c r="AJ94" s="448">
        <f t="shared" ref="AJ94:AJ104" si="55">+R94-AB94</f>
        <v>0</v>
      </c>
      <c r="AK94" s="909"/>
      <c r="AL94" s="448">
        <f t="shared" ref="AL94:AL104" si="56">+T94-AD94</f>
        <v>0</v>
      </c>
      <c r="AM94" s="909"/>
      <c r="AN94" s="448">
        <f t="shared" ref="AN94:AN104" si="57">+V94-AF94</f>
        <v>0</v>
      </c>
      <c r="AO94" s="909"/>
      <c r="AP94" s="909">
        <f t="shared" ref="AP94:AP104" si="58">SUM(AJ94:AN94)</f>
        <v>0</v>
      </c>
      <c r="AR94" s="909">
        <v>0</v>
      </c>
      <c r="AS94" s="909"/>
      <c r="AT94" s="909">
        <v>0</v>
      </c>
      <c r="AU94" s="909"/>
      <c r="AV94" s="914"/>
      <c r="AW94" s="909"/>
      <c r="AX94" s="448">
        <f t="shared" ref="AX94:AX104" si="59">+AJ94-AR94</f>
        <v>0</v>
      </c>
      <c r="AY94" s="909"/>
      <c r="AZ94" s="448">
        <f t="shared" ref="AZ94:AZ104" si="60">+AL94-AT94</f>
        <v>0</v>
      </c>
      <c r="BA94" s="909"/>
      <c r="BB94" s="448">
        <f t="shared" ref="BB94:BB104" si="61">+AN94-AV94</f>
        <v>0</v>
      </c>
      <c r="BC94" s="909"/>
      <c r="BD94" s="909">
        <f>SUM(AX94:BB94)</f>
        <v>0</v>
      </c>
      <c r="BF94" s="909">
        <f t="shared" ref="BF94:BF104" si="62">+BD94*$BF$10</f>
        <v>0</v>
      </c>
      <c r="BI94" s="437">
        <f t="shared" si="53"/>
        <v>401</v>
      </c>
    </row>
    <row r="95" spans="1:61" ht="15">
      <c r="A95" s="437">
        <f t="shared" si="54"/>
        <v>402</v>
      </c>
      <c r="B95" s="788"/>
      <c r="F95" s="784" t="s">
        <v>1533</v>
      </c>
      <c r="H95" s="914"/>
      <c r="J95" s="914"/>
      <c r="K95" s="909"/>
      <c r="L95" s="914"/>
      <c r="M95" s="909"/>
      <c r="N95" s="914"/>
      <c r="P95" s="919" t="s">
        <v>1530</v>
      </c>
      <c r="R95" s="909">
        <v>0</v>
      </c>
      <c r="S95" s="909"/>
      <c r="T95" s="909">
        <v>0</v>
      </c>
      <c r="U95" s="909"/>
      <c r="V95" s="909">
        <f>+N95</f>
        <v>0</v>
      </c>
      <c r="W95" s="909"/>
      <c r="X95" s="909">
        <f t="shared" si="52"/>
        <v>0</v>
      </c>
      <c r="Y95" s="909"/>
      <c r="Z95" s="449" t="s">
        <v>1534</v>
      </c>
      <c r="AA95" s="909"/>
      <c r="AB95" s="909">
        <v>0</v>
      </c>
      <c r="AC95" s="909"/>
      <c r="AD95" s="909">
        <v>0</v>
      </c>
      <c r="AE95" s="909"/>
      <c r="AF95" s="914"/>
      <c r="AG95" s="909"/>
      <c r="AH95" s="449" t="s">
        <v>1531</v>
      </c>
      <c r="AI95" s="909"/>
      <c r="AJ95" s="448">
        <f t="shared" si="55"/>
        <v>0</v>
      </c>
      <c r="AK95" s="909"/>
      <c r="AL95" s="448">
        <f t="shared" si="56"/>
        <v>0</v>
      </c>
      <c r="AM95" s="909"/>
      <c r="AN95" s="448">
        <f t="shared" si="57"/>
        <v>0</v>
      </c>
      <c r="AO95" s="909"/>
      <c r="AP95" s="909">
        <f t="shared" si="58"/>
        <v>0</v>
      </c>
      <c r="AR95" s="909">
        <v>0</v>
      </c>
      <c r="AS95" s="909"/>
      <c r="AT95" s="909">
        <v>0</v>
      </c>
      <c r="AU95" s="909"/>
      <c r="AV95" s="914"/>
      <c r="AW95" s="909"/>
      <c r="AX95" s="448">
        <f t="shared" si="59"/>
        <v>0</v>
      </c>
      <c r="AY95" s="909"/>
      <c r="AZ95" s="448">
        <f>+AL95-AT95</f>
        <v>0</v>
      </c>
      <c r="BA95" s="909"/>
      <c r="BB95" s="448">
        <f t="shared" si="61"/>
        <v>0</v>
      </c>
      <c r="BC95" s="909"/>
      <c r="BD95" s="909">
        <f t="shared" ref="BD95:BD104" si="63">SUM(AX95:BB95)</f>
        <v>0</v>
      </c>
      <c r="BF95" s="909">
        <f t="shared" si="62"/>
        <v>0</v>
      </c>
      <c r="BI95" s="437">
        <f t="shared" si="53"/>
        <v>402</v>
      </c>
    </row>
    <row r="96" spans="1:61" ht="15">
      <c r="A96" s="437" t="s">
        <v>1666</v>
      </c>
      <c r="B96" s="788"/>
      <c r="F96" s="784" t="s">
        <v>1533</v>
      </c>
      <c r="H96" s="914"/>
      <c r="J96" s="914"/>
      <c r="K96" s="909"/>
      <c r="L96" s="914"/>
      <c r="M96" s="909"/>
      <c r="N96" s="914"/>
      <c r="P96" s="919" t="s">
        <v>1530</v>
      </c>
      <c r="R96" s="909">
        <v>0</v>
      </c>
      <c r="S96" s="909"/>
      <c r="T96" s="909">
        <v>0</v>
      </c>
      <c r="U96" s="909"/>
      <c r="V96" s="909">
        <f>+N96</f>
        <v>0</v>
      </c>
      <c r="W96" s="909"/>
      <c r="X96" s="909">
        <f t="shared" si="52"/>
        <v>0</v>
      </c>
      <c r="Y96" s="909"/>
      <c r="Z96" s="449" t="s">
        <v>1534</v>
      </c>
      <c r="AA96" s="909"/>
      <c r="AB96" s="909">
        <v>0</v>
      </c>
      <c r="AC96" s="909"/>
      <c r="AD96" s="909">
        <v>0</v>
      </c>
      <c r="AE96" s="909"/>
      <c r="AF96" s="914"/>
      <c r="AG96" s="909"/>
      <c r="AH96" s="449" t="s">
        <v>1531</v>
      </c>
      <c r="AI96" s="909"/>
      <c r="AJ96" s="448">
        <f t="shared" si="55"/>
        <v>0</v>
      </c>
      <c r="AK96" s="909"/>
      <c r="AL96" s="448">
        <f t="shared" si="56"/>
        <v>0</v>
      </c>
      <c r="AM96" s="909"/>
      <c r="AN96" s="448">
        <f t="shared" si="57"/>
        <v>0</v>
      </c>
      <c r="AO96" s="909"/>
      <c r="AP96" s="909">
        <f t="shared" ref="AP96" si="64">SUM(AJ96:AN96)</f>
        <v>0</v>
      </c>
      <c r="AR96" s="909">
        <v>0</v>
      </c>
      <c r="AS96" s="909"/>
      <c r="AT96" s="909">
        <v>0</v>
      </c>
      <c r="AU96" s="909"/>
      <c r="AV96" s="914"/>
      <c r="AW96" s="909"/>
      <c r="AX96" s="448">
        <f t="shared" si="59"/>
        <v>0</v>
      </c>
      <c r="AY96" s="909"/>
      <c r="AZ96" s="448">
        <f>+AL96-AT96</f>
        <v>0</v>
      </c>
      <c r="BA96" s="909"/>
      <c r="BB96" s="448">
        <f t="shared" si="61"/>
        <v>0</v>
      </c>
      <c r="BC96" s="909"/>
      <c r="BD96" s="909">
        <f t="shared" si="63"/>
        <v>0</v>
      </c>
      <c r="BF96" s="909">
        <f t="shared" si="62"/>
        <v>0</v>
      </c>
      <c r="BI96" s="437" t="str">
        <f t="shared" si="53"/>
        <v>402a</v>
      </c>
    </row>
    <row r="97" spans="1:61" ht="15">
      <c r="A97" s="437">
        <f>A95+1</f>
        <v>403</v>
      </c>
      <c r="B97" s="913"/>
      <c r="F97" s="784" t="s">
        <v>1524</v>
      </c>
      <c r="H97" s="914"/>
      <c r="J97" s="914"/>
      <c r="K97" s="909"/>
      <c r="L97" s="914"/>
      <c r="M97" s="909"/>
      <c r="N97" s="914"/>
      <c r="P97" s="919" t="s">
        <v>845</v>
      </c>
      <c r="R97" s="909">
        <v>0</v>
      </c>
      <c r="S97" s="909"/>
      <c r="T97" s="909">
        <v>0</v>
      </c>
      <c r="U97" s="909"/>
      <c r="V97" s="909">
        <f>N97</f>
        <v>0</v>
      </c>
      <c r="W97" s="909"/>
      <c r="X97" s="909">
        <f>SUM(R97:V97)</f>
        <v>0</v>
      </c>
      <c r="Y97" s="909"/>
      <c r="Z97" s="449" t="s">
        <v>1534</v>
      </c>
      <c r="AA97" s="909"/>
      <c r="AB97" s="909">
        <v>0</v>
      </c>
      <c r="AC97" s="909"/>
      <c r="AD97" s="909">
        <v>0</v>
      </c>
      <c r="AE97" s="909"/>
      <c r="AF97" s="914"/>
      <c r="AG97" s="909"/>
      <c r="AH97" s="449" t="s">
        <v>856</v>
      </c>
      <c r="AI97" s="909"/>
      <c r="AJ97" s="448">
        <f t="shared" si="55"/>
        <v>0</v>
      </c>
      <c r="AK97" s="909"/>
      <c r="AL97" s="448">
        <f t="shared" si="56"/>
        <v>0</v>
      </c>
      <c r="AM97" s="909"/>
      <c r="AN97" s="448">
        <f t="shared" si="57"/>
        <v>0</v>
      </c>
      <c r="AO97" s="909"/>
      <c r="AP97" s="909">
        <f t="shared" si="58"/>
        <v>0</v>
      </c>
      <c r="AR97" s="909">
        <v>0</v>
      </c>
      <c r="AS97" s="909"/>
      <c r="AT97" s="909">
        <v>0</v>
      </c>
      <c r="AU97" s="909"/>
      <c r="AV97" s="914"/>
      <c r="AW97" s="909"/>
      <c r="AX97" s="448">
        <f t="shared" si="59"/>
        <v>0</v>
      </c>
      <c r="AY97" s="909"/>
      <c r="AZ97" s="448">
        <f t="shared" si="60"/>
        <v>0</v>
      </c>
      <c r="BA97" s="909"/>
      <c r="BB97" s="448">
        <f t="shared" si="61"/>
        <v>0</v>
      </c>
      <c r="BC97" s="909"/>
      <c r="BD97" s="909">
        <f t="shared" si="63"/>
        <v>0</v>
      </c>
      <c r="BF97" s="909">
        <f t="shared" si="62"/>
        <v>0</v>
      </c>
      <c r="BI97" s="437">
        <f t="shared" si="53"/>
        <v>403</v>
      </c>
    </row>
    <row r="98" spans="1:61" ht="15">
      <c r="A98" s="437">
        <f t="shared" si="54"/>
        <v>404</v>
      </c>
      <c r="B98" s="913"/>
      <c r="F98" s="917" t="s">
        <v>1524</v>
      </c>
      <c r="H98" s="914"/>
      <c r="J98" s="914"/>
      <c r="K98" s="909"/>
      <c r="L98" s="914"/>
      <c r="M98" s="909"/>
      <c r="N98" s="914"/>
      <c r="P98" s="919" t="s">
        <v>845</v>
      </c>
      <c r="R98" s="909">
        <v>0</v>
      </c>
      <c r="S98" s="909"/>
      <c r="T98" s="909">
        <v>0</v>
      </c>
      <c r="U98" s="909"/>
      <c r="V98" s="909">
        <f>N98</f>
        <v>0</v>
      </c>
      <c r="W98" s="909"/>
      <c r="X98" s="909">
        <f>SUM(R98:V98)</f>
        <v>0</v>
      </c>
      <c r="Y98" s="909"/>
      <c r="Z98" s="449" t="s">
        <v>1534</v>
      </c>
      <c r="AA98" s="909"/>
      <c r="AB98" s="909">
        <v>0</v>
      </c>
      <c r="AC98" s="909"/>
      <c r="AD98" s="909">
        <v>0</v>
      </c>
      <c r="AE98" s="909"/>
      <c r="AF98" s="914"/>
      <c r="AG98" s="909"/>
      <c r="AH98" s="449" t="s">
        <v>856</v>
      </c>
      <c r="AI98" s="909"/>
      <c r="AJ98" s="448">
        <f t="shared" si="55"/>
        <v>0</v>
      </c>
      <c r="AK98" s="909"/>
      <c r="AL98" s="448">
        <f t="shared" si="56"/>
        <v>0</v>
      </c>
      <c r="AM98" s="909"/>
      <c r="AN98" s="448">
        <f t="shared" si="57"/>
        <v>0</v>
      </c>
      <c r="AO98" s="909"/>
      <c r="AP98" s="909">
        <f t="shared" si="58"/>
        <v>0</v>
      </c>
      <c r="AR98" s="909">
        <v>0</v>
      </c>
      <c r="AS98" s="909"/>
      <c r="AT98" s="909">
        <v>0</v>
      </c>
      <c r="AU98" s="909"/>
      <c r="AV98" s="914"/>
      <c r="AW98" s="909"/>
      <c r="AX98" s="448">
        <f t="shared" si="59"/>
        <v>0</v>
      </c>
      <c r="AY98" s="909"/>
      <c r="AZ98" s="448">
        <f t="shared" si="60"/>
        <v>0</v>
      </c>
      <c r="BA98" s="909"/>
      <c r="BB98" s="448">
        <f t="shared" si="61"/>
        <v>0</v>
      </c>
      <c r="BC98" s="909"/>
      <c r="BD98" s="909">
        <f t="shared" si="63"/>
        <v>0</v>
      </c>
      <c r="BF98" s="909">
        <f t="shared" si="62"/>
        <v>0</v>
      </c>
      <c r="BI98" s="437">
        <f t="shared" si="53"/>
        <v>404</v>
      </c>
    </row>
    <row r="99" spans="1:61" ht="15">
      <c r="A99" s="437">
        <f>+A98+1</f>
        <v>405</v>
      </c>
      <c r="B99" s="913"/>
      <c r="F99" s="917" t="s">
        <v>1524</v>
      </c>
      <c r="H99" s="914"/>
      <c r="J99" s="914"/>
      <c r="K99" s="909"/>
      <c r="L99" s="914"/>
      <c r="M99" s="909"/>
      <c r="N99" s="914"/>
      <c r="P99" s="919" t="s">
        <v>845</v>
      </c>
      <c r="R99" s="909">
        <v>0</v>
      </c>
      <c r="S99" s="909"/>
      <c r="T99" s="909">
        <v>0</v>
      </c>
      <c r="U99" s="909"/>
      <c r="V99" s="909">
        <f>N99</f>
        <v>0</v>
      </c>
      <c r="W99" s="909"/>
      <c r="X99" s="909">
        <f>SUM(R99:V99)</f>
        <v>0</v>
      </c>
      <c r="Y99" s="909"/>
      <c r="Z99" s="449" t="s">
        <v>1534</v>
      </c>
      <c r="AA99" s="909"/>
      <c r="AB99" s="909">
        <v>0</v>
      </c>
      <c r="AC99" s="909"/>
      <c r="AD99" s="909">
        <v>0</v>
      </c>
      <c r="AE99" s="909"/>
      <c r="AF99" s="914"/>
      <c r="AG99" s="909"/>
      <c r="AH99" s="449" t="s">
        <v>856</v>
      </c>
      <c r="AI99" s="909"/>
      <c r="AJ99" s="448">
        <f t="shared" si="55"/>
        <v>0</v>
      </c>
      <c r="AK99" s="909"/>
      <c r="AL99" s="448">
        <f t="shared" si="56"/>
        <v>0</v>
      </c>
      <c r="AM99" s="909"/>
      <c r="AN99" s="448">
        <f t="shared" si="57"/>
        <v>0</v>
      </c>
      <c r="AO99" s="909"/>
      <c r="AP99" s="909">
        <f t="shared" si="58"/>
        <v>0</v>
      </c>
      <c r="AR99" s="909">
        <v>0</v>
      </c>
      <c r="AS99" s="909"/>
      <c r="AT99" s="909">
        <v>0</v>
      </c>
      <c r="AU99" s="909"/>
      <c r="AV99" s="914"/>
      <c r="AW99" s="909"/>
      <c r="AX99" s="448">
        <f t="shared" si="59"/>
        <v>0</v>
      </c>
      <c r="AY99" s="909"/>
      <c r="AZ99" s="448">
        <f t="shared" si="60"/>
        <v>0</v>
      </c>
      <c r="BA99" s="909"/>
      <c r="BB99" s="448">
        <f t="shared" si="61"/>
        <v>0</v>
      </c>
      <c r="BC99" s="909"/>
      <c r="BD99" s="909">
        <f t="shared" si="63"/>
        <v>0</v>
      </c>
      <c r="BF99" s="909">
        <f t="shared" si="62"/>
        <v>0</v>
      </c>
      <c r="BI99" s="437">
        <f t="shared" si="53"/>
        <v>405</v>
      </c>
    </row>
    <row r="100" spans="1:61" ht="15">
      <c r="A100" s="437">
        <f>+A99+1</f>
        <v>406</v>
      </c>
      <c r="B100" s="913"/>
      <c r="F100" s="917" t="s">
        <v>1524</v>
      </c>
      <c r="H100" s="914"/>
      <c r="J100" s="914"/>
      <c r="K100" s="909"/>
      <c r="L100" s="914"/>
      <c r="M100" s="909"/>
      <c r="N100" s="914"/>
      <c r="P100" s="919" t="s">
        <v>845</v>
      </c>
      <c r="R100" s="909">
        <v>0</v>
      </c>
      <c r="S100" s="909"/>
      <c r="T100" s="909">
        <v>0</v>
      </c>
      <c r="U100" s="909"/>
      <c r="V100" s="909">
        <f>N100</f>
        <v>0</v>
      </c>
      <c r="W100" s="909"/>
      <c r="X100" s="909">
        <f>SUM(R100:V100)</f>
        <v>0</v>
      </c>
      <c r="Y100" s="909"/>
      <c r="Z100" s="449" t="s">
        <v>1534</v>
      </c>
      <c r="AA100" s="909"/>
      <c r="AB100" s="909">
        <v>0</v>
      </c>
      <c r="AC100" s="909"/>
      <c r="AD100" s="909">
        <v>0</v>
      </c>
      <c r="AE100" s="909"/>
      <c r="AF100" s="914"/>
      <c r="AG100" s="909"/>
      <c r="AH100" s="449" t="s">
        <v>856</v>
      </c>
      <c r="AI100" s="909"/>
      <c r="AJ100" s="448">
        <f t="shared" si="55"/>
        <v>0</v>
      </c>
      <c r="AK100" s="909"/>
      <c r="AL100" s="448">
        <f t="shared" si="56"/>
        <v>0</v>
      </c>
      <c r="AM100" s="909"/>
      <c r="AN100" s="448">
        <f t="shared" si="57"/>
        <v>0</v>
      </c>
      <c r="AO100" s="909"/>
      <c r="AP100" s="909">
        <f t="shared" si="58"/>
        <v>0</v>
      </c>
      <c r="AR100" s="909">
        <v>0</v>
      </c>
      <c r="AS100" s="909"/>
      <c r="AT100" s="909">
        <v>0</v>
      </c>
      <c r="AU100" s="909"/>
      <c r="AV100" s="914"/>
      <c r="AW100" s="909"/>
      <c r="AX100" s="448">
        <f t="shared" si="59"/>
        <v>0</v>
      </c>
      <c r="AY100" s="909"/>
      <c r="AZ100" s="448">
        <f t="shared" si="60"/>
        <v>0</v>
      </c>
      <c r="BA100" s="909"/>
      <c r="BB100" s="448">
        <f t="shared" si="61"/>
        <v>0</v>
      </c>
      <c r="BC100" s="909"/>
      <c r="BD100" s="909">
        <f t="shared" si="63"/>
        <v>0</v>
      </c>
      <c r="BF100" s="909">
        <f t="shared" si="62"/>
        <v>0</v>
      </c>
      <c r="BI100" s="437">
        <f t="shared" si="53"/>
        <v>406</v>
      </c>
    </row>
    <row r="101" spans="1:61" ht="15">
      <c r="A101" s="437">
        <f t="shared" ref="A101:A103" si="65">+A100+1</f>
        <v>407</v>
      </c>
      <c r="B101" s="913"/>
      <c r="F101" s="917" t="s">
        <v>1524</v>
      </c>
      <c r="H101" s="914"/>
      <c r="J101" s="914"/>
      <c r="K101" s="909"/>
      <c r="L101" s="914"/>
      <c r="M101" s="909"/>
      <c r="N101" s="914"/>
      <c r="P101" s="919" t="s">
        <v>845</v>
      </c>
      <c r="R101" s="909">
        <v>0</v>
      </c>
      <c r="S101" s="909"/>
      <c r="T101" s="909">
        <v>0</v>
      </c>
      <c r="U101" s="909"/>
      <c r="V101" s="909">
        <f t="shared" ref="V101:V104" si="66">N101</f>
        <v>0</v>
      </c>
      <c r="W101" s="909"/>
      <c r="X101" s="909">
        <f t="shared" ref="X101:X104" si="67">SUM(R101:V101)</f>
        <v>0</v>
      </c>
      <c r="Y101" s="909"/>
      <c r="Z101" s="449" t="s">
        <v>1534</v>
      </c>
      <c r="AA101" s="909"/>
      <c r="AB101" s="909">
        <v>0</v>
      </c>
      <c r="AC101" s="909"/>
      <c r="AD101" s="909">
        <v>0</v>
      </c>
      <c r="AE101" s="909"/>
      <c r="AF101" s="914"/>
      <c r="AG101" s="909"/>
      <c r="AH101" s="449" t="s">
        <v>856</v>
      </c>
      <c r="AI101" s="909"/>
      <c r="AJ101" s="448">
        <f t="shared" si="55"/>
        <v>0</v>
      </c>
      <c r="AK101" s="909"/>
      <c r="AL101" s="448">
        <f t="shared" si="56"/>
        <v>0</v>
      </c>
      <c r="AM101" s="909"/>
      <c r="AN101" s="448">
        <f t="shared" si="57"/>
        <v>0</v>
      </c>
      <c r="AO101" s="909"/>
      <c r="AP101" s="909">
        <f t="shared" si="58"/>
        <v>0</v>
      </c>
      <c r="AR101" s="909">
        <v>0</v>
      </c>
      <c r="AS101" s="909"/>
      <c r="AT101" s="909">
        <v>0</v>
      </c>
      <c r="AU101" s="909"/>
      <c r="AV101" s="914"/>
      <c r="AW101" s="909"/>
      <c r="AX101" s="448">
        <f t="shared" si="59"/>
        <v>0</v>
      </c>
      <c r="AY101" s="909"/>
      <c r="AZ101" s="448">
        <f t="shared" si="60"/>
        <v>0</v>
      </c>
      <c r="BA101" s="909"/>
      <c r="BB101" s="448">
        <f t="shared" si="61"/>
        <v>0</v>
      </c>
      <c r="BC101" s="909"/>
      <c r="BD101" s="909">
        <f t="shared" si="63"/>
        <v>0</v>
      </c>
      <c r="BF101" s="909">
        <f t="shared" si="62"/>
        <v>0</v>
      </c>
      <c r="BI101" s="437">
        <f t="shared" si="53"/>
        <v>407</v>
      </c>
    </row>
    <row r="102" spans="1:61" ht="15">
      <c r="A102" s="437">
        <f t="shared" si="65"/>
        <v>408</v>
      </c>
      <c r="B102" s="913"/>
      <c r="F102" s="917" t="s">
        <v>1524</v>
      </c>
      <c r="H102" s="914"/>
      <c r="J102" s="914"/>
      <c r="K102" s="909"/>
      <c r="L102" s="914"/>
      <c r="M102" s="909"/>
      <c r="N102" s="914"/>
      <c r="P102" s="919" t="s">
        <v>1535</v>
      </c>
      <c r="R102" s="909">
        <v>0</v>
      </c>
      <c r="S102" s="909"/>
      <c r="T102" s="909">
        <v>0</v>
      </c>
      <c r="U102" s="909"/>
      <c r="V102" s="909">
        <f t="shared" si="66"/>
        <v>0</v>
      </c>
      <c r="W102" s="909"/>
      <c r="X102" s="909">
        <f t="shared" si="67"/>
        <v>0</v>
      </c>
      <c r="Y102" s="909"/>
      <c r="Z102" s="449"/>
      <c r="AA102" s="909"/>
      <c r="AB102" s="909">
        <v>0</v>
      </c>
      <c r="AC102" s="909"/>
      <c r="AD102" s="909">
        <v>0</v>
      </c>
      <c r="AE102" s="909"/>
      <c r="AF102" s="914"/>
      <c r="AG102" s="909"/>
      <c r="AH102" s="449" t="s">
        <v>856</v>
      </c>
      <c r="AI102" s="909"/>
      <c r="AJ102" s="448">
        <f t="shared" si="55"/>
        <v>0</v>
      </c>
      <c r="AK102" s="909"/>
      <c r="AL102" s="448">
        <f t="shared" si="56"/>
        <v>0</v>
      </c>
      <c r="AM102" s="909"/>
      <c r="AN102" s="448">
        <f t="shared" si="57"/>
        <v>0</v>
      </c>
      <c r="AO102" s="909"/>
      <c r="AP102" s="909">
        <f t="shared" si="58"/>
        <v>0</v>
      </c>
      <c r="AR102" s="909">
        <v>0</v>
      </c>
      <c r="AS102" s="909"/>
      <c r="AT102" s="909">
        <v>0</v>
      </c>
      <c r="AU102" s="909"/>
      <c r="AV102" s="914"/>
      <c r="AW102" s="909"/>
      <c r="AX102" s="448">
        <f t="shared" si="59"/>
        <v>0</v>
      </c>
      <c r="AY102" s="909"/>
      <c r="AZ102" s="448">
        <f t="shared" si="60"/>
        <v>0</v>
      </c>
      <c r="BA102" s="909"/>
      <c r="BB102" s="448">
        <f t="shared" si="61"/>
        <v>0</v>
      </c>
      <c r="BC102" s="909"/>
      <c r="BD102" s="909">
        <f t="shared" si="63"/>
        <v>0</v>
      </c>
      <c r="BF102" s="909">
        <f t="shared" si="62"/>
        <v>0</v>
      </c>
      <c r="BI102" s="437">
        <f t="shared" si="53"/>
        <v>408</v>
      </c>
    </row>
    <row r="103" spans="1:61" ht="15">
      <c r="A103" s="437">
        <f t="shared" si="65"/>
        <v>409</v>
      </c>
      <c r="B103" s="913"/>
      <c r="F103" s="917"/>
      <c r="H103" s="914"/>
      <c r="J103" s="914"/>
      <c r="K103" s="909"/>
      <c r="L103" s="914"/>
      <c r="M103" s="909"/>
      <c r="N103" s="914"/>
      <c r="P103" s="918"/>
      <c r="R103" s="909">
        <v>0</v>
      </c>
      <c r="S103" s="909"/>
      <c r="T103" s="909">
        <v>0</v>
      </c>
      <c r="U103" s="909"/>
      <c r="V103" s="909">
        <f t="shared" si="66"/>
        <v>0</v>
      </c>
      <c r="W103" s="909"/>
      <c r="X103" s="909">
        <f t="shared" si="67"/>
        <v>0</v>
      </c>
      <c r="Y103" s="909"/>
      <c r="Z103" s="449"/>
      <c r="AA103" s="909"/>
      <c r="AB103" s="909">
        <v>0</v>
      </c>
      <c r="AC103" s="909"/>
      <c r="AD103" s="909">
        <v>0</v>
      </c>
      <c r="AE103" s="909"/>
      <c r="AF103" s="914"/>
      <c r="AG103" s="909"/>
      <c r="AH103" s="449"/>
      <c r="AI103" s="909"/>
      <c r="AJ103" s="448">
        <f t="shared" si="55"/>
        <v>0</v>
      </c>
      <c r="AK103" s="909"/>
      <c r="AL103" s="448">
        <f t="shared" si="56"/>
        <v>0</v>
      </c>
      <c r="AM103" s="909"/>
      <c r="AN103" s="448">
        <f t="shared" si="57"/>
        <v>0</v>
      </c>
      <c r="AO103" s="909"/>
      <c r="AP103" s="909">
        <f t="shared" si="58"/>
        <v>0</v>
      </c>
      <c r="AR103" s="909">
        <v>0</v>
      </c>
      <c r="AS103" s="909"/>
      <c r="AT103" s="909">
        <v>0</v>
      </c>
      <c r="AU103" s="909"/>
      <c r="AV103" s="914"/>
      <c r="AW103" s="909"/>
      <c r="AX103" s="448">
        <f t="shared" si="59"/>
        <v>0</v>
      </c>
      <c r="AY103" s="909"/>
      <c r="AZ103" s="448">
        <f t="shared" si="60"/>
        <v>0</v>
      </c>
      <c r="BA103" s="909"/>
      <c r="BB103" s="448">
        <f t="shared" si="61"/>
        <v>0</v>
      </c>
      <c r="BC103" s="909"/>
      <c r="BD103" s="909">
        <f t="shared" si="63"/>
        <v>0</v>
      </c>
      <c r="BF103" s="909">
        <f t="shared" si="62"/>
        <v>0</v>
      </c>
      <c r="BI103" s="437">
        <f t="shared" si="53"/>
        <v>409</v>
      </c>
    </row>
    <row r="104" spans="1:61" ht="15">
      <c r="A104" s="437">
        <f>+A101+1</f>
        <v>408</v>
      </c>
      <c r="B104" s="913"/>
      <c r="F104" s="917"/>
      <c r="H104" s="914"/>
      <c r="J104" s="914"/>
      <c r="K104" s="909"/>
      <c r="L104" s="914"/>
      <c r="M104" s="909"/>
      <c r="N104" s="914"/>
      <c r="P104" s="918"/>
      <c r="R104" s="909">
        <v>0</v>
      </c>
      <c r="S104" s="909"/>
      <c r="T104" s="909">
        <v>0</v>
      </c>
      <c r="U104" s="909"/>
      <c r="V104" s="909">
        <f t="shared" si="66"/>
        <v>0</v>
      </c>
      <c r="W104" s="909"/>
      <c r="X104" s="909">
        <f t="shared" si="67"/>
        <v>0</v>
      </c>
      <c r="Y104" s="909"/>
      <c r="Z104" s="449"/>
      <c r="AA104" s="909"/>
      <c r="AB104" s="909">
        <v>0</v>
      </c>
      <c r="AC104" s="909"/>
      <c r="AD104" s="909">
        <v>0</v>
      </c>
      <c r="AE104" s="909"/>
      <c r="AF104" s="914"/>
      <c r="AG104" s="909"/>
      <c r="AH104" s="449"/>
      <c r="AI104" s="909"/>
      <c r="AJ104" s="448">
        <f t="shared" si="55"/>
        <v>0</v>
      </c>
      <c r="AK104" s="909"/>
      <c r="AL104" s="448">
        <f t="shared" si="56"/>
        <v>0</v>
      </c>
      <c r="AM104" s="909"/>
      <c r="AN104" s="448">
        <f t="shared" si="57"/>
        <v>0</v>
      </c>
      <c r="AO104" s="909"/>
      <c r="AP104" s="909">
        <f t="shared" si="58"/>
        <v>0</v>
      </c>
      <c r="AR104" s="909">
        <v>0</v>
      </c>
      <c r="AS104" s="909"/>
      <c r="AT104" s="909">
        <v>0</v>
      </c>
      <c r="AU104" s="909"/>
      <c r="AV104" s="914"/>
      <c r="AW104" s="909"/>
      <c r="AX104" s="448">
        <f t="shared" si="59"/>
        <v>0</v>
      </c>
      <c r="AY104" s="909"/>
      <c r="AZ104" s="448">
        <f t="shared" si="60"/>
        <v>0</v>
      </c>
      <c r="BA104" s="909"/>
      <c r="BB104" s="448">
        <f t="shared" si="61"/>
        <v>0</v>
      </c>
      <c r="BC104" s="909"/>
      <c r="BD104" s="909">
        <f t="shared" si="63"/>
        <v>0</v>
      </c>
      <c r="BF104" s="909">
        <f t="shared" si="62"/>
        <v>0</v>
      </c>
      <c r="BI104" s="437">
        <f t="shared" si="53"/>
        <v>408</v>
      </c>
    </row>
    <row r="105" spans="1:61" ht="15">
      <c r="A105" s="437"/>
      <c r="B105" s="784"/>
      <c r="F105" s="917"/>
      <c r="H105" s="908"/>
      <c r="J105" s="909"/>
      <c r="K105" s="909"/>
      <c r="L105" s="909"/>
      <c r="M105" s="909"/>
      <c r="N105" s="909"/>
      <c r="P105" s="918"/>
      <c r="R105" s="909"/>
      <c r="S105" s="909"/>
      <c r="T105" s="909"/>
      <c r="U105" s="909"/>
      <c r="V105" s="909"/>
      <c r="W105" s="909"/>
      <c r="X105" s="909"/>
      <c r="Y105" s="909"/>
      <c r="Z105" s="449"/>
      <c r="AA105" s="909"/>
      <c r="AB105" s="909"/>
      <c r="AC105" s="909"/>
      <c r="AD105" s="909"/>
      <c r="AE105" s="909"/>
      <c r="AF105" s="909"/>
      <c r="AG105" s="909"/>
      <c r="AH105" s="449"/>
      <c r="AI105" s="909"/>
      <c r="AJ105" s="909"/>
      <c r="AK105" s="909"/>
      <c r="AL105" s="909"/>
      <c r="AM105" s="909"/>
      <c r="AN105" s="909"/>
      <c r="AO105" s="909"/>
      <c r="AP105" s="909"/>
      <c r="AR105" s="909"/>
      <c r="AS105" s="909"/>
      <c r="AT105" s="909"/>
      <c r="AU105" s="909"/>
      <c r="AV105" s="909"/>
      <c r="AW105" s="909"/>
      <c r="AX105" s="909"/>
      <c r="AY105" s="909"/>
      <c r="AZ105" s="909"/>
      <c r="BA105" s="909"/>
      <c r="BB105" s="909"/>
      <c r="BC105" s="909"/>
      <c r="BD105" s="909"/>
      <c r="BI105" s="437"/>
    </row>
    <row r="106" spans="1:61" ht="15">
      <c r="A106" s="787" t="s">
        <v>86</v>
      </c>
      <c r="F106" s="917"/>
      <c r="P106" s="918"/>
      <c r="Z106" s="896"/>
      <c r="AH106" s="896"/>
      <c r="BI106" s="907" t="s">
        <v>86</v>
      </c>
    </row>
    <row r="107" spans="1:61" ht="15">
      <c r="A107" s="437">
        <f>A93+100</f>
        <v>500</v>
      </c>
      <c r="B107" s="900" t="s">
        <v>842</v>
      </c>
      <c r="F107" s="917"/>
      <c r="H107" s="912">
        <f>ROUND(SUM(H108:H112),0)</f>
        <v>0</v>
      </c>
      <c r="J107" s="912">
        <f>ROUND(SUM(J108:J112),0)</f>
        <v>0</v>
      </c>
      <c r="K107" s="909"/>
      <c r="L107" s="912">
        <f>ROUND(SUM(L108:L112),0)</f>
        <v>0</v>
      </c>
      <c r="M107" s="909"/>
      <c r="N107" s="912">
        <f>ROUND(SUM(N108:N112),0)</f>
        <v>0</v>
      </c>
      <c r="O107" s="437"/>
      <c r="P107" s="784"/>
      <c r="Q107" s="437"/>
      <c r="R107" s="912">
        <f>ROUND(SUM(R108:R112),0)</f>
        <v>0</v>
      </c>
      <c r="S107" s="909"/>
      <c r="T107" s="912">
        <f>ROUND(SUM(T108:T112),0)</f>
        <v>0</v>
      </c>
      <c r="U107" s="909"/>
      <c r="V107" s="912">
        <f>ROUND(SUM(V108:V112),0)</f>
        <v>0</v>
      </c>
      <c r="W107" s="909"/>
      <c r="X107" s="912">
        <f>ROUND(SUM(X108:X112),0)</f>
        <v>0</v>
      </c>
      <c r="Y107" s="909"/>
      <c r="Z107" s="449"/>
      <c r="AA107" s="909"/>
      <c r="AB107" s="912">
        <f>SUM(AB108:AB112)</f>
        <v>0</v>
      </c>
      <c r="AC107" s="909"/>
      <c r="AD107" s="912">
        <f>SUM(AD108:AD112)</f>
        <v>0</v>
      </c>
      <c r="AE107" s="909"/>
      <c r="AF107" s="912">
        <f>SUM(AF108:AF112)</f>
        <v>0</v>
      </c>
      <c r="AG107" s="909"/>
      <c r="AH107" s="449"/>
      <c r="AI107" s="909"/>
      <c r="AJ107" s="912">
        <f>SUM(AJ108:AJ112)</f>
        <v>0</v>
      </c>
      <c r="AK107" s="909"/>
      <c r="AL107" s="912">
        <f>SUM(AL108:AL112)</f>
        <v>0</v>
      </c>
      <c r="AM107" s="909"/>
      <c r="AN107" s="912">
        <f>SUM(AN108:AN112)</f>
        <v>0</v>
      </c>
      <c r="AO107" s="909"/>
      <c r="AP107" s="912">
        <f>SUM(AP108:AP112)</f>
        <v>0</v>
      </c>
      <c r="AR107" s="912">
        <f>SUM(AR108:AR112)</f>
        <v>0</v>
      </c>
      <c r="AS107" s="909"/>
      <c r="AT107" s="912">
        <f>SUM(AT108:AT112)</f>
        <v>0</v>
      </c>
      <c r="AU107" s="909"/>
      <c r="AV107" s="912">
        <f>SUM(AV108:AV112)</f>
        <v>0</v>
      </c>
      <c r="AW107" s="909"/>
      <c r="AX107" s="912">
        <f>SUM(AX108:AX112)</f>
        <v>0</v>
      </c>
      <c r="AY107" s="909"/>
      <c r="AZ107" s="912">
        <f>SUM(AZ108:AZ112)</f>
        <v>0</v>
      </c>
      <c r="BA107" s="909"/>
      <c r="BB107" s="912">
        <f>SUM(BB108:BB112)</f>
        <v>0</v>
      </c>
      <c r="BC107" s="909"/>
      <c r="BD107" s="912">
        <f>SUM(BD108:BD112)</f>
        <v>0</v>
      </c>
      <c r="BF107" s="912">
        <f>ROUND(SUM(BF108:BF112),0)</f>
        <v>0</v>
      </c>
      <c r="BI107" s="437">
        <f t="shared" ref="BI107:BI112" si="68">A107</f>
        <v>500</v>
      </c>
    </row>
    <row r="108" spans="1:61" ht="15">
      <c r="A108" s="437">
        <f t="shared" ref="A108:A111" si="69">A107+1</f>
        <v>501</v>
      </c>
      <c r="B108" s="788"/>
      <c r="F108" s="917" t="s">
        <v>1533</v>
      </c>
      <c r="H108" s="914"/>
      <c r="J108" s="914"/>
      <c r="K108" s="909"/>
      <c r="L108" s="914"/>
      <c r="M108" s="909"/>
      <c r="N108" s="914"/>
      <c r="P108" s="921" t="s">
        <v>1530</v>
      </c>
      <c r="R108" s="909">
        <f>+N108</f>
        <v>0</v>
      </c>
      <c r="S108" s="909"/>
      <c r="T108" s="909">
        <v>0</v>
      </c>
      <c r="U108" s="909"/>
      <c r="V108" s="909">
        <v>0</v>
      </c>
      <c r="W108" s="909"/>
      <c r="X108" s="909">
        <f>SUM(R108:V108)</f>
        <v>0</v>
      </c>
      <c r="Y108" s="909"/>
      <c r="Z108" s="449" t="s">
        <v>831</v>
      </c>
      <c r="AA108" s="909"/>
      <c r="AB108" s="914"/>
      <c r="AC108" s="909"/>
      <c r="AD108" s="909">
        <v>0</v>
      </c>
      <c r="AE108" s="909"/>
      <c r="AF108" s="909">
        <v>0</v>
      </c>
      <c r="AG108" s="909"/>
      <c r="AH108" s="449" t="s">
        <v>1531</v>
      </c>
      <c r="AI108" s="909"/>
      <c r="AJ108" s="448">
        <f t="shared" ref="AJ108:AJ113" si="70">+R108-AB108</f>
        <v>0</v>
      </c>
      <c r="AK108" s="909"/>
      <c r="AL108" s="448">
        <f t="shared" ref="AL108:AL113" si="71">+T108-AD108</f>
        <v>0</v>
      </c>
      <c r="AM108" s="909"/>
      <c r="AN108" s="448">
        <f t="shared" ref="AN108:AN113" si="72">+V108-AF108</f>
        <v>0</v>
      </c>
      <c r="AO108" s="909"/>
      <c r="AP108" s="909">
        <f t="shared" ref="AP108:AP113" si="73">SUM(AJ108:AN108)</f>
        <v>0</v>
      </c>
      <c r="AR108" s="914"/>
      <c r="AS108" s="909"/>
      <c r="AT108" s="909">
        <v>0</v>
      </c>
      <c r="AU108" s="909"/>
      <c r="AV108" s="909">
        <v>0</v>
      </c>
      <c r="AW108" s="909"/>
      <c r="AX108" s="448">
        <f t="shared" ref="AX108:AX113" si="74">+AJ108-AR108</f>
        <v>0</v>
      </c>
      <c r="AY108" s="909"/>
      <c r="AZ108" s="448">
        <f t="shared" ref="AZ108:AZ113" si="75">+AL108-AT108</f>
        <v>0</v>
      </c>
      <c r="BA108" s="909"/>
      <c r="BB108" s="448">
        <f t="shared" ref="BB108:BB113" si="76">+AN108-AV108</f>
        <v>0</v>
      </c>
      <c r="BC108" s="909"/>
      <c r="BD108" s="909">
        <f>SUM(AX108:BB108)</f>
        <v>0</v>
      </c>
      <c r="BF108" s="909">
        <f>+BD108*$BF$10</f>
        <v>0</v>
      </c>
      <c r="BI108" s="437">
        <f t="shared" si="68"/>
        <v>501</v>
      </c>
    </row>
    <row r="109" spans="1:61" ht="15">
      <c r="A109" s="437">
        <f t="shared" si="69"/>
        <v>502</v>
      </c>
      <c r="B109" s="915"/>
      <c r="F109" s="917"/>
      <c r="H109" s="914"/>
      <c r="J109" s="914"/>
      <c r="K109" s="909"/>
      <c r="L109" s="914"/>
      <c r="M109" s="909"/>
      <c r="N109" s="914"/>
      <c r="P109" s="921"/>
      <c r="R109" s="909">
        <v>0</v>
      </c>
      <c r="S109" s="909"/>
      <c r="T109" s="909">
        <v>0</v>
      </c>
      <c r="U109" s="909"/>
      <c r="V109" s="909">
        <v>0</v>
      </c>
      <c r="W109" s="909"/>
      <c r="X109" s="909">
        <f t="shared" ref="X109:X112" si="77">SUM(R109:V109)</f>
        <v>0</v>
      </c>
      <c r="Y109" s="909"/>
      <c r="Z109" s="449"/>
      <c r="AA109" s="909"/>
      <c r="AB109" s="914"/>
      <c r="AC109" s="909"/>
      <c r="AD109" s="909">
        <v>0</v>
      </c>
      <c r="AE109" s="909"/>
      <c r="AF109" s="909">
        <v>0</v>
      </c>
      <c r="AG109" s="909"/>
      <c r="AH109" s="449"/>
      <c r="AI109" s="909"/>
      <c r="AJ109" s="448">
        <f t="shared" si="70"/>
        <v>0</v>
      </c>
      <c r="AK109" s="909"/>
      <c r="AL109" s="448">
        <f t="shared" si="71"/>
        <v>0</v>
      </c>
      <c r="AM109" s="909"/>
      <c r="AN109" s="448">
        <f t="shared" si="72"/>
        <v>0</v>
      </c>
      <c r="AO109" s="909"/>
      <c r="AP109" s="909">
        <f t="shared" si="73"/>
        <v>0</v>
      </c>
      <c r="AR109" s="914"/>
      <c r="AS109" s="909"/>
      <c r="AT109" s="909">
        <v>0</v>
      </c>
      <c r="AU109" s="909"/>
      <c r="AV109" s="909">
        <v>0</v>
      </c>
      <c r="AW109" s="909"/>
      <c r="AX109" s="448">
        <f t="shared" si="74"/>
        <v>0</v>
      </c>
      <c r="AY109" s="909"/>
      <c r="AZ109" s="448">
        <f t="shared" si="75"/>
        <v>0</v>
      </c>
      <c r="BA109" s="909"/>
      <c r="BB109" s="448">
        <f t="shared" si="76"/>
        <v>0</v>
      </c>
      <c r="BC109" s="909"/>
      <c r="BD109" s="909">
        <f t="shared" ref="BD109:BD112" si="78">SUM(AX109:BB109)</f>
        <v>0</v>
      </c>
      <c r="BF109" s="909">
        <f>+BD109*$BF$10</f>
        <v>0</v>
      </c>
      <c r="BI109" s="437">
        <f t="shared" si="68"/>
        <v>502</v>
      </c>
    </row>
    <row r="110" spans="1:61" ht="15">
      <c r="A110" s="437">
        <f t="shared" si="69"/>
        <v>503</v>
      </c>
      <c r="B110" s="915" t="s">
        <v>370</v>
      </c>
      <c r="F110" s="917"/>
      <c r="H110" s="914"/>
      <c r="J110" s="914"/>
      <c r="K110" s="909"/>
      <c r="L110" s="914"/>
      <c r="M110" s="909"/>
      <c r="N110" s="914"/>
      <c r="P110" s="921"/>
      <c r="R110" s="909">
        <v>0</v>
      </c>
      <c r="S110" s="909"/>
      <c r="T110" s="909">
        <v>0</v>
      </c>
      <c r="U110" s="909"/>
      <c r="V110" s="909">
        <v>0</v>
      </c>
      <c r="W110" s="909"/>
      <c r="X110" s="909">
        <f t="shared" si="77"/>
        <v>0</v>
      </c>
      <c r="Y110" s="909"/>
      <c r="Z110" s="449"/>
      <c r="AA110" s="909"/>
      <c r="AB110" s="914"/>
      <c r="AC110" s="909"/>
      <c r="AD110" s="909">
        <v>0</v>
      </c>
      <c r="AE110" s="909"/>
      <c r="AF110" s="909">
        <v>0</v>
      </c>
      <c r="AG110" s="909"/>
      <c r="AH110" s="449"/>
      <c r="AI110" s="909"/>
      <c r="AJ110" s="448">
        <f t="shared" si="70"/>
        <v>0</v>
      </c>
      <c r="AK110" s="909"/>
      <c r="AL110" s="448">
        <f t="shared" si="71"/>
        <v>0</v>
      </c>
      <c r="AM110" s="909"/>
      <c r="AN110" s="448">
        <f t="shared" si="72"/>
        <v>0</v>
      </c>
      <c r="AO110" s="909"/>
      <c r="AP110" s="909">
        <f t="shared" si="73"/>
        <v>0</v>
      </c>
      <c r="AR110" s="914"/>
      <c r="AS110" s="909"/>
      <c r="AT110" s="909">
        <v>0</v>
      </c>
      <c r="AU110" s="909"/>
      <c r="AV110" s="909">
        <v>0</v>
      </c>
      <c r="AW110" s="909"/>
      <c r="AX110" s="448">
        <f t="shared" si="74"/>
        <v>0</v>
      </c>
      <c r="AY110" s="909"/>
      <c r="AZ110" s="448">
        <f t="shared" si="75"/>
        <v>0</v>
      </c>
      <c r="BA110" s="909"/>
      <c r="BB110" s="448">
        <f t="shared" si="76"/>
        <v>0</v>
      </c>
      <c r="BC110" s="909"/>
      <c r="BD110" s="909">
        <f t="shared" si="78"/>
        <v>0</v>
      </c>
      <c r="BF110" s="909">
        <f>+BD109*$BF$10</f>
        <v>0</v>
      </c>
      <c r="BI110" s="437">
        <f t="shared" si="68"/>
        <v>503</v>
      </c>
    </row>
    <row r="111" spans="1:61" ht="15">
      <c r="A111" s="437">
        <f t="shared" si="69"/>
        <v>504</v>
      </c>
      <c r="B111" s="915" t="s">
        <v>370</v>
      </c>
      <c r="F111" s="910"/>
      <c r="H111" s="914"/>
      <c r="J111" s="914"/>
      <c r="K111" s="909"/>
      <c r="L111" s="914"/>
      <c r="M111" s="909"/>
      <c r="N111" s="914"/>
      <c r="P111" s="918"/>
      <c r="R111" s="909">
        <v>0</v>
      </c>
      <c r="S111" s="909"/>
      <c r="T111" s="909">
        <v>0</v>
      </c>
      <c r="U111" s="909"/>
      <c r="V111" s="909">
        <v>0</v>
      </c>
      <c r="W111" s="909"/>
      <c r="X111" s="909">
        <f t="shared" si="77"/>
        <v>0</v>
      </c>
      <c r="Y111" s="909"/>
      <c r="Z111" s="449"/>
      <c r="AA111" s="909"/>
      <c r="AB111" s="914"/>
      <c r="AC111" s="909"/>
      <c r="AD111" s="909">
        <v>0</v>
      </c>
      <c r="AE111" s="909"/>
      <c r="AF111" s="909">
        <v>0</v>
      </c>
      <c r="AG111" s="909"/>
      <c r="AH111" s="449"/>
      <c r="AI111" s="909"/>
      <c r="AJ111" s="448">
        <f t="shared" si="70"/>
        <v>0</v>
      </c>
      <c r="AK111" s="909"/>
      <c r="AL111" s="448">
        <f t="shared" si="71"/>
        <v>0</v>
      </c>
      <c r="AM111" s="909"/>
      <c r="AN111" s="448">
        <f t="shared" si="72"/>
        <v>0</v>
      </c>
      <c r="AO111" s="909"/>
      <c r="AP111" s="909">
        <f t="shared" si="73"/>
        <v>0</v>
      </c>
      <c r="AR111" s="914"/>
      <c r="AS111" s="909"/>
      <c r="AT111" s="909">
        <v>0</v>
      </c>
      <c r="AU111" s="909"/>
      <c r="AV111" s="909">
        <v>0</v>
      </c>
      <c r="AW111" s="909"/>
      <c r="AX111" s="448">
        <f t="shared" si="74"/>
        <v>0</v>
      </c>
      <c r="AY111" s="909"/>
      <c r="AZ111" s="448">
        <f t="shared" si="75"/>
        <v>0</v>
      </c>
      <c r="BA111" s="909"/>
      <c r="BB111" s="448">
        <f t="shared" si="76"/>
        <v>0</v>
      </c>
      <c r="BC111" s="909"/>
      <c r="BD111" s="909">
        <f t="shared" si="78"/>
        <v>0</v>
      </c>
      <c r="BF111" s="909">
        <f>+BD110*$BF$10</f>
        <v>0</v>
      </c>
      <c r="BI111" s="437">
        <f t="shared" si="68"/>
        <v>504</v>
      </c>
    </row>
    <row r="112" spans="1:61" ht="15">
      <c r="A112" s="437">
        <f>+A111+1</f>
        <v>505</v>
      </c>
      <c r="B112" s="915" t="s">
        <v>370</v>
      </c>
      <c r="F112" s="910"/>
      <c r="H112" s="914"/>
      <c r="J112" s="914"/>
      <c r="K112" s="909"/>
      <c r="L112" s="914"/>
      <c r="M112" s="909"/>
      <c r="N112" s="914"/>
      <c r="P112" s="918"/>
      <c r="R112" s="909">
        <v>0</v>
      </c>
      <c r="S112" s="909"/>
      <c r="T112" s="909">
        <v>0</v>
      </c>
      <c r="U112" s="909"/>
      <c r="V112" s="909">
        <v>0</v>
      </c>
      <c r="W112" s="909"/>
      <c r="X112" s="909">
        <f t="shared" si="77"/>
        <v>0</v>
      </c>
      <c r="Y112" s="909"/>
      <c r="Z112" s="449"/>
      <c r="AA112" s="909"/>
      <c r="AB112" s="914"/>
      <c r="AC112" s="909"/>
      <c r="AD112" s="909">
        <v>0</v>
      </c>
      <c r="AE112" s="909"/>
      <c r="AF112" s="909">
        <v>0</v>
      </c>
      <c r="AG112" s="909"/>
      <c r="AH112" s="449"/>
      <c r="AI112" s="909"/>
      <c r="AJ112" s="448">
        <f t="shared" si="70"/>
        <v>0</v>
      </c>
      <c r="AK112" s="909"/>
      <c r="AL112" s="448">
        <f t="shared" si="71"/>
        <v>0</v>
      </c>
      <c r="AM112" s="909"/>
      <c r="AN112" s="448">
        <f t="shared" si="72"/>
        <v>0</v>
      </c>
      <c r="AO112" s="909"/>
      <c r="AP112" s="909">
        <f t="shared" si="73"/>
        <v>0</v>
      </c>
      <c r="AR112" s="914"/>
      <c r="AS112" s="909"/>
      <c r="AT112" s="909">
        <v>0</v>
      </c>
      <c r="AU112" s="909"/>
      <c r="AV112" s="909">
        <v>0</v>
      </c>
      <c r="AW112" s="909"/>
      <c r="AX112" s="448">
        <f t="shared" si="74"/>
        <v>0</v>
      </c>
      <c r="AY112" s="909"/>
      <c r="AZ112" s="448">
        <f t="shared" si="75"/>
        <v>0</v>
      </c>
      <c r="BA112" s="909"/>
      <c r="BB112" s="448">
        <f t="shared" si="76"/>
        <v>0</v>
      </c>
      <c r="BC112" s="909"/>
      <c r="BD112" s="909">
        <f t="shared" si="78"/>
        <v>0</v>
      </c>
      <c r="BF112" s="909">
        <f>+BD111*$BF$10</f>
        <v>0</v>
      </c>
      <c r="BI112" s="437">
        <f t="shared" si="68"/>
        <v>505</v>
      </c>
    </row>
    <row r="113" spans="1:61" ht="15">
      <c r="A113" s="437"/>
      <c r="B113" s="784"/>
      <c r="F113" s="910"/>
      <c r="H113" s="909"/>
      <c r="J113" s="909"/>
      <c r="K113" s="909"/>
      <c r="L113" s="909"/>
      <c r="M113" s="909"/>
      <c r="N113" s="909"/>
      <c r="P113" s="918"/>
      <c r="R113" s="909"/>
      <c r="S113" s="909"/>
      <c r="T113" s="909"/>
      <c r="U113" s="909"/>
      <c r="V113" s="909"/>
      <c r="W113" s="909"/>
      <c r="X113" s="909"/>
      <c r="Y113" s="909"/>
      <c r="Z113" s="449"/>
      <c r="AA113" s="909"/>
      <c r="AB113" s="909"/>
      <c r="AC113" s="909"/>
      <c r="AD113" s="909"/>
      <c r="AE113" s="909"/>
      <c r="AF113" s="909"/>
      <c r="AG113" s="909"/>
      <c r="AH113" s="449"/>
      <c r="AI113" s="909"/>
      <c r="AJ113" s="909">
        <f t="shared" si="70"/>
        <v>0</v>
      </c>
      <c r="AK113" s="909"/>
      <c r="AL113" s="909">
        <f t="shared" si="71"/>
        <v>0</v>
      </c>
      <c r="AM113" s="909"/>
      <c r="AN113" s="909">
        <f t="shared" si="72"/>
        <v>0</v>
      </c>
      <c r="AO113" s="909"/>
      <c r="AP113" s="909">
        <f t="shared" si="73"/>
        <v>0</v>
      </c>
      <c r="AR113" s="909"/>
      <c r="AS113" s="909"/>
      <c r="AT113" s="909"/>
      <c r="AU113" s="909"/>
      <c r="AV113" s="909"/>
      <c r="AW113" s="909"/>
      <c r="AX113" s="909">
        <f t="shared" si="74"/>
        <v>0</v>
      </c>
      <c r="AY113" s="909"/>
      <c r="AZ113" s="909">
        <f t="shared" si="75"/>
        <v>0</v>
      </c>
      <c r="BA113" s="909"/>
      <c r="BB113" s="909">
        <f t="shared" si="76"/>
        <v>0</v>
      </c>
      <c r="BC113" s="909"/>
      <c r="BD113" s="909"/>
      <c r="BF113" s="909"/>
      <c r="BI113" s="437"/>
    </row>
    <row r="114" spans="1:61" ht="15">
      <c r="A114" s="787" t="s">
        <v>86</v>
      </c>
      <c r="F114" s="910"/>
      <c r="H114" s="908"/>
      <c r="P114" s="918"/>
      <c r="Z114" s="896"/>
      <c r="AH114" s="896"/>
      <c r="BI114" s="907" t="s">
        <v>86</v>
      </c>
    </row>
    <row r="115" spans="1:61" ht="15">
      <c r="A115" s="437">
        <f>A107+100</f>
        <v>600</v>
      </c>
      <c r="B115" s="911" t="s">
        <v>836</v>
      </c>
      <c r="F115" s="910"/>
      <c r="H115" s="912">
        <f>SUM(H116:H120)</f>
        <v>0</v>
      </c>
      <c r="J115" s="912">
        <f>SUM(J116:J120)</f>
        <v>0</v>
      </c>
      <c r="K115" s="909"/>
      <c r="L115" s="912">
        <f>SUM(L116:L120)</f>
        <v>0</v>
      </c>
      <c r="M115" s="909"/>
      <c r="N115" s="912">
        <f>SUM(N116:N120)</f>
        <v>0</v>
      </c>
      <c r="O115" s="437"/>
      <c r="P115" s="784"/>
      <c r="Q115" s="437"/>
      <c r="R115" s="912">
        <f>SUM(R116:R120)</f>
        <v>0</v>
      </c>
      <c r="S115" s="909"/>
      <c r="T115" s="912">
        <f>SUM(T116:T120)</f>
        <v>0</v>
      </c>
      <c r="U115" s="909"/>
      <c r="V115" s="912">
        <f>SUM(V116:V120)</f>
        <v>0</v>
      </c>
      <c r="W115" s="909"/>
      <c r="X115" s="912">
        <f>SUM(X116:X120)</f>
        <v>0</v>
      </c>
      <c r="Y115" s="909"/>
      <c r="Z115" s="449"/>
      <c r="AA115" s="909"/>
      <c r="AB115" s="912">
        <f>SUM(AB116:AB120)</f>
        <v>0</v>
      </c>
      <c r="AC115" s="909"/>
      <c r="AD115" s="912">
        <f>SUM(AD116:AD120)</f>
        <v>0</v>
      </c>
      <c r="AE115" s="909"/>
      <c r="AF115" s="912">
        <f>SUM(AF116:AF120)</f>
        <v>0</v>
      </c>
      <c r="AG115" s="909"/>
      <c r="AH115" s="449"/>
      <c r="AI115" s="909"/>
      <c r="AJ115" s="912">
        <f>SUM(AJ116:AJ120)</f>
        <v>0</v>
      </c>
      <c r="AK115" s="909"/>
      <c r="AL115" s="912">
        <f>SUM(AL116:AL120)</f>
        <v>0</v>
      </c>
      <c r="AM115" s="909"/>
      <c r="AN115" s="912">
        <f>SUM(AN116:AN120)</f>
        <v>0</v>
      </c>
      <c r="AO115" s="909"/>
      <c r="AP115" s="912">
        <f>SUM(AP116:AP120)</f>
        <v>0</v>
      </c>
      <c r="AR115" s="912">
        <f>SUM(AR116:AR120)</f>
        <v>0</v>
      </c>
      <c r="AS115" s="909"/>
      <c r="AT115" s="912">
        <f>SUM(AT116:AT120)</f>
        <v>0</v>
      </c>
      <c r="AU115" s="909"/>
      <c r="AV115" s="912">
        <f>SUM(AV116:AV120)</f>
        <v>0</v>
      </c>
      <c r="AW115" s="909"/>
      <c r="AX115" s="912">
        <f>SUM(AX116:AX120)</f>
        <v>0</v>
      </c>
      <c r="AY115" s="909"/>
      <c r="AZ115" s="912">
        <f>SUM(AZ116:AZ120)</f>
        <v>0</v>
      </c>
      <c r="BA115" s="909"/>
      <c r="BB115" s="912">
        <f>SUM(BB116:BB120)</f>
        <v>0</v>
      </c>
      <c r="BC115" s="909"/>
      <c r="BD115" s="912">
        <f>SUM(BD116:BD120)</f>
        <v>0</v>
      </c>
      <c r="BF115" s="912">
        <f>SUM(BF116:BF120)</f>
        <v>0</v>
      </c>
      <c r="BI115" s="437">
        <f t="shared" ref="BI115:BI120" si="79">A115</f>
        <v>600</v>
      </c>
    </row>
    <row r="116" spans="1:61" ht="15">
      <c r="A116" s="437">
        <f t="shared" ref="A116:A119" si="80">A115+1</f>
        <v>601</v>
      </c>
      <c r="B116" s="913"/>
      <c r="F116" s="918" t="s">
        <v>1524</v>
      </c>
      <c r="H116" s="914"/>
      <c r="J116" s="914"/>
      <c r="K116" s="909"/>
      <c r="L116" s="914"/>
      <c r="M116" s="909"/>
      <c r="N116" s="914"/>
      <c r="P116" s="918" t="s">
        <v>845</v>
      </c>
      <c r="R116" s="909">
        <v>0</v>
      </c>
      <c r="S116" s="909"/>
      <c r="T116" s="909">
        <f>+N116</f>
        <v>0</v>
      </c>
      <c r="U116" s="909"/>
      <c r="V116" s="909">
        <v>0</v>
      </c>
      <c r="W116" s="909"/>
      <c r="X116" s="909">
        <f>SUM(R116:V116)</f>
        <v>0</v>
      </c>
      <c r="Y116" s="909"/>
      <c r="Z116" s="449"/>
      <c r="AA116" s="909"/>
      <c r="AB116" s="914"/>
      <c r="AC116" s="909"/>
      <c r="AD116" s="914"/>
      <c r="AE116" s="909"/>
      <c r="AF116" s="914"/>
      <c r="AG116" s="909"/>
      <c r="AH116" s="449" t="s">
        <v>856</v>
      </c>
      <c r="AI116" s="909"/>
      <c r="AJ116" s="448">
        <f t="shared" ref="AJ116:AJ120" si="81">+R116-AB116</f>
        <v>0</v>
      </c>
      <c r="AK116" s="909"/>
      <c r="AL116" s="448">
        <f t="shared" ref="AL116:AL120" si="82">+T116-AD116</f>
        <v>0</v>
      </c>
      <c r="AM116" s="909"/>
      <c r="AN116" s="448">
        <f t="shared" ref="AN116:AN120" si="83">+V116-AF116</f>
        <v>0</v>
      </c>
      <c r="AO116" s="909"/>
      <c r="AP116" s="909">
        <f t="shared" ref="AP116:AP120" si="84">SUM(AJ116:AN116)</f>
        <v>0</v>
      </c>
      <c r="AR116" s="914"/>
      <c r="AS116" s="909"/>
      <c r="AT116" s="914"/>
      <c r="AU116" s="909"/>
      <c r="AV116" s="914"/>
      <c r="AW116" s="909"/>
      <c r="AX116" s="448">
        <f>+AJ116-AR116</f>
        <v>0</v>
      </c>
      <c r="AY116" s="909"/>
      <c r="AZ116" s="448">
        <f>+AL116-AT116</f>
        <v>0</v>
      </c>
      <c r="BA116" s="909"/>
      <c r="BB116" s="448">
        <f>+AN116-AV116</f>
        <v>0</v>
      </c>
      <c r="BC116" s="909"/>
      <c r="BD116" s="909">
        <f>SUM(AX116:BB116)</f>
        <v>0</v>
      </c>
      <c r="BF116" s="909">
        <f>+BD116*$BF$10</f>
        <v>0</v>
      </c>
      <c r="BI116" s="437">
        <f t="shared" si="79"/>
        <v>601</v>
      </c>
    </row>
    <row r="117" spans="1:61" ht="15">
      <c r="A117" s="437">
        <f t="shared" si="80"/>
        <v>602</v>
      </c>
      <c r="B117" s="913"/>
      <c r="F117" s="918" t="s">
        <v>1524</v>
      </c>
      <c r="H117" s="914"/>
      <c r="J117" s="914"/>
      <c r="K117" s="909"/>
      <c r="L117" s="914"/>
      <c r="M117" s="909"/>
      <c r="N117" s="914"/>
      <c r="P117" s="918" t="s">
        <v>845</v>
      </c>
      <c r="R117" s="909">
        <v>0</v>
      </c>
      <c r="S117" s="909"/>
      <c r="T117" s="909">
        <f>+N117</f>
        <v>0</v>
      </c>
      <c r="U117" s="909"/>
      <c r="V117" s="909">
        <v>0</v>
      </c>
      <c r="W117" s="909"/>
      <c r="X117" s="909">
        <f t="shared" ref="X117:X120" si="85">SUM(R117:V117)</f>
        <v>0</v>
      </c>
      <c r="Y117" s="909"/>
      <c r="Z117" s="449"/>
      <c r="AA117" s="909"/>
      <c r="AB117" s="914"/>
      <c r="AC117" s="909"/>
      <c r="AD117" s="914"/>
      <c r="AE117" s="909"/>
      <c r="AF117" s="914"/>
      <c r="AG117" s="909"/>
      <c r="AH117" s="449" t="s">
        <v>856</v>
      </c>
      <c r="AI117" s="909"/>
      <c r="AJ117" s="448">
        <f t="shared" si="81"/>
        <v>0</v>
      </c>
      <c r="AK117" s="909"/>
      <c r="AL117" s="448">
        <f t="shared" si="82"/>
        <v>0</v>
      </c>
      <c r="AM117" s="909"/>
      <c r="AN117" s="448">
        <f t="shared" si="83"/>
        <v>0</v>
      </c>
      <c r="AO117" s="909"/>
      <c r="AP117" s="909">
        <f t="shared" si="84"/>
        <v>0</v>
      </c>
      <c r="AR117" s="914"/>
      <c r="AS117" s="909"/>
      <c r="AT117" s="914"/>
      <c r="AU117" s="909"/>
      <c r="AV117" s="914"/>
      <c r="AW117" s="909"/>
      <c r="AX117" s="448">
        <f>+AJ117-AR117</f>
        <v>0</v>
      </c>
      <c r="AY117" s="909"/>
      <c r="AZ117" s="448">
        <f>+AL117-AT117</f>
        <v>0</v>
      </c>
      <c r="BA117" s="909"/>
      <c r="BB117" s="448">
        <f>+AN117-AV117</f>
        <v>0</v>
      </c>
      <c r="BC117" s="909"/>
      <c r="BD117" s="909">
        <f t="shared" ref="BD117:BD120" si="86">SUM(AX117:BB117)</f>
        <v>0</v>
      </c>
      <c r="BF117" s="909">
        <f>+BD117*$BF$10</f>
        <v>0</v>
      </c>
      <c r="BI117" s="437">
        <f t="shared" si="79"/>
        <v>602</v>
      </c>
    </row>
    <row r="118" spans="1:61" ht="15">
      <c r="A118" s="437">
        <f t="shared" si="80"/>
        <v>603</v>
      </c>
      <c r="B118" s="913"/>
      <c r="F118" s="910"/>
      <c r="H118" s="914"/>
      <c r="J118" s="914"/>
      <c r="K118" s="909"/>
      <c r="L118" s="914"/>
      <c r="M118" s="909"/>
      <c r="N118" s="914"/>
      <c r="P118" s="918"/>
      <c r="R118" s="909">
        <f t="shared" ref="R118:R119" si="87">+N118</f>
        <v>0</v>
      </c>
      <c r="S118" s="909"/>
      <c r="T118" s="909">
        <v>0</v>
      </c>
      <c r="U118" s="909"/>
      <c r="V118" s="909">
        <v>0</v>
      </c>
      <c r="W118" s="909"/>
      <c r="X118" s="909">
        <f t="shared" si="85"/>
        <v>0</v>
      </c>
      <c r="Y118" s="909"/>
      <c r="Z118" s="449"/>
      <c r="AA118" s="909"/>
      <c r="AB118" s="914"/>
      <c r="AC118" s="909"/>
      <c r="AD118" s="914"/>
      <c r="AE118" s="909"/>
      <c r="AF118" s="914"/>
      <c r="AG118" s="909"/>
      <c r="AH118" s="449"/>
      <c r="AI118" s="909"/>
      <c r="AJ118" s="448">
        <f t="shared" si="81"/>
        <v>0</v>
      </c>
      <c r="AK118" s="909"/>
      <c r="AL118" s="448">
        <f t="shared" si="82"/>
        <v>0</v>
      </c>
      <c r="AM118" s="909"/>
      <c r="AN118" s="448">
        <f t="shared" si="83"/>
        <v>0</v>
      </c>
      <c r="AO118" s="909"/>
      <c r="AP118" s="909">
        <f t="shared" si="84"/>
        <v>0</v>
      </c>
      <c r="AR118" s="914"/>
      <c r="AS118" s="909"/>
      <c r="AT118" s="914"/>
      <c r="AU118" s="909"/>
      <c r="AV118" s="914"/>
      <c r="AW118" s="909"/>
      <c r="AX118" s="448">
        <f>+AJ118-AR118</f>
        <v>0</v>
      </c>
      <c r="AY118" s="909"/>
      <c r="AZ118" s="448">
        <f>+AL118-AT118</f>
        <v>0</v>
      </c>
      <c r="BA118" s="909"/>
      <c r="BB118" s="448">
        <f>+AN118-AV118</f>
        <v>0</v>
      </c>
      <c r="BC118" s="909"/>
      <c r="BD118" s="909">
        <f t="shared" si="86"/>
        <v>0</v>
      </c>
      <c r="BF118" s="909">
        <f>+N118*$BF$10</f>
        <v>0</v>
      </c>
      <c r="BI118" s="437">
        <f t="shared" si="79"/>
        <v>603</v>
      </c>
    </row>
    <row r="119" spans="1:61" ht="15">
      <c r="A119" s="437">
        <f t="shared" si="80"/>
        <v>604</v>
      </c>
      <c r="B119" s="915" t="s">
        <v>370</v>
      </c>
      <c r="F119" s="910"/>
      <c r="H119" s="914"/>
      <c r="J119" s="914"/>
      <c r="K119" s="909"/>
      <c r="L119" s="914"/>
      <c r="M119" s="909"/>
      <c r="N119" s="914"/>
      <c r="P119" s="918"/>
      <c r="R119" s="909">
        <f t="shared" si="87"/>
        <v>0</v>
      </c>
      <c r="S119" s="909"/>
      <c r="T119" s="909">
        <v>0</v>
      </c>
      <c r="U119" s="909"/>
      <c r="V119" s="909">
        <v>0</v>
      </c>
      <c r="W119" s="909"/>
      <c r="X119" s="909">
        <f t="shared" si="85"/>
        <v>0</v>
      </c>
      <c r="Y119" s="909"/>
      <c r="Z119" s="449"/>
      <c r="AA119" s="909"/>
      <c r="AB119" s="914"/>
      <c r="AC119" s="909"/>
      <c r="AD119" s="914"/>
      <c r="AE119" s="909"/>
      <c r="AF119" s="914"/>
      <c r="AG119" s="909"/>
      <c r="AH119" s="909"/>
      <c r="AI119" s="909"/>
      <c r="AJ119" s="448">
        <f t="shared" si="81"/>
        <v>0</v>
      </c>
      <c r="AK119" s="909"/>
      <c r="AL119" s="448">
        <f t="shared" si="82"/>
        <v>0</v>
      </c>
      <c r="AM119" s="909"/>
      <c r="AN119" s="448">
        <f t="shared" si="83"/>
        <v>0</v>
      </c>
      <c r="AO119" s="909"/>
      <c r="AP119" s="909">
        <f t="shared" si="84"/>
        <v>0</v>
      </c>
      <c r="AR119" s="914"/>
      <c r="AS119" s="909"/>
      <c r="AT119" s="914"/>
      <c r="AU119" s="909"/>
      <c r="AV119" s="914"/>
      <c r="AW119" s="909"/>
      <c r="AX119" s="448">
        <f>+AJ119-AR119</f>
        <v>0</v>
      </c>
      <c r="AY119" s="909"/>
      <c r="AZ119" s="448">
        <f>+AL119-AT119</f>
        <v>0</v>
      </c>
      <c r="BA119" s="909"/>
      <c r="BB119" s="448">
        <f>+AN119-AV119</f>
        <v>0</v>
      </c>
      <c r="BC119" s="909"/>
      <c r="BD119" s="909">
        <f t="shared" si="86"/>
        <v>0</v>
      </c>
      <c r="BF119" s="909">
        <f>+N118*$BF$10</f>
        <v>0</v>
      </c>
      <c r="BI119" s="437">
        <f t="shared" si="79"/>
        <v>604</v>
      </c>
    </row>
    <row r="120" spans="1:61" ht="15">
      <c r="A120" s="437">
        <f>+A119+1</f>
        <v>605</v>
      </c>
      <c r="B120" s="915" t="s">
        <v>370</v>
      </c>
      <c r="F120" s="910"/>
      <c r="H120" s="914"/>
      <c r="J120" s="914"/>
      <c r="K120" s="909"/>
      <c r="L120" s="914"/>
      <c r="M120" s="909"/>
      <c r="N120" s="914"/>
      <c r="P120" s="910"/>
      <c r="R120" s="909">
        <v>0</v>
      </c>
      <c r="S120" s="909"/>
      <c r="T120" s="909">
        <v>0</v>
      </c>
      <c r="U120" s="909"/>
      <c r="V120" s="909">
        <v>0</v>
      </c>
      <c r="W120" s="909"/>
      <c r="X120" s="909">
        <f t="shared" si="85"/>
        <v>0</v>
      </c>
      <c r="Y120" s="909"/>
      <c r="Z120" s="449"/>
      <c r="AA120" s="909"/>
      <c r="AB120" s="914"/>
      <c r="AC120" s="909"/>
      <c r="AD120" s="914"/>
      <c r="AE120" s="909"/>
      <c r="AF120" s="914"/>
      <c r="AG120" s="909"/>
      <c r="AH120" s="909"/>
      <c r="AI120" s="909"/>
      <c r="AJ120" s="448">
        <f t="shared" si="81"/>
        <v>0</v>
      </c>
      <c r="AK120" s="909"/>
      <c r="AL120" s="448">
        <f t="shared" si="82"/>
        <v>0</v>
      </c>
      <c r="AM120" s="909"/>
      <c r="AN120" s="448">
        <f t="shared" si="83"/>
        <v>0</v>
      </c>
      <c r="AO120" s="909"/>
      <c r="AP120" s="909">
        <f t="shared" si="84"/>
        <v>0</v>
      </c>
      <c r="AR120" s="914"/>
      <c r="AS120" s="909"/>
      <c r="AT120" s="914"/>
      <c r="AU120" s="909"/>
      <c r="AV120" s="914"/>
      <c r="AW120" s="909"/>
      <c r="AX120" s="448">
        <f>+AJ120-AR120</f>
        <v>0</v>
      </c>
      <c r="AY120" s="909"/>
      <c r="AZ120" s="448">
        <f>+AL120-AT120</f>
        <v>0</v>
      </c>
      <c r="BA120" s="909"/>
      <c r="BB120" s="448">
        <f>+AN120-AV120</f>
        <v>0</v>
      </c>
      <c r="BC120" s="909"/>
      <c r="BD120" s="909">
        <f t="shared" si="86"/>
        <v>0</v>
      </c>
      <c r="BF120" s="909">
        <f>+N119*$BF$10</f>
        <v>0</v>
      </c>
      <c r="BI120" s="437">
        <f t="shared" si="79"/>
        <v>605</v>
      </c>
    </row>
    <row r="121" spans="1:61" ht="15">
      <c r="A121" s="437"/>
      <c r="B121" s="784"/>
      <c r="H121" s="909"/>
      <c r="J121" s="909"/>
      <c r="K121" s="909"/>
      <c r="L121" s="909"/>
      <c r="M121" s="909"/>
      <c r="N121" s="909"/>
      <c r="R121" s="909"/>
      <c r="S121" s="909"/>
      <c r="T121" s="909"/>
      <c r="U121" s="909"/>
      <c r="V121" s="909"/>
      <c r="W121" s="909"/>
      <c r="X121" s="909"/>
      <c r="Y121" s="909"/>
      <c r="Z121" s="449"/>
      <c r="AA121" s="909"/>
      <c r="AB121" s="909"/>
      <c r="AC121" s="909"/>
      <c r="AD121" s="909"/>
      <c r="AE121" s="909"/>
      <c r="AF121" s="909"/>
      <c r="AG121" s="909"/>
      <c r="AH121" s="909"/>
      <c r="AI121" s="909"/>
      <c r="AJ121" s="448"/>
      <c r="AK121" s="909"/>
      <c r="AL121" s="448"/>
      <c r="AM121" s="909"/>
      <c r="AN121" s="448"/>
      <c r="AO121" s="909"/>
      <c r="AP121" s="909"/>
      <c r="AR121" s="909"/>
      <c r="AS121" s="909"/>
      <c r="AT121" s="909"/>
      <c r="AU121" s="909"/>
      <c r="AV121" s="909"/>
      <c r="AW121" s="909"/>
      <c r="AX121" s="448"/>
      <c r="AY121" s="909"/>
      <c r="AZ121" s="448"/>
      <c r="BA121" s="909"/>
      <c r="BB121" s="448"/>
      <c r="BC121" s="909"/>
      <c r="BD121" s="909"/>
      <c r="BI121" s="437"/>
    </row>
    <row r="122" spans="1:61" ht="15">
      <c r="A122" s="437"/>
      <c r="B122" s="784"/>
      <c r="H122" s="909"/>
      <c r="J122" s="909"/>
      <c r="K122" s="909"/>
      <c r="L122" s="909"/>
      <c r="M122" s="909"/>
      <c r="N122" s="909"/>
      <c r="R122" s="909"/>
      <c r="S122" s="909"/>
      <c r="T122" s="909"/>
      <c r="U122" s="909"/>
      <c r="V122" s="909"/>
      <c r="W122" s="909"/>
      <c r="X122" s="909"/>
      <c r="Y122" s="909"/>
      <c r="Z122" s="449"/>
      <c r="AA122" s="909"/>
      <c r="AB122" s="909"/>
      <c r="AC122" s="909"/>
      <c r="AD122" s="909"/>
      <c r="AE122" s="909"/>
      <c r="AF122" s="909"/>
      <c r="AG122" s="909"/>
      <c r="AH122" s="909"/>
      <c r="AI122" s="909"/>
      <c r="AJ122" s="448"/>
      <c r="AK122" s="909"/>
      <c r="AL122" s="448"/>
      <c r="AM122" s="909"/>
      <c r="AN122" s="448"/>
      <c r="AO122" s="909"/>
      <c r="AP122" s="909"/>
      <c r="AR122" s="909"/>
      <c r="AS122" s="909"/>
      <c r="AT122" s="909"/>
      <c r="AU122" s="909"/>
      <c r="AV122" s="909"/>
      <c r="AW122" s="909"/>
      <c r="AX122" s="448"/>
      <c r="AY122" s="909"/>
      <c r="AZ122" s="448"/>
      <c r="BA122" s="909"/>
      <c r="BB122" s="448"/>
      <c r="BC122" s="909"/>
      <c r="BD122" s="909"/>
      <c r="BI122" s="437"/>
    </row>
    <row r="123" spans="1:61">
      <c r="A123" s="927" t="s">
        <v>87</v>
      </c>
      <c r="B123" s="988" t="s">
        <v>1585</v>
      </c>
      <c r="C123" s="988"/>
      <c r="D123" s="988"/>
      <c r="E123" s="988"/>
      <c r="F123" s="988"/>
      <c r="G123" s="988"/>
      <c r="H123" s="988"/>
      <c r="I123" s="988"/>
      <c r="J123" s="988"/>
      <c r="K123" s="988"/>
      <c r="L123" s="988"/>
      <c r="Z123" s="896"/>
    </row>
    <row r="124" spans="1:61">
      <c r="A124" s="831" t="s">
        <v>1523</v>
      </c>
      <c r="B124" s="988" t="s">
        <v>1537</v>
      </c>
      <c r="C124" s="988"/>
      <c r="D124" s="988"/>
      <c r="E124" s="922"/>
      <c r="F124" s="922"/>
      <c r="G124" s="922"/>
      <c r="H124" s="922"/>
      <c r="I124" s="922"/>
      <c r="J124" s="922"/>
      <c r="K124" s="922"/>
      <c r="L124" s="922"/>
      <c r="Z124" s="896"/>
    </row>
    <row r="125" spans="1:61">
      <c r="A125" s="831" t="s">
        <v>1525</v>
      </c>
      <c r="B125" s="988" t="s">
        <v>1538</v>
      </c>
      <c r="C125" s="988"/>
      <c r="D125" s="988"/>
      <c r="E125" s="922"/>
      <c r="F125" s="922"/>
      <c r="G125" s="922"/>
      <c r="H125" s="922"/>
      <c r="I125" s="922"/>
      <c r="J125" s="922"/>
      <c r="K125" s="922"/>
      <c r="L125" s="922"/>
      <c r="Z125" s="896"/>
    </row>
    <row r="126" spans="1:61">
      <c r="A126" s="831" t="s">
        <v>1526</v>
      </c>
      <c r="B126" s="988" t="s">
        <v>1539</v>
      </c>
      <c r="C126" s="988"/>
      <c r="D126" s="988"/>
      <c r="E126" s="922"/>
      <c r="F126" s="922"/>
      <c r="G126" s="922"/>
      <c r="H126" s="922"/>
      <c r="I126" s="922"/>
      <c r="J126" s="922"/>
      <c r="K126" s="922"/>
      <c r="L126" s="922"/>
      <c r="Z126" s="896"/>
    </row>
    <row r="127" spans="1:61">
      <c r="A127" s="831" t="s">
        <v>1528</v>
      </c>
      <c r="B127" s="988" t="s">
        <v>1540</v>
      </c>
      <c r="C127" s="988"/>
      <c r="D127" s="988"/>
      <c r="E127" s="922"/>
      <c r="F127" s="922"/>
      <c r="G127" s="922"/>
      <c r="H127" s="922"/>
      <c r="I127" s="922"/>
      <c r="J127" s="922"/>
      <c r="K127" s="922"/>
      <c r="L127" s="922"/>
    </row>
    <row r="128" spans="1:61">
      <c r="A128" s="831" t="s">
        <v>1532</v>
      </c>
      <c r="B128" s="988" t="s">
        <v>1541</v>
      </c>
      <c r="C128" s="988"/>
      <c r="D128" s="988"/>
      <c r="E128" s="922"/>
      <c r="F128" s="922"/>
      <c r="G128" s="922"/>
      <c r="H128" s="922"/>
      <c r="I128" s="922"/>
      <c r="J128" s="922"/>
      <c r="K128" s="922"/>
      <c r="L128" s="922"/>
    </row>
    <row r="129" spans="1:12">
      <c r="A129" s="831" t="s">
        <v>1519</v>
      </c>
      <c r="B129" s="988" t="s">
        <v>1542</v>
      </c>
      <c r="C129" s="988"/>
      <c r="D129" s="988"/>
      <c r="E129" s="922"/>
      <c r="F129" s="922"/>
      <c r="G129" s="922"/>
      <c r="H129" s="922"/>
      <c r="I129" s="922"/>
      <c r="J129" s="922"/>
      <c r="K129" s="922"/>
      <c r="L129" s="922"/>
    </row>
    <row r="130" spans="1:12">
      <c r="A130" s="831" t="s">
        <v>1543</v>
      </c>
      <c r="B130" s="988" t="s">
        <v>1544</v>
      </c>
      <c r="C130" s="988"/>
      <c r="D130" s="988"/>
      <c r="E130" s="922"/>
      <c r="F130" s="922"/>
      <c r="G130" s="922"/>
      <c r="H130" s="922"/>
      <c r="I130" s="922"/>
      <c r="J130" s="922"/>
      <c r="K130" s="922"/>
      <c r="L130" s="922"/>
    </row>
    <row r="131" spans="1:12">
      <c r="A131" s="831" t="s">
        <v>1520</v>
      </c>
      <c r="B131" s="988" t="s">
        <v>1545</v>
      </c>
      <c r="C131" s="988"/>
      <c r="D131" s="988"/>
      <c r="E131" s="922"/>
      <c r="F131" s="922"/>
      <c r="G131" s="922"/>
      <c r="H131" s="922"/>
      <c r="I131" s="922"/>
      <c r="J131" s="922"/>
      <c r="K131" s="922"/>
      <c r="L131" s="922"/>
    </row>
    <row r="132" spans="1:12">
      <c r="A132" s="927" t="s">
        <v>1546</v>
      </c>
      <c r="B132" s="832" t="s">
        <v>1547</v>
      </c>
      <c r="C132" s="832"/>
      <c r="D132" s="832"/>
      <c r="E132" s="922"/>
      <c r="F132" s="922"/>
      <c r="G132" s="922"/>
      <c r="H132" s="922"/>
      <c r="I132" s="922"/>
      <c r="J132" s="922"/>
      <c r="K132" s="922"/>
      <c r="L132" s="922"/>
    </row>
  </sheetData>
  <mergeCells count="18">
    <mergeCell ref="B131:D131"/>
    <mergeCell ref="R7:X7"/>
    <mergeCell ref="AJ7:AP7"/>
    <mergeCell ref="AX7:BD7"/>
    <mergeCell ref="B123:L123"/>
    <mergeCell ref="B124:D124"/>
    <mergeCell ref="B125:D125"/>
    <mergeCell ref="B126:D126"/>
    <mergeCell ref="B127:D127"/>
    <mergeCell ref="B128:D128"/>
    <mergeCell ref="B129:D129"/>
    <mergeCell ref="B130:D130"/>
    <mergeCell ref="J4:N4"/>
    <mergeCell ref="R4:V4"/>
    <mergeCell ref="AJ4:AN4"/>
    <mergeCell ref="AX4:BB4"/>
    <mergeCell ref="AB6:AF6"/>
    <mergeCell ref="AR6:AV6"/>
  </mergeCells>
  <pageMargins left="0.7" right="0.7" top="0.75" bottom="0.75" header="0.3" footer="0.3"/>
  <pageSetup scale="28" orientation="portrait" r:id="rId1"/>
  <headerFooter>
    <oddHeader>&amp;C&amp;"-,Bold"Pacific Gas and Electric Company
Formula Rate Model
Schedule 17-RegAssets-3</oddHeader>
  </headerFooter>
  <colBreaks count="2" manualBreakCount="2">
    <brk id="15" max="1048575" man="1"/>
    <brk id="43" max="1048575" man="1"/>
  </colBreaks>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pageSetUpPr fitToPage="1"/>
  </sheetPr>
  <dimension ref="A1:R38"/>
  <sheetViews>
    <sheetView view="pageBreakPreview" topLeftCell="A9" zoomScale="70" zoomScaleNormal="90" zoomScaleSheetLayoutView="70" zoomScalePageLayoutView="80" workbookViewId="0">
      <pane ySplit="3" topLeftCell="A12" activePane="bottomLeft" state="frozen"/>
      <selection activeCell="G13" sqref="G13"/>
      <selection pane="bottomLeft" activeCell="G13" sqref="G13"/>
    </sheetView>
  </sheetViews>
  <sheetFormatPr defaultColWidth="9.140625" defaultRowHeight="15"/>
  <cols>
    <col min="1" max="1" width="7.140625" style="12" bestFit="1" customWidth="1"/>
    <col min="2" max="2" width="8.85546875" style="12" customWidth="1"/>
    <col min="3" max="3" width="40.140625" style="12" customWidth="1"/>
    <col min="4" max="4" width="18.7109375" style="12" bestFit="1" customWidth="1"/>
    <col min="5" max="6" width="20.5703125" style="12" bestFit="1" customWidth="1"/>
    <col min="7" max="7" width="20" style="12" bestFit="1" customWidth="1"/>
    <col min="8" max="8" width="18.7109375" style="12" bestFit="1" customWidth="1"/>
    <col min="9" max="9" width="19.140625" style="12" bestFit="1" customWidth="1"/>
    <col min="10" max="10" width="18.7109375" style="12" bestFit="1" customWidth="1"/>
    <col min="11" max="12" width="20.140625" style="12" bestFit="1" customWidth="1"/>
    <col min="13" max="13" width="20.140625" style="45" customWidth="1"/>
    <col min="14" max="14" width="18.28515625" style="45" customWidth="1"/>
    <col min="15" max="15" width="20.140625" style="45" customWidth="1"/>
    <col min="16" max="16" width="28.140625" style="45" customWidth="1"/>
    <col min="17" max="16384" width="9.140625" style="12"/>
  </cols>
  <sheetData>
    <row r="1" spans="1:17">
      <c r="B1" s="2" t="s">
        <v>453</v>
      </c>
      <c r="M1" s="8"/>
      <c r="P1" s="8" t="str">
        <f>CONCATENATE("Prior Year: ",'1-DRR'!$K$2)</f>
        <v>Prior Year: 2021</v>
      </c>
    </row>
    <row r="2" spans="1:17">
      <c r="B2" s="106" t="s">
        <v>122</v>
      </c>
      <c r="C2" s="63"/>
      <c r="L2" s="6"/>
      <c r="M2" s="6"/>
      <c r="N2" s="6"/>
      <c r="O2" s="6"/>
      <c r="P2" s="6"/>
    </row>
    <row r="4" spans="1:17" s="45" customFormat="1" ht="30">
      <c r="A4" s="3" t="s">
        <v>86</v>
      </c>
      <c r="D4" s="928" t="s">
        <v>1014</v>
      </c>
      <c r="E4" s="178" t="s">
        <v>1023</v>
      </c>
      <c r="F4" s="178" t="s">
        <v>1024</v>
      </c>
      <c r="G4" s="178" t="s">
        <v>1214</v>
      </c>
      <c r="Q4" s="3" t="str">
        <f>A4</f>
        <v>Line</v>
      </c>
    </row>
    <row r="5" spans="1:17" customFormat="1" ht="15" customHeight="1">
      <c r="A5" s="643">
        <v>100</v>
      </c>
      <c r="B5" s="184" t="s">
        <v>1658</v>
      </c>
      <c r="C5" s="2"/>
      <c r="D5" s="364">
        <f>L11</f>
        <v>3087054872.4997315</v>
      </c>
      <c r="E5" s="556">
        <f>M11</f>
        <v>2235722150.0976667</v>
      </c>
      <c r="F5" s="556">
        <f>N11</f>
        <v>795299778.94423544</v>
      </c>
      <c r="G5" s="556">
        <f>O11</f>
        <v>3031021929.0419021</v>
      </c>
      <c r="Q5" s="643">
        <f>A5</f>
        <v>100</v>
      </c>
    </row>
    <row r="6" spans="1:17" customFormat="1">
      <c r="A6" s="3"/>
      <c r="I6" s="647"/>
    </row>
    <row r="7" spans="1:17" customFormat="1">
      <c r="B7" s="3" t="s">
        <v>62</v>
      </c>
      <c r="C7" s="3" t="s">
        <v>63</v>
      </c>
      <c r="D7" s="3" t="s">
        <v>64</v>
      </c>
      <c r="E7" s="3" t="s">
        <v>65</v>
      </c>
      <c r="F7" s="3" t="s">
        <v>66</v>
      </c>
      <c r="G7" s="3" t="s">
        <v>67</v>
      </c>
      <c r="H7" s="3" t="s">
        <v>68</v>
      </c>
      <c r="I7" s="3" t="s">
        <v>69</v>
      </c>
      <c r="J7" s="3" t="s">
        <v>70</v>
      </c>
      <c r="K7" s="3" t="s">
        <v>141</v>
      </c>
      <c r="L7" s="3" t="s">
        <v>142</v>
      </c>
      <c r="M7" s="3" t="s">
        <v>143</v>
      </c>
      <c r="N7" s="3" t="s">
        <v>144</v>
      </c>
      <c r="O7" s="3" t="s">
        <v>145</v>
      </c>
      <c r="P7" s="3" t="s">
        <v>452</v>
      </c>
    </row>
    <row r="8" spans="1:17" customFormat="1">
      <c r="A8" s="9" t="s">
        <v>38</v>
      </c>
      <c r="B8" s="467"/>
      <c r="C8" s="467"/>
      <c r="D8" s="467" t="s">
        <v>87</v>
      </c>
      <c r="E8" s="467" t="s">
        <v>87</v>
      </c>
      <c r="F8" s="648" t="s">
        <v>451</v>
      </c>
      <c r="G8" s="741" t="s">
        <v>1463</v>
      </c>
      <c r="H8" s="741" t="s">
        <v>1463</v>
      </c>
      <c r="I8" s="467" t="s">
        <v>450</v>
      </c>
      <c r="J8" s="467" t="s">
        <v>449</v>
      </c>
      <c r="K8" s="467" t="s">
        <v>448</v>
      </c>
      <c r="L8" s="467" t="s">
        <v>1615</v>
      </c>
      <c r="M8" s="467"/>
      <c r="N8" s="467"/>
      <c r="O8" s="467" t="s">
        <v>1215</v>
      </c>
      <c r="P8" s="467"/>
    </row>
    <row r="9" spans="1:17" customFormat="1" ht="28.5" customHeight="1">
      <c r="B9" s="996" t="s">
        <v>186</v>
      </c>
      <c r="C9" s="996" t="s">
        <v>447</v>
      </c>
      <c r="D9" s="998" t="s">
        <v>1190</v>
      </c>
      <c r="E9" s="999"/>
      <c r="F9" s="1000"/>
      <c r="G9" s="990" t="s">
        <v>189</v>
      </c>
      <c r="H9" s="991"/>
      <c r="I9" s="992"/>
      <c r="J9" s="990" t="s">
        <v>446</v>
      </c>
      <c r="K9" s="991"/>
      <c r="L9" s="992"/>
      <c r="M9" s="990" t="s">
        <v>1203</v>
      </c>
      <c r="N9" s="991"/>
      <c r="O9" s="991"/>
      <c r="P9" s="992"/>
    </row>
    <row r="10" spans="1:17" customFormat="1">
      <c r="A10" s="10" t="s">
        <v>86</v>
      </c>
      <c r="B10" s="997"/>
      <c r="C10" s="997"/>
      <c r="D10" s="649" t="s">
        <v>356</v>
      </c>
      <c r="E10" s="649" t="s">
        <v>445</v>
      </c>
      <c r="F10" s="649" t="s">
        <v>196</v>
      </c>
      <c r="G10" s="649" t="s">
        <v>356</v>
      </c>
      <c r="H10" s="649" t="s">
        <v>445</v>
      </c>
      <c r="I10" s="649" t="s">
        <v>196</v>
      </c>
      <c r="J10" s="649" t="s">
        <v>356</v>
      </c>
      <c r="K10" s="649" t="s">
        <v>445</v>
      </c>
      <c r="L10" s="649" t="s">
        <v>196</v>
      </c>
      <c r="M10" s="649" t="s">
        <v>926</v>
      </c>
      <c r="N10" s="650" t="s">
        <v>927</v>
      </c>
      <c r="O10" s="659" t="s">
        <v>196</v>
      </c>
      <c r="P10" s="993" t="s">
        <v>1213</v>
      </c>
      <c r="Q10" s="3"/>
    </row>
    <row r="11" spans="1:17" ht="15.75" thickBot="1">
      <c r="A11" s="643">
        <f>A5+1</f>
        <v>101</v>
      </c>
      <c r="B11" s="995" t="s">
        <v>1189</v>
      </c>
      <c r="C11" s="995"/>
      <c r="D11" s="651">
        <f>SUM(D12:D31)</f>
        <v>561936147.86999977</v>
      </c>
      <c r="E11" s="651">
        <f t="shared" ref="E11:L11" si="0">SUM(E12:E31)</f>
        <v>2592128059.6099977</v>
      </c>
      <c r="F11" s="651">
        <f>SUM(F12:F31)</f>
        <v>3154064207.4799981</v>
      </c>
      <c r="G11" s="651">
        <f t="shared" si="0"/>
        <v>-5536542.0042982204</v>
      </c>
      <c r="H11" s="651">
        <f t="shared" si="0"/>
        <v>-61472792.975969128</v>
      </c>
      <c r="I11" s="651">
        <f t="shared" si="0"/>
        <v>-67009334.980267353</v>
      </c>
      <c r="J11" s="651">
        <f t="shared" si="0"/>
        <v>556399605.86570168</v>
      </c>
      <c r="K11" s="651">
        <f t="shared" si="0"/>
        <v>2530655266.6340289</v>
      </c>
      <c r="L11" s="651">
        <f t="shared" si="0"/>
        <v>3087054872.4997315</v>
      </c>
      <c r="M11" s="651">
        <f t="shared" ref="M11" si="1">SUM(M12:M31)</f>
        <v>2235722150.0976667</v>
      </c>
      <c r="N11" s="651">
        <f t="shared" ref="N11" si="2">SUM(N12:N31)</f>
        <v>795299778.94423544</v>
      </c>
      <c r="O11" s="651">
        <f>M11+N11</f>
        <v>3031021929.0419021</v>
      </c>
      <c r="P11" s="994"/>
      <c r="Q11" s="643">
        <f>A11</f>
        <v>101</v>
      </c>
    </row>
    <row r="12" spans="1:17" ht="29.25" customHeight="1" thickTop="1">
      <c r="A12" s="643">
        <f>A11+1</f>
        <v>102</v>
      </c>
      <c r="B12" s="573">
        <v>580</v>
      </c>
      <c r="C12" s="338" t="s">
        <v>444</v>
      </c>
      <c r="D12" s="652">
        <v>6628572.9800000004</v>
      </c>
      <c r="E12" s="652">
        <v>8664974.3300000001</v>
      </c>
      <c r="F12" s="653">
        <f>SUM(D12:E12)</f>
        <v>15293547.310000001</v>
      </c>
      <c r="G12" s="652">
        <v>0</v>
      </c>
      <c r="H12" s="652">
        <v>0</v>
      </c>
      <c r="I12" s="653">
        <f>SUM(G12:H12)</f>
        <v>0</v>
      </c>
      <c r="J12" s="672">
        <f>SUM(D12,G12)</f>
        <v>6628572.9800000004</v>
      </c>
      <c r="K12" s="672">
        <f>SUM(E12,H12)</f>
        <v>8664974.3300000001</v>
      </c>
      <c r="L12" s="653">
        <f>SUM(J12:K12)</f>
        <v>15293547.310000001</v>
      </c>
      <c r="M12" s="944">
        <f>L12*'6-PlantJurisdiction'!$E$85</f>
        <v>7468894.7909313571</v>
      </c>
      <c r="N12" s="653">
        <f>L12*'6-PlantJurisdiction'!$F$85</f>
        <v>7114149.5943421945</v>
      </c>
      <c r="O12" s="653">
        <f t="shared" ref="O12:O31" si="3">M12+N12</f>
        <v>14583044.385273552</v>
      </c>
      <c r="P12" s="655" t="s">
        <v>1204</v>
      </c>
      <c r="Q12" s="643">
        <f t="shared" ref="Q12:Q31" si="4">A12</f>
        <v>102</v>
      </c>
    </row>
    <row r="13" spans="1:17" ht="30">
      <c r="A13" s="643">
        <f t="shared" ref="A13:A31" si="5">A12+1</f>
        <v>103</v>
      </c>
      <c r="B13" s="573">
        <v>581</v>
      </c>
      <c r="C13" s="338" t="s">
        <v>1193</v>
      </c>
      <c r="D13" s="652">
        <v>0</v>
      </c>
      <c r="E13" s="652">
        <v>0</v>
      </c>
      <c r="F13" s="653">
        <f t="shared" ref="F13:F31" si="6">SUM(D13:E13)</f>
        <v>0</v>
      </c>
      <c r="G13" s="652">
        <v>0</v>
      </c>
      <c r="H13" s="652">
        <v>0</v>
      </c>
      <c r="I13" s="653">
        <f t="shared" ref="I13:I31" si="7">SUM(G13:H13)</f>
        <v>0</v>
      </c>
      <c r="J13" s="672">
        <f t="shared" ref="J13:J31" si="8">SUM(D13,G13)</f>
        <v>0</v>
      </c>
      <c r="K13" s="672">
        <f t="shared" ref="K13:K31" si="9">SUM(E13,H13)</f>
        <v>0</v>
      </c>
      <c r="L13" s="653">
        <f t="shared" ref="L13:L31" si="10">SUM(J13:K13)</f>
        <v>0</v>
      </c>
      <c r="M13" s="653">
        <f>L13*'6-PlantJurisdiction'!$E$85</f>
        <v>0</v>
      </c>
      <c r="N13" s="653">
        <f>L13*'6-PlantJurisdiction'!$F$85</f>
        <v>0</v>
      </c>
      <c r="O13" s="653">
        <f t="shared" si="3"/>
        <v>0</v>
      </c>
      <c r="P13" s="655" t="s">
        <v>1204</v>
      </c>
      <c r="Q13" s="643">
        <f t="shared" si="4"/>
        <v>103</v>
      </c>
    </row>
    <row r="14" spans="1:17" ht="30">
      <c r="A14" s="643">
        <f t="shared" si="5"/>
        <v>104</v>
      </c>
      <c r="B14" s="573">
        <v>582</v>
      </c>
      <c r="C14" s="338" t="s">
        <v>443</v>
      </c>
      <c r="D14" s="652">
        <v>3247291.83</v>
      </c>
      <c r="E14" s="652">
        <v>1963050.2000000002</v>
      </c>
      <c r="F14" s="653">
        <f t="shared" si="6"/>
        <v>5210342.03</v>
      </c>
      <c r="G14" s="652">
        <v>0</v>
      </c>
      <c r="H14" s="652">
        <v>0</v>
      </c>
      <c r="I14" s="653">
        <f t="shared" si="7"/>
        <v>0</v>
      </c>
      <c r="J14" s="672">
        <f t="shared" si="8"/>
        <v>3247291.83</v>
      </c>
      <c r="K14" s="672">
        <f t="shared" si="9"/>
        <v>1963050.2000000002</v>
      </c>
      <c r="L14" s="653">
        <f t="shared" si="10"/>
        <v>5210342.03</v>
      </c>
      <c r="M14" s="653">
        <f>L14*'6-PlantJurisdiction'!E39</f>
        <v>5210342.03</v>
      </c>
      <c r="N14" s="653">
        <f>L14*'6-PlantJurisdiction'!F39</f>
        <v>0</v>
      </c>
      <c r="O14" s="653">
        <f t="shared" si="3"/>
        <v>5210342.03</v>
      </c>
      <c r="P14" s="655" t="s">
        <v>1205</v>
      </c>
      <c r="Q14" s="643">
        <f t="shared" si="4"/>
        <v>104</v>
      </c>
    </row>
    <row r="15" spans="1:17" ht="30">
      <c r="A15" s="643">
        <f t="shared" si="5"/>
        <v>105</v>
      </c>
      <c r="B15" s="943">
        <v>583</v>
      </c>
      <c r="C15" s="338" t="s">
        <v>442</v>
      </c>
      <c r="D15" s="652">
        <v>20503972.18</v>
      </c>
      <c r="E15" s="652">
        <v>51553408.650000006</v>
      </c>
      <c r="F15" s="653">
        <f t="shared" si="6"/>
        <v>72057380.830000013</v>
      </c>
      <c r="G15" s="652">
        <v>-675109.59887274471</v>
      </c>
      <c r="H15" s="652">
        <v>-2001457.1607172294</v>
      </c>
      <c r="I15" s="653">
        <f t="shared" si="7"/>
        <v>-2676566.7595899738</v>
      </c>
      <c r="J15" s="672">
        <f t="shared" si="8"/>
        <v>19828862.581127256</v>
      </c>
      <c r="K15" s="672">
        <f t="shared" si="9"/>
        <v>49551951.489282779</v>
      </c>
      <c r="L15" s="653">
        <f t="shared" si="10"/>
        <v>69380814.070410043</v>
      </c>
      <c r="M15" s="653">
        <f>$L$15*'6-PlantJurisdiction'!E42</f>
        <v>55377555.453154556</v>
      </c>
      <c r="N15" s="653">
        <f>$L$15*'6-PlantJurisdiction'!F42</f>
        <v>14003258.617255487</v>
      </c>
      <c r="O15" s="653">
        <f t="shared" si="3"/>
        <v>69380814.070410043</v>
      </c>
      <c r="P15" s="655" t="s">
        <v>1206</v>
      </c>
      <c r="Q15" s="643">
        <f t="shared" si="4"/>
        <v>105</v>
      </c>
    </row>
    <row r="16" spans="1:17" ht="30">
      <c r="A16" s="643">
        <f t="shared" si="5"/>
        <v>106</v>
      </c>
      <c r="B16" s="573">
        <v>584</v>
      </c>
      <c r="C16" s="338" t="s">
        <v>441</v>
      </c>
      <c r="D16" s="652">
        <v>35390042.340000011</v>
      </c>
      <c r="E16" s="652">
        <v>35702223.070000008</v>
      </c>
      <c r="F16" s="653">
        <f t="shared" si="6"/>
        <v>71092265.410000026</v>
      </c>
      <c r="G16" s="652">
        <v>-3.5918397153694645E-2</v>
      </c>
      <c r="H16" s="652">
        <v>-138.12958401410583</v>
      </c>
      <c r="I16" s="653">
        <f t="shared" si="7"/>
        <v>-138.16550241125952</v>
      </c>
      <c r="J16" s="672">
        <f t="shared" si="8"/>
        <v>35390042.304081611</v>
      </c>
      <c r="K16" s="672">
        <f t="shared" si="9"/>
        <v>35702084.940415993</v>
      </c>
      <c r="L16" s="653">
        <f t="shared" si="10"/>
        <v>71092127.244497597</v>
      </c>
      <c r="M16" s="653">
        <f>$L$16*'6-PlantJurisdiction'!E43</f>
        <v>27760418.953760117</v>
      </c>
      <c r="N16" s="653">
        <f>$L$16*'6-PlantJurisdiction'!F43</f>
        <v>43331708.290737487</v>
      </c>
      <c r="O16" s="653">
        <f t="shared" si="3"/>
        <v>71092127.244497597</v>
      </c>
      <c r="P16" s="655" t="s">
        <v>1207</v>
      </c>
      <c r="Q16" s="643">
        <f t="shared" si="4"/>
        <v>106</v>
      </c>
    </row>
    <row r="17" spans="1:18" ht="30">
      <c r="A17" s="643">
        <f t="shared" si="5"/>
        <v>107</v>
      </c>
      <c r="B17" s="573">
        <v>584.1</v>
      </c>
      <c r="C17" s="338" t="s">
        <v>1194</v>
      </c>
      <c r="D17" s="652">
        <v>0</v>
      </c>
      <c r="E17" s="652">
        <v>0</v>
      </c>
      <c r="F17" s="653">
        <f t="shared" si="6"/>
        <v>0</v>
      </c>
      <c r="G17" s="652">
        <v>0</v>
      </c>
      <c r="H17" s="652">
        <v>0</v>
      </c>
      <c r="I17" s="653">
        <f t="shared" si="7"/>
        <v>0</v>
      </c>
      <c r="J17" s="672">
        <f t="shared" si="8"/>
        <v>0</v>
      </c>
      <c r="K17" s="672">
        <f t="shared" si="9"/>
        <v>0</v>
      </c>
      <c r="L17" s="653">
        <f t="shared" si="10"/>
        <v>0</v>
      </c>
      <c r="M17" s="653">
        <f>L17*'6-PlantJurisdiction'!$E$85</f>
        <v>0</v>
      </c>
      <c r="N17" s="653">
        <f>L17*'6-PlantJurisdiction'!$F$85</f>
        <v>0</v>
      </c>
      <c r="O17" s="653">
        <f t="shared" si="3"/>
        <v>0</v>
      </c>
      <c r="P17" s="655" t="s">
        <v>1204</v>
      </c>
      <c r="Q17" s="643">
        <f t="shared" si="4"/>
        <v>107</v>
      </c>
    </row>
    <row r="18" spans="1:18" ht="30">
      <c r="A18" s="643">
        <f t="shared" si="5"/>
        <v>108</v>
      </c>
      <c r="B18" s="573">
        <v>585</v>
      </c>
      <c r="C18" s="338" t="s">
        <v>1195</v>
      </c>
      <c r="D18" s="652">
        <v>0</v>
      </c>
      <c r="E18" s="652">
        <v>0</v>
      </c>
      <c r="F18" s="653">
        <f t="shared" si="6"/>
        <v>0</v>
      </c>
      <c r="G18" s="652">
        <v>0</v>
      </c>
      <c r="H18" s="652">
        <v>0</v>
      </c>
      <c r="I18" s="653">
        <f t="shared" si="7"/>
        <v>0</v>
      </c>
      <c r="J18" s="672">
        <f t="shared" si="8"/>
        <v>0</v>
      </c>
      <c r="K18" s="672">
        <f t="shared" si="9"/>
        <v>0</v>
      </c>
      <c r="L18" s="653">
        <f t="shared" si="10"/>
        <v>0</v>
      </c>
      <c r="M18" s="653">
        <f>L18*'6-PlantJurisdiction'!$E$85</f>
        <v>0</v>
      </c>
      <c r="N18" s="653">
        <f>L18*'6-PlantJurisdiction'!$F$85</f>
        <v>0</v>
      </c>
      <c r="O18" s="653">
        <f t="shared" si="3"/>
        <v>0</v>
      </c>
      <c r="P18" s="655" t="s">
        <v>1204</v>
      </c>
      <c r="Q18" s="643">
        <f t="shared" si="4"/>
        <v>108</v>
      </c>
    </row>
    <row r="19" spans="1:18" ht="30">
      <c r="A19" s="643">
        <f t="shared" si="5"/>
        <v>109</v>
      </c>
      <c r="B19" s="573">
        <v>586</v>
      </c>
      <c r="C19" s="338" t="s">
        <v>1196</v>
      </c>
      <c r="D19" s="652">
        <v>1682360.18</v>
      </c>
      <c r="E19" s="652">
        <v>90916.96</v>
      </c>
      <c r="F19" s="653">
        <f t="shared" si="6"/>
        <v>1773277.14</v>
      </c>
      <c r="G19" s="652">
        <v>0</v>
      </c>
      <c r="H19" s="652">
        <v>0</v>
      </c>
      <c r="I19" s="653">
        <f t="shared" si="7"/>
        <v>0</v>
      </c>
      <c r="J19" s="672">
        <f t="shared" si="8"/>
        <v>1682360.18</v>
      </c>
      <c r="K19" s="672">
        <f t="shared" si="9"/>
        <v>90916.96</v>
      </c>
      <c r="L19" s="653">
        <f t="shared" si="10"/>
        <v>1773277.14</v>
      </c>
      <c r="M19" s="653">
        <f>$L$19*'6-PlantJurisdiction'!E47</f>
        <v>0</v>
      </c>
      <c r="N19" s="653">
        <f>$L$19*'6-PlantJurisdiction'!F47</f>
        <v>0</v>
      </c>
      <c r="O19" s="653">
        <f t="shared" si="3"/>
        <v>0</v>
      </c>
      <c r="P19" s="655" t="s">
        <v>1208</v>
      </c>
      <c r="Q19" s="643">
        <f t="shared" si="4"/>
        <v>109</v>
      </c>
    </row>
    <row r="20" spans="1:18" ht="30">
      <c r="A20" s="643">
        <f t="shared" si="5"/>
        <v>110</v>
      </c>
      <c r="B20" s="573">
        <v>587</v>
      </c>
      <c r="C20" s="654" t="s">
        <v>1197</v>
      </c>
      <c r="D20" s="652">
        <v>18091154.119999997</v>
      </c>
      <c r="E20" s="652">
        <v>674245.61000000022</v>
      </c>
      <c r="F20" s="653">
        <f t="shared" si="6"/>
        <v>18765399.729999997</v>
      </c>
      <c r="G20" s="652">
        <v>0</v>
      </c>
      <c r="H20" s="652">
        <v>0</v>
      </c>
      <c r="I20" s="653">
        <f t="shared" si="7"/>
        <v>0</v>
      </c>
      <c r="J20" s="672">
        <f t="shared" si="8"/>
        <v>18091154.119999997</v>
      </c>
      <c r="K20" s="672">
        <f t="shared" si="9"/>
        <v>674245.61000000022</v>
      </c>
      <c r="L20" s="653">
        <f t="shared" si="10"/>
        <v>18765399.729999997</v>
      </c>
      <c r="M20" s="653">
        <f>$L$20*'6-PlantJurisdiction'!E48</f>
        <v>0</v>
      </c>
      <c r="N20" s="653">
        <f>$L$20*'6-PlantJurisdiction'!F48</f>
        <v>0</v>
      </c>
      <c r="O20" s="653">
        <f t="shared" si="3"/>
        <v>0</v>
      </c>
      <c r="P20" s="655" t="s">
        <v>1209</v>
      </c>
      <c r="Q20" s="643">
        <f t="shared" si="4"/>
        <v>110</v>
      </c>
    </row>
    <row r="21" spans="1:18" ht="30">
      <c r="A21" s="643">
        <f t="shared" si="5"/>
        <v>111</v>
      </c>
      <c r="B21" s="573">
        <v>588</v>
      </c>
      <c r="C21" t="s">
        <v>1198</v>
      </c>
      <c r="D21" s="652">
        <v>214964960.46999991</v>
      </c>
      <c r="E21" s="652">
        <v>327092416.90999979</v>
      </c>
      <c r="F21" s="653">
        <f t="shared" si="6"/>
        <v>542057377.37999964</v>
      </c>
      <c r="G21" s="742">
        <v>-2000231.263136999</v>
      </c>
      <c r="H21" s="742">
        <v>-46266016.264749676</v>
      </c>
      <c r="I21" s="653">
        <f t="shared" si="7"/>
        <v>-48266247.527886674</v>
      </c>
      <c r="J21" s="672">
        <f t="shared" si="8"/>
        <v>212964729.2068629</v>
      </c>
      <c r="K21" s="672">
        <f t="shared" si="9"/>
        <v>280826400.64525008</v>
      </c>
      <c r="L21" s="653">
        <f t="shared" si="10"/>
        <v>493791129.85211301</v>
      </c>
      <c r="M21" s="653">
        <f>$L$21*'6-PlantJurisdiction'!E85</f>
        <v>241152292.71557117</v>
      </c>
      <c r="N21" s="653">
        <f>$L$21*'6-PlantJurisdiction'!F85</f>
        <v>229698440.45470074</v>
      </c>
      <c r="O21" s="653">
        <f t="shared" si="3"/>
        <v>470850733.17027187</v>
      </c>
      <c r="P21" s="655" t="s">
        <v>1204</v>
      </c>
      <c r="Q21" s="11">
        <f t="shared" si="4"/>
        <v>111</v>
      </c>
      <c r="R21" s="45"/>
    </row>
    <row r="22" spans="1:18" ht="30">
      <c r="A22" s="643">
        <f t="shared" si="5"/>
        <v>112</v>
      </c>
      <c r="B22" s="573">
        <v>589</v>
      </c>
      <c r="C22" s="338" t="s">
        <v>440</v>
      </c>
      <c r="D22" s="652">
        <v>265.28999999999996</v>
      </c>
      <c r="E22" s="652">
        <v>571034.26000000013</v>
      </c>
      <c r="F22" s="653">
        <f t="shared" si="6"/>
        <v>571299.55000000016</v>
      </c>
      <c r="G22" s="652">
        <v>0</v>
      </c>
      <c r="H22" s="652">
        <v>0</v>
      </c>
      <c r="I22" s="653">
        <f t="shared" si="7"/>
        <v>0</v>
      </c>
      <c r="J22" s="672">
        <f t="shared" si="8"/>
        <v>265.28999999999996</v>
      </c>
      <c r="K22" s="672">
        <f t="shared" si="9"/>
        <v>571034.26000000013</v>
      </c>
      <c r="L22" s="653">
        <f t="shared" si="10"/>
        <v>571299.55000000016</v>
      </c>
      <c r="M22" s="653">
        <f>L22*'6-PlantJurisdiction'!$E$85</f>
        <v>279005.00430442189</v>
      </c>
      <c r="N22" s="653">
        <f>L22*'6-PlantJurisdiction'!$F$85</f>
        <v>265753.28663107782</v>
      </c>
      <c r="O22" s="653">
        <f t="shared" si="3"/>
        <v>544758.29093549971</v>
      </c>
      <c r="P22" s="655" t="s">
        <v>1204</v>
      </c>
      <c r="Q22" s="643">
        <f t="shared" si="4"/>
        <v>112</v>
      </c>
    </row>
    <row r="23" spans="1:18" ht="30">
      <c r="A23" s="643">
        <f t="shared" si="5"/>
        <v>113</v>
      </c>
      <c r="B23" s="573">
        <v>590</v>
      </c>
      <c r="C23" s="338" t="s">
        <v>439</v>
      </c>
      <c r="D23" s="652">
        <v>3062271.52</v>
      </c>
      <c r="E23" s="652">
        <v>4801805.1799999988</v>
      </c>
      <c r="F23" s="653">
        <f t="shared" si="6"/>
        <v>7864076.6999999993</v>
      </c>
      <c r="G23" s="652">
        <v>0</v>
      </c>
      <c r="H23" s="652">
        <v>0</v>
      </c>
      <c r="I23" s="653">
        <f t="shared" si="7"/>
        <v>0</v>
      </c>
      <c r="J23" s="672">
        <f t="shared" si="8"/>
        <v>3062271.52</v>
      </c>
      <c r="K23" s="672">
        <f t="shared" si="9"/>
        <v>4801805.1799999988</v>
      </c>
      <c r="L23" s="653">
        <f t="shared" si="10"/>
        <v>7864076.6999999993</v>
      </c>
      <c r="M23" s="653">
        <f>L23*'6-PlantJurisdiction'!$E$85</f>
        <v>3840571.471715325</v>
      </c>
      <c r="N23" s="653">
        <f>L23*'6-PlantJurisdiction'!$F$85</f>
        <v>3658158.3677842561</v>
      </c>
      <c r="O23" s="653">
        <f t="shared" si="3"/>
        <v>7498729.8394995816</v>
      </c>
      <c r="P23" s="655" t="s">
        <v>1204</v>
      </c>
      <c r="Q23" s="643">
        <f t="shared" si="4"/>
        <v>113</v>
      </c>
    </row>
    <row r="24" spans="1:18" ht="30">
      <c r="A24" s="643">
        <f t="shared" si="5"/>
        <v>114</v>
      </c>
      <c r="B24" s="573">
        <v>591</v>
      </c>
      <c r="C24" s="338" t="s">
        <v>618</v>
      </c>
      <c r="D24" s="652">
        <v>2956.0399999999995</v>
      </c>
      <c r="E24" s="652">
        <v>2514484.71</v>
      </c>
      <c r="F24" s="653">
        <f t="shared" si="6"/>
        <v>2517440.75</v>
      </c>
      <c r="G24" s="652">
        <v>0</v>
      </c>
      <c r="H24" s="652">
        <v>0</v>
      </c>
      <c r="I24" s="653">
        <f t="shared" si="7"/>
        <v>0</v>
      </c>
      <c r="J24" s="672">
        <f t="shared" si="8"/>
        <v>2956.0399999999995</v>
      </c>
      <c r="K24" s="672">
        <f t="shared" si="9"/>
        <v>2514484.71</v>
      </c>
      <c r="L24" s="653">
        <f t="shared" si="10"/>
        <v>2517440.75</v>
      </c>
      <c r="M24" s="653">
        <f>$L$24*'6-PlantJurisdiction'!E38</f>
        <v>2517440.75</v>
      </c>
      <c r="N24" s="653">
        <f>$L$24*'6-PlantJurisdiction'!F38</f>
        <v>0</v>
      </c>
      <c r="O24" s="653">
        <f t="shared" si="3"/>
        <v>2517440.75</v>
      </c>
      <c r="P24" s="655" t="s">
        <v>1210</v>
      </c>
      <c r="Q24" s="643">
        <f t="shared" si="4"/>
        <v>114</v>
      </c>
    </row>
    <row r="25" spans="1:18" ht="30">
      <c r="A25" s="643">
        <f t="shared" si="5"/>
        <v>115</v>
      </c>
      <c r="B25" s="573">
        <v>592</v>
      </c>
      <c r="C25" s="338" t="s">
        <v>619</v>
      </c>
      <c r="D25" s="652">
        <v>27419982.649999991</v>
      </c>
      <c r="E25" s="652">
        <v>21004753.710000008</v>
      </c>
      <c r="F25" s="653">
        <f t="shared" si="6"/>
        <v>48424736.359999999</v>
      </c>
      <c r="G25" s="652">
        <v>-339332.28725569975</v>
      </c>
      <c r="H25" s="652">
        <v>-533559.99724085955</v>
      </c>
      <c r="I25" s="653">
        <f t="shared" si="7"/>
        <v>-872892.2844965593</v>
      </c>
      <c r="J25" s="672">
        <f t="shared" si="8"/>
        <v>27080650.36274429</v>
      </c>
      <c r="K25" s="672">
        <f t="shared" si="9"/>
        <v>20471193.712759148</v>
      </c>
      <c r="L25" s="653">
        <f t="shared" si="10"/>
        <v>47551844.075503439</v>
      </c>
      <c r="M25" s="653">
        <f>$L$25*'6-PlantJurisdiction'!E39</f>
        <v>47551844.075503439</v>
      </c>
      <c r="N25" s="653">
        <f>$L$25*'6-PlantJurisdiction'!F39</f>
        <v>0</v>
      </c>
      <c r="O25" s="653">
        <f t="shared" si="3"/>
        <v>47551844.075503439</v>
      </c>
      <c r="P25" s="655" t="s">
        <v>1205</v>
      </c>
      <c r="Q25" s="643">
        <f t="shared" si="4"/>
        <v>115</v>
      </c>
    </row>
    <row r="26" spans="1:18" ht="30">
      <c r="A26" s="643">
        <f t="shared" si="5"/>
        <v>116</v>
      </c>
      <c r="B26" s="573">
        <v>593</v>
      </c>
      <c r="C26" s="338" t="s">
        <v>438</v>
      </c>
      <c r="D26" s="652">
        <v>199038621.5399999</v>
      </c>
      <c r="E26" s="652">
        <v>2099766129.8099985</v>
      </c>
      <c r="F26" s="653">
        <f t="shared" si="6"/>
        <v>2298804751.3499985</v>
      </c>
      <c r="G26" s="652">
        <v>-2526280.2791143791</v>
      </c>
      <c r="H26" s="652">
        <v>-13040480.753677353</v>
      </c>
      <c r="I26" s="653">
        <f t="shared" si="7"/>
        <v>-15566761.032791732</v>
      </c>
      <c r="J26" s="672">
        <f t="shared" si="8"/>
        <v>196512341.26088554</v>
      </c>
      <c r="K26" s="672">
        <f t="shared" si="9"/>
        <v>2086725649.0563211</v>
      </c>
      <c r="L26" s="653">
        <f t="shared" si="10"/>
        <v>2283237990.3172069</v>
      </c>
      <c r="M26" s="653">
        <f>$L$26*'6-PlantJurisdiction'!E42</f>
        <v>1822407824.3478734</v>
      </c>
      <c r="N26" s="653">
        <f>$L$26*'6-PlantJurisdiction'!F42</f>
        <v>460830165.96933347</v>
      </c>
      <c r="O26" s="653">
        <f t="shared" si="3"/>
        <v>2283237990.3172069</v>
      </c>
      <c r="P26" s="655" t="s">
        <v>1206</v>
      </c>
      <c r="Q26" s="643">
        <f t="shared" si="4"/>
        <v>116</v>
      </c>
    </row>
    <row r="27" spans="1:18" ht="30">
      <c r="A27" s="643">
        <f t="shared" si="5"/>
        <v>117</v>
      </c>
      <c r="B27" s="573">
        <v>594</v>
      </c>
      <c r="C27" s="338" t="s">
        <v>437</v>
      </c>
      <c r="D27" s="652">
        <v>24197787.709999979</v>
      </c>
      <c r="E27" s="652">
        <v>30365410.21000002</v>
      </c>
      <c r="F27" s="653">
        <f t="shared" si="6"/>
        <v>54563197.920000002</v>
      </c>
      <c r="G27" s="652">
        <v>0</v>
      </c>
      <c r="H27" s="652">
        <v>388500</v>
      </c>
      <c r="I27" s="653">
        <f t="shared" si="7"/>
        <v>388500</v>
      </c>
      <c r="J27" s="672">
        <f t="shared" si="8"/>
        <v>24197787.709999979</v>
      </c>
      <c r="K27" s="672">
        <f t="shared" si="9"/>
        <v>30753910.21000002</v>
      </c>
      <c r="L27" s="653">
        <f t="shared" si="10"/>
        <v>54951697.920000002</v>
      </c>
      <c r="M27" s="653">
        <f>$L$27*'6-PlantJurisdiction'!E43</f>
        <v>21457821.21884302</v>
      </c>
      <c r="N27" s="653">
        <f>$L$27*'6-PlantJurisdiction'!F43</f>
        <v>33493876.701156985</v>
      </c>
      <c r="O27" s="653">
        <f t="shared" si="3"/>
        <v>54951697.920000002</v>
      </c>
      <c r="P27" s="655" t="s">
        <v>1207</v>
      </c>
      <c r="Q27" s="643">
        <f t="shared" si="4"/>
        <v>117</v>
      </c>
    </row>
    <row r="28" spans="1:18" ht="30">
      <c r="A28" s="643">
        <f t="shared" si="5"/>
        <v>118</v>
      </c>
      <c r="B28" s="573">
        <v>595</v>
      </c>
      <c r="C28" s="338" t="s">
        <v>1199</v>
      </c>
      <c r="D28" s="652">
        <v>1105455.95</v>
      </c>
      <c r="E28" s="652">
        <v>1133831.49</v>
      </c>
      <c r="F28" s="653">
        <f t="shared" si="6"/>
        <v>2239287.44</v>
      </c>
      <c r="G28" s="652">
        <v>0</v>
      </c>
      <c r="H28" s="652">
        <v>0</v>
      </c>
      <c r="I28" s="653">
        <f t="shared" si="7"/>
        <v>0</v>
      </c>
      <c r="J28" s="672">
        <f t="shared" si="8"/>
        <v>1105455.95</v>
      </c>
      <c r="K28" s="672">
        <f t="shared" si="9"/>
        <v>1133831.49</v>
      </c>
      <c r="L28" s="653">
        <f t="shared" si="10"/>
        <v>2239287.44</v>
      </c>
      <c r="M28" s="653">
        <f>$L$28*'6-PlantJurisdiction'!E45</f>
        <v>0</v>
      </c>
      <c r="N28" s="653">
        <f>$L$28*'6-PlantJurisdiction'!F45</f>
        <v>2239287.44</v>
      </c>
      <c r="O28" s="653">
        <f t="shared" si="3"/>
        <v>2239287.44</v>
      </c>
      <c r="P28" s="655" t="s">
        <v>1211</v>
      </c>
      <c r="Q28" s="643">
        <f t="shared" si="4"/>
        <v>118</v>
      </c>
    </row>
    <row r="29" spans="1:18" ht="30">
      <c r="A29" s="643">
        <f t="shared" si="5"/>
        <v>119</v>
      </c>
      <c r="B29" s="573">
        <v>596</v>
      </c>
      <c r="C29" s="338" t="s">
        <v>1200</v>
      </c>
      <c r="D29" s="652">
        <v>1120919</v>
      </c>
      <c r="E29" s="652">
        <v>541813.87999999989</v>
      </c>
      <c r="F29" s="653">
        <f t="shared" si="6"/>
        <v>1662732.88</v>
      </c>
      <c r="G29" s="652">
        <v>0</v>
      </c>
      <c r="H29" s="652">
        <v>0</v>
      </c>
      <c r="I29" s="653">
        <f t="shared" si="7"/>
        <v>0</v>
      </c>
      <c r="J29" s="672">
        <f t="shared" si="8"/>
        <v>1120919</v>
      </c>
      <c r="K29" s="672">
        <f t="shared" si="9"/>
        <v>541813.87999999989</v>
      </c>
      <c r="L29" s="653">
        <f t="shared" si="10"/>
        <v>1662732.88</v>
      </c>
      <c r="M29" s="653">
        <f>$L$29*'6-PlantJurisdiction'!E50</f>
        <v>0</v>
      </c>
      <c r="N29" s="653">
        <f>$L$29*'6-PlantJurisdiction'!F50</f>
        <v>0</v>
      </c>
      <c r="O29" s="653">
        <f t="shared" si="3"/>
        <v>0</v>
      </c>
      <c r="P29" s="655" t="s">
        <v>1212</v>
      </c>
      <c r="Q29" s="643">
        <f t="shared" si="4"/>
        <v>119</v>
      </c>
    </row>
    <row r="30" spans="1:18" ht="30">
      <c r="A30" s="643">
        <f t="shared" si="5"/>
        <v>120</v>
      </c>
      <c r="B30" s="573">
        <v>597</v>
      </c>
      <c r="C30" s="338" t="s">
        <v>1201</v>
      </c>
      <c r="D30" s="652">
        <v>5454948.5300000021</v>
      </c>
      <c r="E30" s="652">
        <v>4267384.68</v>
      </c>
      <c r="F30" s="653">
        <f t="shared" si="6"/>
        <v>9722333.2100000009</v>
      </c>
      <c r="G30" s="652">
        <v>0</v>
      </c>
      <c r="H30" s="652">
        <v>0</v>
      </c>
      <c r="I30" s="653">
        <f t="shared" si="7"/>
        <v>0</v>
      </c>
      <c r="J30" s="672">
        <f t="shared" si="8"/>
        <v>5454948.5300000021</v>
      </c>
      <c r="K30" s="672">
        <f t="shared" si="9"/>
        <v>4267384.68</v>
      </c>
      <c r="L30" s="653">
        <f t="shared" si="10"/>
        <v>9722333.2100000009</v>
      </c>
      <c r="M30" s="653">
        <f>$L$30*'6-PlantJurisdiction'!E47</f>
        <v>0</v>
      </c>
      <c r="N30" s="653">
        <f>$L$30*'6-PlantJurisdiction'!F47</f>
        <v>0</v>
      </c>
      <c r="O30" s="653">
        <f t="shared" si="3"/>
        <v>0</v>
      </c>
      <c r="P30" s="655" t="s">
        <v>1208</v>
      </c>
      <c r="Q30" s="643">
        <f t="shared" si="4"/>
        <v>120</v>
      </c>
    </row>
    <row r="31" spans="1:18" ht="30">
      <c r="A31" s="643">
        <f t="shared" si="5"/>
        <v>121</v>
      </c>
      <c r="B31" s="573">
        <v>598</v>
      </c>
      <c r="C31" s="338" t="s">
        <v>1202</v>
      </c>
      <c r="D31" s="652">
        <v>24585.54000000003</v>
      </c>
      <c r="E31" s="652">
        <v>1420175.9499999995</v>
      </c>
      <c r="F31" s="653">
        <f t="shared" si="6"/>
        <v>1444761.4899999995</v>
      </c>
      <c r="G31" s="652">
        <v>4411.4599999999991</v>
      </c>
      <c r="H31" s="652">
        <v>-19640.670000000002</v>
      </c>
      <c r="I31" s="653">
        <f t="shared" si="7"/>
        <v>-15229.210000000003</v>
      </c>
      <c r="J31" s="672">
        <f t="shared" si="8"/>
        <v>28997.000000000029</v>
      </c>
      <c r="K31" s="672">
        <f t="shared" si="9"/>
        <v>1400535.2799999996</v>
      </c>
      <c r="L31" s="653">
        <f t="shared" si="10"/>
        <v>1429532.2799999996</v>
      </c>
      <c r="M31" s="653">
        <f>$L$31*'6-PlantJurisdiction'!E85</f>
        <v>698139.28600978199</v>
      </c>
      <c r="N31" s="653">
        <f>$L$31*'6-PlantJurisdiction'!F85</f>
        <v>664980.22229357262</v>
      </c>
      <c r="O31" s="653">
        <f t="shared" si="3"/>
        <v>1363119.5083033545</v>
      </c>
      <c r="P31" s="655" t="s">
        <v>1204</v>
      </c>
      <c r="Q31" s="643">
        <f t="shared" si="4"/>
        <v>121</v>
      </c>
    </row>
    <row r="32" spans="1:18">
      <c r="B32" s="45"/>
      <c r="C32" s="175"/>
      <c r="D32" s="289"/>
      <c r="E32" s="289"/>
      <c r="F32" s="21"/>
      <c r="G32" s="290"/>
      <c r="H32" s="290"/>
      <c r="I32" s="289"/>
      <c r="J32" s="301"/>
      <c r="K32" s="301"/>
      <c r="L32" s="289"/>
      <c r="M32" s="304"/>
      <c r="N32" s="304"/>
      <c r="O32" s="304"/>
      <c r="P32" s="304"/>
    </row>
    <row r="33" spans="2:16">
      <c r="B33" s="9" t="s">
        <v>89</v>
      </c>
      <c r="C33" s="45"/>
      <c r="G33" s="27"/>
    </row>
    <row r="34" spans="2:16">
      <c r="B34" s="46" t="s">
        <v>1191</v>
      </c>
    </row>
    <row r="35" spans="2:16">
      <c r="B35" s="319" t="s">
        <v>1289</v>
      </c>
    </row>
    <row r="36" spans="2:16">
      <c r="B36" s="319" t="s">
        <v>1192</v>
      </c>
    </row>
    <row r="37" spans="2:16">
      <c r="B37" s="989" t="s">
        <v>1612</v>
      </c>
      <c r="C37" s="989"/>
      <c r="D37" s="989"/>
      <c r="E37" s="989"/>
      <c r="F37" s="989"/>
      <c r="G37" s="989"/>
      <c r="H37" s="989"/>
      <c r="I37" s="989"/>
      <c r="J37" s="989"/>
      <c r="K37" s="989"/>
      <c r="L37" s="989"/>
      <c r="M37" s="989"/>
      <c r="N37" s="989"/>
      <c r="O37" s="989"/>
      <c r="P37" s="989"/>
    </row>
    <row r="38" spans="2:16">
      <c r="B38" s="989"/>
      <c r="C38" s="989"/>
      <c r="D38" s="989"/>
      <c r="E38" s="989"/>
      <c r="F38" s="989"/>
      <c r="G38" s="989"/>
      <c r="H38" s="989"/>
      <c r="I38" s="989"/>
      <c r="J38" s="989"/>
      <c r="K38" s="989"/>
      <c r="L38" s="989"/>
      <c r="M38" s="989"/>
      <c r="N38" s="989"/>
      <c r="O38" s="989"/>
      <c r="P38" s="989"/>
    </row>
  </sheetData>
  <mergeCells count="9">
    <mergeCell ref="B37:P38"/>
    <mergeCell ref="M9:P9"/>
    <mergeCell ref="P10:P11"/>
    <mergeCell ref="G9:I9"/>
    <mergeCell ref="B11:C11"/>
    <mergeCell ref="B9:B10"/>
    <mergeCell ref="C9:C10"/>
    <mergeCell ref="D9:F9"/>
    <mergeCell ref="J9:L9"/>
  </mergeCells>
  <phoneticPr fontId="104" type="noConversion"/>
  <printOptions horizontalCentered="1"/>
  <pageMargins left="1" right="1" top="1" bottom="1" header="0.5" footer="0.5"/>
  <pageSetup scale="35" fitToHeight="0" orientation="landscape" r:id="rId1"/>
  <headerFooter>
    <oddHeader>&amp;C&amp;"-,Bold"&amp;12Pacific Gas and Electric Company
Formula Rate Model
Schedule 18-OandM</oddHead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AA79"/>
  <sheetViews>
    <sheetView view="pageBreakPreview" topLeftCell="I4" zoomScale="115" zoomScaleNormal="100" zoomScaleSheetLayoutView="115" zoomScalePageLayoutView="55" workbookViewId="0">
      <selection activeCell="G13" sqref="G13"/>
    </sheetView>
  </sheetViews>
  <sheetFormatPr defaultColWidth="9.140625" defaultRowHeight="15"/>
  <cols>
    <col min="1" max="1" width="8.5703125" style="74" bestFit="1" customWidth="1"/>
    <col min="2" max="2" width="2.7109375" style="74" customWidth="1"/>
    <col min="3" max="3" width="6.7109375" style="74" customWidth="1"/>
    <col min="4" max="4" width="61.7109375" style="74" customWidth="1"/>
    <col min="5" max="5" width="22.140625" style="74" customWidth="1"/>
    <col min="6" max="7" width="20.7109375" style="74" customWidth="1"/>
    <col min="8" max="8" width="21.5703125" style="74" customWidth="1"/>
    <col min="9" max="9" width="25.5703125" style="81" bestFit="1" customWidth="1"/>
    <col min="10" max="10" width="21.7109375" style="74" bestFit="1" customWidth="1"/>
    <col min="11" max="11" width="24.42578125" style="74" bestFit="1" customWidth="1"/>
    <col min="12" max="12" width="32" style="74" bestFit="1" customWidth="1"/>
    <col min="13" max="13" width="11" style="74" bestFit="1" customWidth="1"/>
    <col min="14" max="14" width="9.140625" style="732"/>
    <col min="15" max="15" width="10.7109375" style="74" bestFit="1" customWidth="1"/>
    <col min="16" max="16384" width="9.140625" style="74"/>
  </cols>
  <sheetData>
    <row r="1" spans="1:27">
      <c r="A1" s="78"/>
      <c r="B1" s="78" t="s">
        <v>519</v>
      </c>
      <c r="L1" s="6" t="str">
        <f>CONCATENATE("Prior Year: ",'1-DRR'!$K$2)</f>
        <v>Prior Year: 2021</v>
      </c>
    </row>
    <row r="2" spans="1:27">
      <c r="A2" s="78"/>
      <c r="B2" s="329" t="s">
        <v>518</v>
      </c>
      <c r="C2" s="79"/>
      <c r="D2" s="79"/>
      <c r="K2" s="410"/>
      <c r="L2" s="153"/>
    </row>
    <row r="3" spans="1:27">
      <c r="A3" s="78"/>
      <c r="K3" s="153"/>
      <c r="L3" s="153"/>
    </row>
    <row r="4" spans="1:27">
      <c r="A4" s="83" t="s">
        <v>313</v>
      </c>
      <c r="K4" s="153"/>
      <c r="L4" s="153"/>
      <c r="M4" s="83" t="s">
        <v>313</v>
      </c>
    </row>
    <row r="5" spans="1:27" ht="29.25" customHeight="1">
      <c r="A5" s="410">
        <v>100</v>
      </c>
      <c r="C5" s="78" t="s">
        <v>517</v>
      </c>
      <c r="E5" s="80" t="s">
        <v>62</v>
      </c>
      <c r="F5" s="80" t="s">
        <v>63</v>
      </c>
      <c r="G5" s="80" t="s">
        <v>64</v>
      </c>
      <c r="H5" s="80" t="s">
        <v>65</v>
      </c>
      <c r="I5" s="393" t="s">
        <v>516</v>
      </c>
      <c r="J5" s="82" t="s">
        <v>67</v>
      </c>
      <c r="K5" s="82" t="s">
        <v>515</v>
      </c>
      <c r="L5" s="82"/>
      <c r="M5" s="410">
        <f t="shared" ref="M5:M23" si="0">A5</f>
        <v>100</v>
      </c>
    </row>
    <row r="6" spans="1:27">
      <c r="A6" s="410">
        <f t="shared" ref="A6:A23" si="1">A5+1</f>
        <v>101</v>
      </c>
      <c r="J6" s="292" t="s">
        <v>385</v>
      </c>
      <c r="M6" s="410">
        <f t="shared" si="0"/>
        <v>101</v>
      </c>
    </row>
    <row r="7" spans="1:27">
      <c r="A7" s="410">
        <f t="shared" si="1"/>
        <v>102</v>
      </c>
      <c r="E7" s="410" t="s">
        <v>184</v>
      </c>
      <c r="F7" s="410" t="s">
        <v>513</v>
      </c>
      <c r="G7" s="410" t="s">
        <v>514</v>
      </c>
      <c r="H7" s="410" t="s">
        <v>513</v>
      </c>
      <c r="I7" s="410" t="s">
        <v>512</v>
      </c>
      <c r="J7" s="410" t="s">
        <v>512</v>
      </c>
      <c r="K7" s="410" t="s">
        <v>511</v>
      </c>
      <c r="L7" s="410"/>
      <c r="M7" s="410">
        <f t="shared" si="0"/>
        <v>102</v>
      </c>
    </row>
    <row r="8" spans="1:27">
      <c r="A8" s="410">
        <f t="shared" si="1"/>
        <v>103</v>
      </c>
      <c r="B8" s="82"/>
      <c r="C8" s="82" t="s">
        <v>510</v>
      </c>
      <c r="D8" s="82" t="s">
        <v>91</v>
      </c>
      <c r="E8" s="82" t="s">
        <v>157</v>
      </c>
      <c r="F8" s="82" t="s">
        <v>38</v>
      </c>
      <c r="G8" s="82" t="s">
        <v>157</v>
      </c>
      <c r="H8" s="82" t="s">
        <v>38</v>
      </c>
      <c r="I8" s="82" t="s">
        <v>157</v>
      </c>
      <c r="J8" s="82" t="s">
        <v>509</v>
      </c>
      <c r="K8" s="82" t="s">
        <v>52</v>
      </c>
      <c r="L8" s="82" t="s">
        <v>158</v>
      </c>
      <c r="M8" s="410">
        <f t="shared" si="0"/>
        <v>103</v>
      </c>
      <c r="O8" s="82"/>
      <c r="P8" s="82"/>
      <c r="Q8" s="82"/>
      <c r="R8" s="82"/>
      <c r="S8" s="82"/>
      <c r="T8" s="82"/>
      <c r="U8" s="82"/>
      <c r="V8" s="82"/>
      <c r="W8" s="82"/>
      <c r="X8" s="82"/>
      <c r="Y8" s="82"/>
      <c r="Z8" s="82"/>
      <c r="AA8" s="82"/>
    </row>
    <row r="9" spans="1:27">
      <c r="A9" s="410">
        <f t="shared" si="1"/>
        <v>104</v>
      </c>
      <c r="C9" s="153">
        <v>920</v>
      </c>
      <c r="D9" s="74" t="s">
        <v>464</v>
      </c>
      <c r="E9" s="371">
        <v>404709415</v>
      </c>
      <c r="F9" s="153" t="s">
        <v>508</v>
      </c>
      <c r="G9" s="371">
        <v>191940723</v>
      </c>
      <c r="H9" s="153" t="s">
        <v>507</v>
      </c>
      <c r="I9" s="367">
        <f t="shared" ref="I9:I22" si="2">E9+G9</f>
        <v>596650138</v>
      </c>
      <c r="J9" s="371">
        <v>88724339.745557114</v>
      </c>
      <c r="K9" s="367">
        <f t="shared" ref="K9:K22" si="3">I9-J9</f>
        <v>507925798.25444287</v>
      </c>
      <c r="L9" s="74" t="s">
        <v>708</v>
      </c>
      <c r="M9" s="410">
        <f t="shared" si="0"/>
        <v>104</v>
      </c>
    </row>
    <row r="10" spans="1:27">
      <c r="A10" s="410">
        <f t="shared" si="1"/>
        <v>105</v>
      </c>
      <c r="C10" s="153">
        <v>921</v>
      </c>
      <c r="D10" s="74" t="s">
        <v>463</v>
      </c>
      <c r="E10" s="371">
        <v>60800833</v>
      </c>
      <c r="F10" s="153" t="s">
        <v>506</v>
      </c>
      <c r="G10" s="371">
        <v>28827748</v>
      </c>
      <c r="H10" s="153" t="s">
        <v>505</v>
      </c>
      <c r="I10" s="367">
        <f t="shared" si="2"/>
        <v>89628581</v>
      </c>
      <c r="J10" s="371">
        <v>1167411.2599999998</v>
      </c>
      <c r="K10" s="367">
        <f t="shared" si="3"/>
        <v>88461169.739999995</v>
      </c>
      <c r="L10" s="74" t="s">
        <v>709</v>
      </c>
      <c r="M10" s="410">
        <f t="shared" si="0"/>
        <v>105</v>
      </c>
    </row>
    <row r="11" spans="1:27">
      <c r="A11" s="410">
        <f t="shared" si="1"/>
        <v>106</v>
      </c>
      <c r="C11" s="153">
        <v>922</v>
      </c>
      <c r="D11" s="74" t="s">
        <v>462</v>
      </c>
      <c r="E11" s="371">
        <v>-148789230</v>
      </c>
      <c r="F11" s="153" t="s">
        <v>504</v>
      </c>
      <c r="G11" s="371">
        <v>-70566851</v>
      </c>
      <c r="H11" s="153" t="s">
        <v>503</v>
      </c>
      <c r="I11" s="367">
        <f t="shared" si="2"/>
        <v>-219356081</v>
      </c>
      <c r="J11" s="371">
        <v>-58771034.269819304</v>
      </c>
      <c r="K11" s="367">
        <f t="shared" si="3"/>
        <v>-160585046.73018068</v>
      </c>
      <c r="L11" s="74" t="s">
        <v>710</v>
      </c>
      <c r="M11" s="410">
        <f t="shared" si="0"/>
        <v>106</v>
      </c>
    </row>
    <row r="12" spans="1:27">
      <c r="A12" s="410">
        <f t="shared" si="1"/>
        <v>107</v>
      </c>
      <c r="B12" s="410"/>
      <c r="C12" s="153">
        <v>923</v>
      </c>
      <c r="D12" s="74" t="s">
        <v>461</v>
      </c>
      <c r="E12" s="371">
        <v>346863593</v>
      </c>
      <c r="F12" s="153" t="s">
        <v>502</v>
      </c>
      <c r="G12" s="371">
        <v>162200263</v>
      </c>
      <c r="H12" s="153" t="s">
        <v>501</v>
      </c>
      <c r="I12" s="367">
        <f t="shared" si="2"/>
        <v>509063856</v>
      </c>
      <c r="J12" s="371">
        <v>81779195.049294576</v>
      </c>
      <c r="K12" s="367">
        <f t="shared" si="3"/>
        <v>427284660.95070541</v>
      </c>
      <c r="L12" s="74" t="s">
        <v>711</v>
      </c>
      <c r="M12" s="410">
        <f t="shared" si="0"/>
        <v>107</v>
      </c>
    </row>
    <row r="13" spans="1:27">
      <c r="A13" s="410">
        <f t="shared" si="1"/>
        <v>108</v>
      </c>
      <c r="B13" s="410"/>
      <c r="C13" s="153">
        <v>924</v>
      </c>
      <c r="D13" s="74" t="s">
        <v>326</v>
      </c>
      <c r="E13" s="371">
        <v>16065669</v>
      </c>
      <c r="F13" s="153" t="s">
        <v>500</v>
      </c>
      <c r="G13" s="371">
        <v>7140661</v>
      </c>
      <c r="H13" s="153" t="s">
        <v>499</v>
      </c>
      <c r="I13" s="367">
        <f t="shared" si="2"/>
        <v>23206330</v>
      </c>
      <c r="J13" s="371">
        <v>-4956686.1300000008</v>
      </c>
      <c r="K13" s="367">
        <f t="shared" si="3"/>
        <v>28163016.130000003</v>
      </c>
      <c r="L13" s="74" t="s">
        <v>712</v>
      </c>
      <c r="M13" s="410">
        <f t="shared" si="0"/>
        <v>108</v>
      </c>
    </row>
    <row r="14" spans="1:27">
      <c r="A14" s="410">
        <f t="shared" si="1"/>
        <v>109</v>
      </c>
      <c r="B14" s="410"/>
      <c r="C14" s="153">
        <v>925</v>
      </c>
      <c r="D14" s="74" t="s">
        <v>363</v>
      </c>
      <c r="E14" s="371">
        <v>1781245931</v>
      </c>
      <c r="F14" s="153" t="s">
        <v>498</v>
      </c>
      <c r="G14" s="371">
        <v>417756470</v>
      </c>
      <c r="H14" s="153" t="s">
        <v>497</v>
      </c>
      <c r="I14" s="367">
        <f t="shared" si="2"/>
        <v>2199002401</v>
      </c>
      <c r="J14" s="371">
        <v>1160879401.871917</v>
      </c>
      <c r="K14" s="367">
        <f t="shared" si="3"/>
        <v>1038122999.128083</v>
      </c>
      <c r="L14" s="74" t="s">
        <v>713</v>
      </c>
      <c r="M14" s="410">
        <f t="shared" si="0"/>
        <v>109</v>
      </c>
    </row>
    <row r="15" spans="1:27">
      <c r="A15" s="410">
        <f t="shared" si="1"/>
        <v>110</v>
      </c>
      <c r="B15" s="410"/>
      <c r="C15" s="153">
        <v>926</v>
      </c>
      <c r="D15" s="74" t="s">
        <v>460</v>
      </c>
      <c r="E15" s="371">
        <v>390655154</v>
      </c>
      <c r="F15" s="153" t="s">
        <v>496</v>
      </c>
      <c r="G15" s="371">
        <v>183552769</v>
      </c>
      <c r="H15" s="153" t="s">
        <v>495</v>
      </c>
      <c r="I15" s="367">
        <f t="shared" si="2"/>
        <v>574207923</v>
      </c>
      <c r="J15" s="371">
        <v>102720737.95948529</v>
      </c>
      <c r="K15" s="367">
        <f t="shared" si="3"/>
        <v>471487185.04051471</v>
      </c>
      <c r="L15" s="74" t="s">
        <v>714</v>
      </c>
      <c r="M15" s="410">
        <f t="shared" si="0"/>
        <v>110</v>
      </c>
    </row>
    <row r="16" spans="1:27">
      <c r="A16" s="410">
        <f t="shared" si="1"/>
        <v>111</v>
      </c>
      <c r="B16" s="410"/>
      <c r="C16" s="153">
        <v>927</v>
      </c>
      <c r="D16" s="74" t="s">
        <v>459</v>
      </c>
      <c r="E16" s="371">
        <v>101328358</v>
      </c>
      <c r="F16" s="153" t="s">
        <v>494</v>
      </c>
      <c r="G16" s="371">
        <v>47245173</v>
      </c>
      <c r="H16" s="153" t="s">
        <v>493</v>
      </c>
      <c r="I16" s="367">
        <f t="shared" si="2"/>
        <v>148573531</v>
      </c>
      <c r="J16" s="371">
        <v>148573531</v>
      </c>
      <c r="K16" s="367">
        <f t="shared" si="3"/>
        <v>0</v>
      </c>
      <c r="L16" s="74" t="s">
        <v>715</v>
      </c>
      <c r="M16" s="410">
        <f t="shared" si="0"/>
        <v>111</v>
      </c>
    </row>
    <row r="17" spans="1:13">
      <c r="A17" s="410">
        <f t="shared" si="1"/>
        <v>112</v>
      </c>
      <c r="B17" s="410"/>
      <c r="C17" s="153">
        <v>928</v>
      </c>
      <c r="D17" s="74" t="s">
        <v>458</v>
      </c>
      <c r="E17" s="371">
        <v>0</v>
      </c>
      <c r="F17" s="153" t="s">
        <v>492</v>
      </c>
      <c r="G17" s="371">
        <v>0</v>
      </c>
      <c r="H17" s="153" t="s">
        <v>491</v>
      </c>
      <c r="I17" s="367">
        <f t="shared" si="2"/>
        <v>0</v>
      </c>
      <c r="J17" s="371">
        <v>0</v>
      </c>
      <c r="K17" s="367">
        <f t="shared" si="3"/>
        <v>0</v>
      </c>
      <c r="L17" s="409" t="s">
        <v>386</v>
      </c>
      <c r="M17" s="410">
        <f t="shared" si="0"/>
        <v>112</v>
      </c>
    </row>
    <row r="18" spans="1:13">
      <c r="A18" s="410">
        <f t="shared" si="1"/>
        <v>113</v>
      </c>
      <c r="B18" s="410"/>
      <c r="C18" s="153">
        <v>929</v>
      </c>
      <c r="D18" s="74" t="s">
        <v>457</v>
      </c>
      <c r="E18" s="371">
        <v>0</v>
      </c>
      <c r="F18" s="153" t="s">
        <v>490</v>
      </c>
      <c r="G18" s="371">
        <v>0</v>
      </c>
      <c r="H18" s="153" t="s">
        <v>489</v>
      </c>
      <c r="I18" s="367">
        <f t="shared" si="2"/>
        <v>0</v>
      </c>
      <c r="J18" s="371">
        <v>0</v>
      </c>
      <c r="K18" s="367">
        <f t="shared" si="3"/>
        <v>0</v>
      </c>
      <c r="L18" s="409" t="s">
        <v>386</v>
      </c>
      <c r="M18" s="410">
        <f t="shared" si="0"/>
        <v>113</v>
      </c>
    </row>
    <row r="19" spans="1:13">
      <c r="A19" s="410">
        <f t="shared" si="1"/>
        <v>114</v>
      </c>
      <c r="B19" s="410"/>
      <c r="C19" s="153">
        <v>930.1</v>
      </c>
      <c r="D19" s="74" t="s">
        <v>456</v>
      </c>
      <c r="E19" s="371">
        <v>579767</v>
      </c>
      <c r="F19" s="153" t="s">
        <v>488</v>
      </c>
      <c r="G19" s="371">
        <v>274968</v>
      </c>
      <c r="H19" s="153" t="s">
        <v>487</v>
      </c>
      <c r="I19" s="367">
        <f t="shared" si="2"/>
        <v>854735</v>
      </c>
      <c r="J19" s="371">
        <v>0</v>
      </c>
      <c r="K19" s="367">
        <f t="shared" si="3"/>
        <v>854735</v>
      </c>
      <c r="L19" s="74" t="s">
        <v>716</v>
      </c>
      <c r="M19" s="410">
        <f t="shared" si="0"/>
        <v>114</v>
      </c>
    </row>
    <row r="20" spans="1:13">
      <c r="A20" s="410">
        <f t="shared" si="1"/>
        <v>115</v>
      </c>
      <c r="B20" s="410"/>
      <c r="C20" s="153">
        <v>930.2</v>
      </c>
      <c r="D20" s="74" t="s">
        <v>455</v>
      </c>
      <c r="E20" s="371">
        <v>16158682</v>
      </c>
      <c r="F20" s="153" t="s">
        <v>486</v>
      </c>
      <c r="G20" s="371">
        <v>5699727</v>
      </c>
      <c r="H20" s="153" t="s">
        <v>485</v>
      </c>
      <c r="I20" s="367">
        <f t="shared" si="2"/>
        <v>21858409</v>
      </c>
      <c r="J20" s="371">
        <v>14569695.440001793</v>
      </c>
      <c r="K20" s="367">
        <f t="shared" si="3"/>
        <v>7288713.5599982068</v>
      </c>
      <c r="L20" s="74" t="s">
        <v>716</v>
      </c>
      <c r="M20" s="410">
        <f t="shared" si="0"/>
        <v>115</v>
      </c>
    </row>
    <row r="21" spans="1:13">
      <c r="A21" s="410">
        <f t="shared" si="1"/>
        <v>116</v>
      </c>
      <c r="B21" s="410"/>
      <c r="C21" s="153">
        <v>931</v>
      </c>
      <c r="D21" s="74" t="s">
        <v>440</v>
      </c>
      <c r="E21" s="371">
        <v>0</v>
      </c>
      <c r="F21" s="153" t="s">
        <v>484</v>
      </c>
      <c r="G21" s="371">
        <v>0</v>
      </c>
      <c r="H21" s="153" t="s">
        <v>483</v>
      </c>
      <c r="I21" s="367">
        <f t="shared" si="2"/>
        <v>0</v>
      </c>
      <c r="J21" s="371">
        <v>0</v>
      </c>
      <c r="K21" s="367">
        <f t="shared" si="3"/>
        <v>0</v>
      </c>
      <c r="L21" s="409" t="s">
        <v>386</v>
      </c>
      <c r="M21" s="410">
        <f t="shared" si="0"/>
        <v>116</v>
      </c>
    </row>
    <row r="22" spans="1:13">
      <c r="A22" s="410">
        <f t="shared" si="1"/>
        <v>117</v>
      </c>
      <c r="B22" s="410"/>
      <c r="C22" s="153">
        <v>935</v>
      </c>
      <c r="D22" s="74" t="s">
        <v>454</v>
      </c>
      <c r="E22" s="372">
        <v>3004766</v>
      </c>
      <c r="F22" s="153" t="s">
        <v>482</v>
      </c>
      <c r="G22" s="372">
        <v>1425082</v>
      </c>
      <c r="H22" s="153" t="s">
        <v>481</v>
      </c>
      <c r="I22" s="369">
        <f t="shared" si="2"/>
        <v>4429848</v>
      </c>
      <c r="J22" s="372">
        <v>0</v>
      </c>
      <c r="K22" s="369">
        <f t="shared" si="3"/>
        <v>4429848</v>
      </c>
      <c r="L22" s="74" t="s">
        <v>717</v>
      </c>
      <c r="M22" s="410">
        <f t="shared" si="0"/>
        <v>117</v>
      </c>
    </row>
    <row r="23" spans="1:13" s="78" customFormat="1">
      <c r="A23" s="410">
        <f t="shared" si="1"/>
        <v>118</v>
      </c>
      <c r="D23" s="298" t="s">
        <v>480</v>
      </c>
      <c r="E23" s="368">
        <f>SUM(E9:E22)</f>
        <v>2972622938</v>
      </c>
      <c r="F23" s="153" t="s">
        <v>479</v>
      </c>
      <c r="G23" s="368">
        <f>SUM(G9:G22)</f>
        <v>975496733</v>
      </c>
      <c r="H23" s="153" t="s">
        <v>478</v>
      </c>
      <c r="I23" s="370">
        <f>SUM(I9:I22)</f>
        <v>3948119671</v>
      </c>
      <c r="J23" s="370">
        <f>SUM(J9:J22)</f>
        <v>1534686591.9264364</v>
      </c>
      <c r="K23" s="368">
        <f>SUM(K9:K22)</f>
        <v>2413433079.0735631</v>
      </c>
      <c r="M23" s="410">
        <f t="shared" si="0"/>
        <v>118</v>
      </c>
    </row>
    <row r="24" spans="1:13">
      <c r="A24" s="410"/>
      <c r="I24" s="297"/>
      <c r="M24" s="410"/>
    </row>
    <row r="25" spans="1:13">
      <c r="A25" s="410">
        <v>200</v>
      </c>
      <c r="C25" s="78" t="s">
        <v>1085</v>
      </c>
      <c r="I25" s="297"/>
      <c r="M25" s="410">
        <f t="shared" ref="M25:M39" si="4">A25</f>
        <v>200</v>
      </c>
    </row>
    <row r="26" spans="1:13">
      <c r="A26" s="410">
        <f t="shared" ref="A26:A44" si="5">A25+1</f>
        <v>201</v>
      </c>
      <c r="D26" s="754" t="s">
        <v>477</v>
      </c>
      <c r="E26" s="755"/>
      <c r="F26" s="756" t="s">
        <v>157</v>
      </c>
      <c r="G26" s="756" t="s">
        <v>38</v>
      </c>
      <c r="H26" s="757"/>
      <c r="I26" s="74"/>
      <c r="K26" s="154"/>
      <c r="M26" s="410">
        <f t="shared" si="4"/>
        <v>201</v>
      </c>
    </row>
    <row r="27" spans="1:13">
      <c r="A27" s="410">
        <f t="shared" si="5"/>
        <v>202</v>
      </c>
      <c r="D27" s="294"/>
      <c r="E27" s="81" t="s">
        <v>476</v>
      </c>
      <c r="F27" s="367">
        <f>K23</f>
        <v>2413433079.0735631</v>
      </c>
      <c r="G27" s="77" t="s">
        <v>475</v>
      </c>
      <c r="H27" s="758"/>
      <c r="I27" s="74"/>
      <c r="M27" s="410">
        <f t="shared" si="4"/>
        <v>202</v>
      </c>
    </row>
    <row r="28" spans="1:13">
      <c r="A28" s="410">
        <f t="shared" si="5"/>
        <v>203</v>
      </c>
      <c r="D28" s="294"/>
      <c r="E28" s="81" t="s">
        <v>474</v>
      </c>
      <c r="F28" s="367">
        <f>K13</f>
        <v>28163016.130000003</v>
      </c>
      <c r="G28" s="77" t="s">
        <v>468</v>
      </c>
      <c r="H28" s="759"/>
      <c r="I28" s="74"/>
      <c r="M28" s="410">
        <f t="shared" si="4"/>
        <v>203</v>
      </c>
    </row>
    <row r="29" spans="1:13">
      <c r="A29" s="410">
        <f t="shared" si="5"/>
        <v>204</v>
      </c>
      <c r="D29" s="296"/>
      <c r="E29" s="296" t="s">
        <v>1086</v>
      </c>
      <c r="F29" s="371">
        <v>990591972.41066015</v>
      </c>
      <c r="G29" s="77" t="s">
        <v>741</v>
      </c>
      <c r="H29" s="759"/>
      <c r="I29" s="74"/>
      <c r="M29" s="410">
        <f t="shared" si="4"/>
        <v>204</v>
      </c>
    </row>
    <row r="30" spans="1:13">
      <c r="A30" s="410">
        <f t="shared" si="5"/>
        <v>205</v>
      </c>
      <c r="D30" s="294"/>
      <c r="E30" s="81" t="s">
        <v>473</v>
      </c>
      <c r="F30" s="760">
        <f>F27-F28-F29</f>
        <v>1394678090.5329027</v>
      </c>
      <c r="G30" s="77" t="s">
        <v>1659</v>
      </c>
      <c r="H30" s="758"/>
      <c r="I30" s="74"/>
      <c r="M30" s="410">
        <f t="shared" si="4"/>
        <v>205</v>
      </c>
    </row>
    <row r="31" spans="1:13">
      <c r="A31" s="410">
        <f t="shared" si="5"/>
        <v>206</v>
      </c>
      <c r="D31" s="294"/>
      <c r="E31" s="81" t="s">
        <v>472</v>
      </c>
      <c r="F31" s="761">
        <f>'24-Allocators'!C17</f>
        <v>0.70304884104477328</v>
      </c>
      <c r="G31" s="762" t="s">
        <v>614</v>
      </c>
      <c r="H31" s="933"/>
      <c r="I31" s="74"/>
      <c r="M31" s="410">
        <f t="shared" si="4"/>
        <v>206</v>
      </c>
    </row>
    <row r="32" spans="1:13">
      <c r="A32" s="410">
        <f t="shared" si="5"/>
        <v>207</v>
      </c>
      <c r="D32" s="294"/>
      <c r="E32" s="81" t="s">
        <v>471</v>
      </c>
      <c r="F32" s="760">
        <f>F30*F31</f>
        <v>980526815.17969465</v>
      </c>
      <c r="G32" s="77" t="s">
        <v>1091</v>
      </c>
      <c r="H32" s="758"/>
      <c r="I32" s="74"/>
      <c r="M32" s="410">
        <f t="shared" si="4"/>
        <v>207</v>
      </c>
    </row>
    <row r="33" spans="1:14">
      <c r="A33" s="410">
        <f t="shared" si="5"/>
        <v>208</v>
      </c>
      <c r="D33" s="294"/>
      <c r="E33" s="81" t="s">
        <v>1038</v>
      </c>
      <c r="F33" s="763">
        <f>'24-Allocators'!C23</f>
        <v>0.43638724816634106</v>
      </c>
      <c r="G33" s="762" t="s">
        <v>604</v>
      </c>
      <c r="H33" s="758"/>
      <c r="I33" s="74"/>
      <c r="M33" s="410">
        <f t="shared" si="4"/>
        <v>208</v>
      </c>
    </row>
    <row r="34" spans="1:14">
      <c r="A34" s="410">
        <f t="shared" si="5"/>
        <v>209</v>
      </c>
      <c r="D34" s="293"/>
      <c r="E34" s="764" t="s">
        <v>1039</v>
      </c>
      <c r="F34" s="765">
        <f>F32*F33</f>
        <v>427889398.62957346</v>
      </c>
      <c r="G34" s="766" t="s">
        <v>1092</v>
      </c>
      <c r="H34" s="767"/>
      <c r="I34" s="74"/>
      <c r="M34" s="410">
        <f t="shared" si="4"/>
        <v>209</v>
      </c>
    </row>
    <row r="35" spans="1:14">
      <c r="A35" s="410">
        <f t="shared" si="5"/>
        <v>210</v>
      </c>
      <c r="D35" s="754" t="s">
        <v>470</v>
      </c>
      <c r="E35" s="768"/>
      <c r="F35" s="769"/>
      <c r="G35" s="770"/>
      <c r="H35" s="771"/>
      <c r="I35" s="74"/>
      <c r="M35" s="410">
        <f t="shared" si="4"/>
        <v>210</v>
      </c>
    </row>
    <row r="36" spans="1:14">
      <c r="A36" s="410">
        <f t="shared" si="5"/>
        <v>211</v>
      </c>
      <c r="D36" s="797"/>
      <c r="E36" s="325" t="s">
        <v>1556</v>
      </c>
      <c r="F36" s="929">
        <f>'24-Allocators'!C48</f>
        <v>0.74333922377767991</v>
      </c>
      <c r="G36" s="76" t="s">
        <v>1558</v>
      </c>
      <c r="H36" s="772"/>
      <c r="I36" s="955"/>
      <c r="M36" s="410">
        <f t="shared" si="4"/>
        <v>211</v>
      </c>
    </row>
    <row r="37" spans="1:14">
      <c r="A37" s="410" t="s">
        <v>1579</v>
      </c>
      <c r="D37" s="797"/>
      <c r="E37" s="335" t="s">
        <v>1557</v>
      </c>
      <c r="F37" s="929">
        <f>'24-Allocators'!C52</f>
        <v>0.21404487846767417</v>
      </c>
      <c r="G37" s="76" t="s">
        <v>1559</v>
      </c>
      <c r="H37" s="772"/>
      <c r="I37" s="74"/>
      <c r="M37" s="410" t="str">
        <f t="shared" si="4"/>
        <v>211a</v>
      </c>
    </row>
    <row r="38" spans="1:14">
      <c r="A38" s="410">
        <f>A36+1</f>
        <v>212</v>
      </c>
      <c r="D38" s="294"/>
      <c r="E38" s="81" t="s">
        <v>469</v>
      </c>
      <c r="F38" s="367">
        <f>F28</f>
        <v>28163016.130000003</v>
      </c>
      <c r="G38" s="77" t="s">
        <v>763</v>
      </c>
      <c r="H38" s="759"/>
      <c r="I38" s="74"/>
      <c r="M38" s="410">
        <f t="shared" si="4"/>
        <v>212</v>
      </c>
    </row>
    <row r="39" spans="1:14">
      <c r="A39" s="410">
        <f t="shared" si="5"/>
        <v>213</v>
      </c>
      <c r="D39" s="293"/>
      <c r="E39" s="764" t="s">
        <v>1087</v>
      </c>
      <c r="F39" s="773">
        <f>F38*F37*F36</f>
        <v>4480959.8696679017</v>
      </c>
      <c r="G39" s="766" t="s">
        <v>1583</v>
      </c>
      <c r="H39" s="774"/>
      <c r="I39" s="74"/>
      <c r="M39" s="410">
        <f t="shared" si="4"/>
        <v>213</v>
      </c>
    </row>
    <row r="40" spans="1:14">
      <c r="A40" s="410">
        <f t="shared" si="5"/>
        <v>214</v>
      </c>
      <c r="D40" s="295" t="s">
        <v>764</v>
      </c>
      <c r="E40" s="81"/>
      <c r="F40" s="775"/>
      <c r="G40" s="77"/>
      <c r="H40" s="759"/>
      <c r="I40" s="74"/>
      <c r="M40" s="410">
        <f t="shared" ref="M40:M45" si="6">A40</f>
        <v>214</v>
      </c>
      <c r="N40" s="74"/>
    </row>
    <row r="41" spans="1:14">
      <c r="A41" s="410">
        <f t="shared" si="5"/>
        <v>215</v>
      </c>
      <c r="D41" s="294"/>
      <c r="E41" s="81" t="s">
        <v>1088</v>
      </c>
      <c r="F41" s="368">
        <f>F29</f>
        <v>990591972.41066015</v>
      </c>
      <c r="G41" s="77" t="s">
        <v>762</v>
      </c>
      <c r="H41" s="759"/>
      <c r="I41" s="74"/>
      <c r="M41" s="410">
        <f t="shared" si="6"/>
        <v>215</v>
      </c>
      <c r="N41" s="74"/>
    </row>
    <row r="42" spans="1:14">
      <c r="A42" s="410">
        <f t="shared" si="5"/>
        <v>216</v>
      </c>
      <c r="D42" s="294"/>
      <c r="E42" s="81" t="s">
        <v>467</v>
      </c>
      <c r="F42" s="763">
        <f>'24-Allocators'!C36</f>
        <v>0.35862997641395811</v>
      </c>
      <c r="G42" s="762" t="s">
        <v>1493</v>
      </c>
      <c r="H42" s="759"/>
      <c r="I42" s="74"/>
      <c r="M42" s="410">
        <f t="shared" si="6"/>
        <v>216</v>
      </c>
      <c r="N42" s="74"/>
    </row>
    <row r="43" spans="1:14">
      <c r="A43" s="410">
        <f t="shared" si="5"/>
        <v>217</v>
      </c>
      <c r="D43" s="294"/>
      <c r="E43" s="764" t="s">
        <v>1089</v>
      </c>
      <c r="F43" s="773">
        <f>F41*F42</f>
        <v>355255975.7014913</v>
      </c>
      <c r="G43" s="766" t="s">
        <v>466</v>
      </c>
      <c r="H43" s="759"/>
      <c r="I43" s="74"/>
      <c r="M43" s="410">
        <f t="shared" si="6"/>
        <v>217</v>
      </c>
      <c r="N43" s="74"/>
    </row>
    <row r="44" spans="1:14">
      <c r="A44" s="410">
        <f t="shared" si="5"/>
        <v>218</v>
      </c>
      <c r="D44" s="776"/>
      <c r="E44" s="768"/>
      <c r="F44" s="769"/>
      <c r="G44" s="770"/>
      <c r="H44" s="777"/>
      <c r="I44" s="74"/>
      <c r="M44" s="410">
        <f t="shared" si="6"/>
        <v>218</v>
      </c>
      <c r="N44" s="74"/>
    </row>
    <row r="45" spans="1:14">
      <c r="A45" s="410">
        <f>A44+1</f>
        <v>219</v>
      </c>
      <c r="D45" s="293"/>
      <c r="E45" s="764" t="s">
        <v>1090</v>
      </c>
      <c r="F45" s="765">
        <f>F43+F39+F34</f>
        <v>787626334.20073271</v>
      </c>
      <c r="G45" s="766" t="s">
        <v>465</v>
      </c>
      <c r="H45" s="767"/>
      <c r="I45" s="74"/>
      <c r="M45" s="410">
        <f t="shared" si="6"/>
        <v>219</v>
      </c>
      <c r="N45" s="74"/>
    </row>
    <row r="46" spans="1:14">
      <c r="A46" s="410"/>
      <c r="E46" s="81"/>
      <c r="F46" s="368"/>
      <c r="G46" s="77"/>
      <c r="H46" s="154"/>
      <c r="I46" s="74"/>
      <c r="M46" s="410"/>
      <c r="N46" s="74"/>
    </row>
    <row r="47" spans="1:14" s="317" customFormat="1">
      <c r="A47" s="320">
        <v>300</v>
      </c>
      <c r="C47" s="399" t="s">
        <v>753</v>
      </c>
      <c r="I47" s="335"/>
      <c r="M47" s="410">
        <f t="shared" ref="M47:M64" si="7">A47</f>
        <v>300</v>
      </c>
    </row>
    <row r="48" spans="1:14" s="317" customFormat="1">
      <c r="A48" s="320">
        <f t="shared" ref="A48:A50" si="8">A47+1</f>
        <v>301</v>
      </c>
      <c r="E48" s="753" t="s">
        <v>112</v>
      </c>
      <c r="F48" s="753" t="s">
        <v>127</v>
      </c>
      <c r="G48" s="753" t="s">
        <v>128</v>
      </c>
      <c r="H48" s="753" t="s">
        <v>113</v>
      </c>
      <c r="I48" s="753" t="s">
        <v>129</v>
      </c>
      <c r="J48" s="753" t="s">
        <v>130</v>
      </c>
      <c r="K48" s="753" t="s">
        <v>131</v>
      </c>
      <c r="M48" s="410">
        <f t="shared" si="7"/>
        <v>301</v>
      </c>
    </row>
    <row r="49" spans="1:14" s="317" customFormat="1" ht="30">
      <c r="A49" s="400">
        <f t="shared" si="8"/>
        <v>302</v>
      </c>
      <c r="C49" s="82"/>
      <c r="D49" s="82"/>
      <c r="E49" s="720" t="s">
        <v>1093</v>
      </c>
      <c r="F49" s="720" t="s">
        <v>1094</v>
      </c>
      <c r="G49" s="720" t="s">
        <v>1095</v>
      </c>
      <c r="H49" s="720" t="s">
        <v>754</v>
      </c>
      <c r="I49" s="720" t="s">
        <v>755</v>
      </c>
      <c r="J49" s="720" t="s">
        <v>1096</v>
      </c>
      <c r="K49" s="720" t="s">
        <v>756</v>
      </c>
      <c r="M49" s="410">
        <f t="shared" si="7"/>
        <v>302</v>
      </c>
    </row>
    <row r="50" spans="1:14" s="317" customFormat="1">
      <c r="A50" s="320">
        <f t="shared" si="8"/>
        <v>303</v>
      </c>
      <c r="C50" s="318">
        <v>920</v>
      </c>
      <c r="D50" s="317" t="s">
        <v>464</v>
      </c>
      <c r="E50" s="429">
        <v>-16566674.539999999</v>
      </c>
      <c r="F50" s="429">
        <v>-21141312.069999997</v>
      </c>
      <c r="G50" s="429">
        <v>-79392785.569999993</v>
      </c>
      <c r="H50" s="429">
        <v>-68291.75</v>
      </c>
      <c r="I50" s="429">
        <v>-283184.69000000006</v>
      </c>
      <c r="J50" s="429">
        <v>28727908.874442879</v>
      </c>
      <c r="K50" s="364">
        <f t="shared" ref="K50:K63" si="9">SUM(E50:J50)</f>
        <v>-88724339.745557114</v>
      </c>
      <c r="M50" s="410">
        <f t="shared" si="7"/>
        <v>303</v>
      </c>
      <c r="N50" s="402"/>
    </row>
    <row r="51" spans="1:14" s="317" customFormat="1">
      <c r="A51" s="320">
        <f>A50+1</f>
        <v>304</v>
      </c>
      <c r="C51" s="318">
        <v>921</v>
      </c>
      <c r="D51" s="317" t="s">
        <v>463</v>
      </c>
      <c r="E51" s="429">
        <v>0</v>
      </c>
      <c r="F51" s="429">
        <v>-912937.66999999993</v>
      </c>
      <c r="G51" s="429">
        <v>0</v>
      </c>
      <c r="H51" s="429">
        <v>-249244</v>
      </c>
      <c r="I51" s="429">
        <v>-5229.5900000000011</v>
      </c>
      <c r="J51" s="429">
        <v>0</v>
      </c>
      <c r="K51" s="364">
        <f t="shared" si="9"/>
        <v>-1167411.26</v>
      </c>
      <c r="M51" s="410">
        <f t="shared" si="7"/>
        <v>304</v>
      </c>
      <c r="N51" s="402"/>
    </row>
    <row r="52" spans="1:14" s="317" customFormat="1">
      <c r="A52" s="320">
        <f t="shared" ref="A52:A63" si="10">A51+1</f>
        <v>305</v>
      </c>
      <c r="C52" s="318">
        <v>922</v>
      </c>
      <c r="D52" s="317" t="s">
        <v>462</v>
      </c>
      <c r="E52" s="429">
        <v>0</v>
      </c>
      <c r="F52" s="429">
        <v>0</v>
      </c>
      <c r="G52" s="429">
        <v>0</v>
      </c>
      <c r="H52" s="429">
        <v>0</v>
      </c>
      <c r="I52" s="429">
        <v>58771034.269819304</v>
      </c>
      <c r="J52" s="429">
        <v>0</v>
      </c>
      <c r="K52" s="364">
        <f t="shared" si="9"/>
        <v>58771034.269819304</v>
      </c>
      <c r="M52" s="410">
        <f t="shared" si="7"/>
        <v>305</v>
      </c>
      <c r="N52" s="402"/>
    </row>
    <row r="53" spans="1:14" s="317" customFormat="1">
      <c r="A53" s="320">
        <f t="shared" si="10"/>
        <v>306</v>
      </c>
      <c r="C53" s="318">
        <v>923</v>
      </c>
      <c r="D53" s="317" t="s">
        <v>461</v>
      </c>
      <c r="E53" s="429">
        <v>-2358708.41</v>
      </c>
      <c r="F53" s="429">
        <v>-13272530.06189432</v>
      </c>
      <c r="G53" s="429">
        <v>-278182.43</v>
      </c>
      <c r="H53" s="429">
        <v>-75009900.99000001</v>
      </c>
      <c r="I53" s="429">
        <v>9022625.8000000007</v>
      </c>
      <c r="J53" s="429">
        <v>117501.04259974512</v>
      </c>
      <c r="K53" s="364">
        <f t="shared" si="9"/>
        <v>-81779195.049294576</v>
      </c>
      <c r="M53" s="410">
        <f t="shared" si="7"/>
        <v>306</v>
      </c>
      <c r="N53" s="402"/>
    </row>
    <row r="54" spans="1:14" s="317" customFormat="1">
      <c r="A54" s="320">
        <f t="shared" si="10"/>
        <v>307</v>
      </c>
      <c r="C54" s="318">
        <v>924</v>
      </c>
      <c r="D54" s="317" t="s">
        <v>326</v>
      </c>
      <c r="E54" s="429">
        <v>0</v>
      </c>
      <c r="F54" s="429">
        <v>0</v>
      </c>
      <c r="G54" s="429">
        <v>0</v>
      </c>
      <c r="H54" s="429">
        <v>4956686.1300000008</v>
      </c>
      <c r="I54" s="429">
        <v>0</v>
      </c>
      <c r="J54" s="429">
        <v>0</v>
      </c>
      <c r="K54" s="364">
        <f t="shared" si="9"/>
        <v>4956686.1300000008</v>
      </c>
      <c r="M54" s="410">
        <f t="shared" si="7"/>
        <v>307</v>
      </c>
      <c r="N54" s="402"/>
    </row>
    <row r="55" spans="1:14" s="317" customFormat="1">
      <c r="A55" s="320">
        <f t="shared" si="10"/>
        <v>308</v>
      </c>
      <c r="C55" s="318">
        <v>925</v>
      </c>
      <c r="D55" s="317" t="s">
        <v>363</v>
      </c>
      <c r="E55" s="429">
        <v>0</v>
      </c>
      <c r="F55" s="429">
        <v>0</v>
      </c>
      <c r="G55" s="429">
        <v>-1112467711.0600002</v>
      </c>
      <c r="H55" s="429">
        <v>-1191061.9099999999</v>
      </c>
      <c r="I55" s="429">
        <v>-47220628.90191678</v>
      </c>
      <c r="J55" s="429">
        <v>0</v>
      </c>
      <c r="K55" s="364">
        <f t="shared" si="9"/>
        <v>-1160879401.871917</v>
      </c>
      <c r="M55" s="410">
        <f t="shared" si="7"/>
        <v>308</v>
      </c>
      <c r="N55" s="402"/>
    </row>
    <row r="56" spans="1:14" s="317" customFormat="1">
      <c r="A56" s="320">
        <f t="shared" si="10"/>
        <v>309</v>
      </c>
      <c r="C56" s="318">
        <v>926</v>
      </c>
      <c r="D56" s="317" t="s">
        <v>460</v>
      </c>
      <c r="E56" s="429">
        <v>0</v>
      </c>
      <c r="F56" s="429">
        <v>-8719220.3899999987</v>
      </c>
      <c r="G56" s="429">
        <v>568071.94775249099</v>
      </c>
      <c r="H56" s="429">
        <v>-2715322.5</v>
      </c>
      <c r="I56" s="429">
        <v>-91496904.765905008</v>
      </c>
      <c r="J56" s="429">
        <v>-357362.25133277872</v>
      </c>
      <c r="K56" s="364">
        <f t="shared" si="9"/>
        <v>-102720737.95948529</v>
      </c>
      <c r="M56" s="410">
        <f t="shared" si="7"/>
        <v>309</v>
      </c>
      <c r="N56" s="402"/>
    </row>
    <row r="57" spans="1:14" s="317" customFormat="1">
      <c r="A57" s="320">
        <f t="shared" si="10"/>
        <v>310</v>
      </c>
      <c r="C57" s="318">
        <v>927</v>
      </c>
      <c r="D57" s="317" t="s">
        <v>459</v>
      </c>
      <c r="E57" s="429">
        <v>0</v>
      </c>
      <c r="F57" s="429">
        <v>0</v>
      </c>
      <c r="G57" s="429">
        <v>0</v>
      </c>
      <c r="H57" s="429">
        <v>-148573531</v>
      </c>
      <c r="I57" s="429">
        <v>0</v>
      </c>
      <c r="J57" s="429">
        <v>0</v>
      </c>
      <c r="K57" s="364">
        <f t="shared" si="9"/>
        <v>-148573531</v>
      </c>
      <c r="M57" s="410">
        <f t="shared" si="7"/>
        <v>310</v>
      </c>
      <c r="N57" s="402"/>
    </row>
    <row r="58" spans="1:14" s="317" customFormat="1">
      <c r="A58" s="320">
        <f t="shared" si="10"/>
        <v>311</v>
      </c>
      <c r="C58" s="318">
        <v>928</v>
      </c>
      <c r="D58" s="317" t="s">
        <v>458</v>
      </c>
      <c r="E58" s="429">
        <v>0</v>
      </c>
      <c r="F58" s="429">
        <v>0</v>
      </c>
      <c r="G58" s="429">
        <v>0</v>
      </c>
      <c r="H58" s="429">
        <v>0</v>
      </c>
      <c r="I58" s="429">
        <v>0</v>
      </c>
      <c r="J58" s="429">
        <v>0</v>
      </c>
      <c r="K58" s="364">
        <f t="shared" si="9"/>
        <v>0</v>
      </c>
      <c r="M58" s="410">
        <f t="shared" si="7"/>
        <v>311</v>
      </c>
      <c r="N58" s="402"/>
    </row>
    <row r="59" spans="1:14" s="317" customFormat="1">
      <c r="A59" s="320">
        <f t="shared" si="10"/>
        <v>312</v>
      </c>
      <c r="C59" s="318">
        <v>929</v>
      </c>
      <c r="D59" s="317" t="s">
        <v>457</v>
      </c>
      <c r="E59" s="429">
        <v>0</v>
      </c>
      <c r="F59" s="429">
        <v>0</v>
      </c>
      <c r="G59" s="429">
        <v>0</v>
      </c>
      <c r="H59" s="429">
        <v>0</v>
      </c>
      <c r="I59" s="429">
        <v>0</v>
      </c>
      <c r="J59" s="429">
        <v>0</v>
      </c>
      <c r="K59" s="364">
        <f t="shared" si="9"/>
        <v>0</v>
      </c>
      <c r="M59" s="410">
        <f t="shared" si="7"/>
        <v>312</v>
      </c>
      <c r="N59" s="402"/>
    </row>
    <row r="60" spans="1:14" s="317" customFormat="1">
      <c r="A60" s="320">
        <f t="shared" si="10"/>
        <v>313</v>
      </c>
      <c r="C60" s="318">
        <v>930.1</v>
      </c>
      <c r="D60" s="317" t="s">
        <v>456</v>
      </c>
      <c r="E60" s="429">
        <v>0</v>
      </c>
      <c r="F60" s="429">
        <v>0</v>
      </c>
      <c r="G60" s="429">
        <v>0</v>
      </c>
      <c r="H60" s="429">
        <v>0</v>
      </c>
      <c r="I60" s="429">
        <v>0</v>
      </c>
      <c r="J60" s="429">
        <v>0</v>
      </c>
      <c r="K60" s="364">
        <f t="shared" si="9"/>
        <v>0</v>
      </c>
      <c r="M60" s="410">
        <f t="shared" si="7"/>
        <v>313</v>
      </c>
      <c r="N60" s="402"/>
    </row>
    <row r="61" spans="1:14" s="317" customFormat="1">
      <c r="A61" s="320">
        <f t="shared" si="10"/>
        <v>314</v>
      </c>
      <c r="C61" s="318">
        <v>930.2</v>
      </c>
      <c r="D61" s="317" t="s">
        <v>455</v>
      </c>
      <c r="E61" s="429">
        <v>0</v>
      </c>
      <c r="F61" s="429">
        <v>0</v>
      </c>
      <c r="G61" s="429">
        <v>0</v>
      </c>
      <c r="H61" s="429">
        <v>-962628.20000178879</v>
      </c>
      <c r="I61" s="429">
        <v>-13607067.240000002</v>
      </c>
      <c r="J61" s="429">
        <v>0</v>
      </c>
      <c r="K61" s="364">
        <f t="shared" si="9"/>
        <v>-14569695.440001791</v>
      </c>
      <c r="M61" s="410">
        <f t="shared" si="7"/>
        <v>314</v>
      </c>
      <c r="N61" s="402"/>
    </row>
    <row r="62" spans="1:14" s="317" customFormat="1">
      <c r="A62" s="320">
        <f t="shared" si="10"/>
        <v>315</v>
      </c>
      <c r="C62" s="318">
        <v>931</v>
      </c>
      <c r="D62" s="317" t="s">
        <v>440</v>
      </c>
      <c r="E62" s="429">
        <v>0</v>
      </c>
      <c r="F62" s="429">
        <v>0</v>
      </c>
      <c r="G62" s="429">
        <v>0</v>
      </c>
      <c r="H62" s="429">
        <v>0</v>
      </c>
      <c r="I62" s="429">
        <v>0</v>
      </c>
      <c r="J62" s="429">
        <v>0</v>
      </c>
      <c r="K62" s="364">
        <f t="shared" si="9"/>
        <v>0</v>
      </c>
      <c r="M62" s="410">
        <f t="shared" si="7"/>
        <v>315</v>
      </c>
      <c r="N62" s="402"/>
    </row>
    <row r="63" spans="1:14" s="317" customFormat="1">
      <c r="A63" s="320">
        <f t="shared" si="10"/>
        <v>316</v>
      </c>
      <c r="C63" s="318">
        <v>935</v>
      </c>
      <c r="D63" s="317" t="s">
        <v>454</v>
      </c>
      <c r="E63" s="429">
        <v>0</v>
      </c>
      <c r="F63" s="429">
        <v>0</v>
      </c>
      <c r="G63" s="429">
        <v>0</v>
      </c>
      <c r="H63" s="429">
        <v>0</v>
      </c>
      <c r="I63" s="429">
        <v>0</v>
      </c>
      <c r="J63" s="429">
        <v>0</v>
      </c>
      <c r="K63" s="364">
        <f t="shared" si="9"/>
        <v>0</v>
      </c>
      <c r="M63" s="410">
        <f t="shared" si="7"/>
        <v>316</v>
      </c>
      <c r="N63" s="402"/>
    </row>
    <row r="64" spans="1:14" s="317" customFormat="1">
      <c r="A64" s="320">
        <v>318</v>
      </c>
      <c r="D64" s="184" t="s">
        <v>757</v>
      </c>
      <c r="E64" s="721">
        <f>SUM(E50:E63)</f>
        <v>-18925382.949999999</v>
      </c>
      <c r="F64" s="721">
        <f t="shared" ref="F64:J64" si="11">SUM(F50:F63)</f>
        <v>-44046000.191894315</v>
      </c>
      <c r="G64" s="721">
        <f t="shared" si="11"/>
        <v>-1191570607.1122477</v>
      </c>
      <c r="H64" s="721">
        <f t="shared" si="11"/>
        <v>-223813294.22000179</v>
      </c>
      <c r="I64" s="721">
        <f t="shared" si="11"/>
        <v>-84819355.118002504</v>
      </c>
      <c r="J64" s="721">
        <f t="shared" si="11"/>
        <v>28488047.665709846</v>
      </c>
      <c r="K64" s="721">
        <f>SUM(K50:K63)</f>
        <v>-1534686591.9264364</v>
      </c>
      <c r="M64" s="410">
        <f t="shared" si="7"/>
        <v>318</v>
      </c>
    </row>
    <row r="65" spans="1:14" s="317" customFormat="1">
      <c r="A65" s="320"/>
      <c r="E65" s="401"/>
      <c r="F65" s="401"/>
      <c r="G65" s="401"/>
      <c r="H65" s="401"/>
      <c r="I65" s="403"/>
      <c r="J65" s="401"/>
    </row>
    <row r="66" spans="1:14" s="317" customFormat="1">
      <c r="A66" s="320"/>
      <c r="I66" s="335"/>
    </row>
    <row r="67" spans="1:14">
      <c r="A67" s="410"/>
      <c r="M67" s="732"/>
      <c r="N67" s="74"/>
    </row>
    <row r="68" spans="1:14">
      <c r="A68" s="410"/>
      <c r="C68" s="184" t="s">
        <v>89</v>
      </c>
      <c r="D68" s="317"/>
    </row>
    <row r="69" spans="1:14">
      <c r="A69" s="410"/>
      <c r="B69" s="75"/>
      <c r="C69" s="833">
        <v>1</v>
      </c>
      <c r="D69" s="75" t="s">
        <v>789</v>
      </c>
    </row>
    <row r="70" spans="1:14">
      <c r="B70" s="75"/>
      <c r="C70" s="75"/>
      <c r="D70" s="75" t="s">
        <v>776</v>
      </c>
      <c r="E70" s="366"/>
      <c r="F70" s="366"/>
      <c r="G70" s="366"/>
      <c r="H70" s="366"/>
      <c r="I70" s="366"/>
      <c r="J70" s="366"/>
      <c r="K70" s="366"/>
    </row>
    <row r="71" spans="1:14">
      <c r="B71" s="75"/>
      <c r="C71" s="833">
        <v>2</v>
      </c>
      <c r="D71" s="75" t="s">
        <v>758</v>
      </c>
      <c r="E71" s="364"/>
      <c r="F71" s="364"/>
      <c r="G71" s="364"/>
      <c r="H71" s="364"/>
      <c r="I71" s="364"/>
      <c r="J71" s="364"/>
      <c r="K71" s="364"/>
    </row>
    <row r="72" spans="1:14">
      <c r="B72" s="75"/>
      <c r="C72" s="321">
        <v>3</v>
      </c>
      <c r="D72" s="319" t="s">
        <v>1494</v>
      </c>
      <c r="E72" s="366"/>
      <c r="F72" s="366"/>
      <c r="G72" s="366"/>
      <c r="H72" s="366"/>
      <c r="I72" s="366"/>
      <c r="J72" s="366"/>
      <c r="K72" s="366"/>
    </row>
    <row r="73" spans="1:14">
      <c r="B73" s="75"/>
      <c r="C73" s="321">
        <v>4</v>
      </c>
      <c r="D73" s="319" t="s">
        <v>1495</v>
      </c>
      <c r="E73" s="366"/>
      <c r="F73" s="366"/>
      <c r="G73" s="366"/>
      <c r="H73" s="366"/>
      <c r="I73" s="366"/>
      <c r="J73" s="366"/>
      <c r="K73" s="366"/>
    </row>
    <row r="74" spans="1:14">
      <c r="B74" s="75"/>
      <c r="C74" s="11">
        <v>5</v>
      </c>
      <c r="D74" s="319" t="s">
        <v>1496</v>
      </c>
      <c r="E74" s="366"/>
      <c r="F74" s="366"/>
      <c r="G74" s="366"/>
      <c r="H74" s="366"/>
      <c r="I74" s="366"/>
      <c r="J74" s="366"/>
      <c r="K74" s="366"/>
    </row>
    <row r="75" spans="1:14">
      <c r="B75" s="75"/>
      <c r="C75" s="11">
        <v>6</v>
      </c>
      <c r="D75" s="319" t="s">
        <v>1462</v>
      </c>
      <c r="E75" s="366"/>
      <c r="F75" s="366"/>
      <c r="G75" s="366"/>
      <c r="H75" s="366"/>
      <c r="I75" s="366"/>
      <c r="J75" s="366"/>
      <c r="K75" s="366"/>
    </row>
    <row r="76" spans="1:14">
      <c r="B76" s="75"/>
      <c r="C76" s="11">
        <v>7</v>
      </c>
      <c r="D76" s="319" t="s">
        <v>791</v>
      </c>
    </row>
    <row r="77" spans="1:14">
      <c r="B77" s="75"/>
      <c r="C77" s="11">
        <v>8</v>
      </c>
      <c r="D77" s="319" t="s">
        <v>1097</v>
      </c>
    </row>
    <row r="78" spans="1:14">
      <c r="B78" s="75"/>
      <c r="C78" s="11">
        <v>9</v>
      </c>
      <c r="D78" s="319" t="s">
        <v>759</v>
      </c>
    </row>
    <row r="79" spans="1:14">
      <c r="C79" s="753"/>
      <c r="D79" s="317"/>
    </row>
  </sheetData>
  <printOptions horizontalCentered="1"/>
  <pageMargins left="1" right="1" top="1" bottom="1" header="0.5" footer="0.5"/>
  <pageSetup scale="41" fitToHeight="0" orientation="landscape" r:id="rId1"/>
  <headerFooter>
    <oddHeader>&amp;C&amp;"-,Bold"&amp;12Pacific Gas and Electric Company
Formula Rate Model
Schedule 19-AandG</oddHeader>
  </headerFooter>
  <rowBreaks count="1" manualBreakCount="1">
    <brk id="46" max="12" man="1"/>
  </rowBreaks>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pageSetUpPr fitToPage="1"/>
  </sheetPr>
  <dimension ref="A1:O70"/>
  <sheetViews>
    <sheetView view="pageBreakPreview" topLeftCell="A4" zoomScale="80" zoomScaleNormal="115" zoomScaleSheetLayoutView="80" zoomScalePageLayoutView="70" workbookViewId="0">
      <selection activeCell="G13" sqref="G13"/>
    </sheetView>
  </sheetViews>
  <sheetFormatPr defaultColWidth="9.140625" defaultRowHeight="15"/>
  <cols>
    <col min="1" max="1" width="4.7109375" style="12" bestFit="1" customWidth="1"/>
    <col min="2" max="2" width="10.42578125" style="12" bestFit="1" customWidth="1"/>
    <col min="3" max="3" width="10.7109375" style="12" customWidth="1"/>
    <col min="4" max="4" width="71.7109375" style="12" bestFit="1" customWidth="1"/>
    <col min="5" max="5" width="16.140625" style="12" customWidth="1"/>
    <col min="6" max="6" width="13.7109375" bestFit="1" customWidth="1"/>
    <col min="7" max="7" width="28" style="12" bestFit="1" customWidth="1"/>
    <col min="8" max="8" width="4.7109375" style="12" bestFit="1" customWidth="1"/>
    <col min="9" max="16384" width="9.140625" style="12"/>
  </cols>
  <sheetData>
    <row r="1" spans="1:15">
      <c r="B1" s="2" t="s">
        <v>53</v>
      </c>
      <c r="G1" s="8" t="str">
        <f>CONCATENATE("Prior Year: ",'1-DRR'!$K$2)</f>
        <v>Prior Year: 2021</v>
      </c>
    </row>
    <row r="2" spans="1:15">
      <c r="B2" s="106" t="s">
        <v>122</v>
      </c>
      <c r="C2" s="63"/>
      <c r="G2" s="8"/>
    </row>
    <row r="3" spans="1:15">
      <c r="A3" s="2"/>
      <c r="B3" s="140"/>
      <c r="C3" s="24"/>
      <c r="G3" s="6"/>
      <c r="H3" s="7"/>
    </row>
    <row r="4" spans="1:15">
      <c r="B4" s="67" t="s">
        <v>93</v>
      </c>
      <c r="C4" s="24"/>
      <c r="D4" s="282"/>
      <c r="E4" s="24"/>
      <c r="G4" s="24"/>
      <c r="H4" s="24"/>
      <c r="I4" s="24"/>
      <c r="J4" s="24"/>
      <c r="K4" s="24"/>
      <c r="L4" s="24"/>
      <c r="M4" s="24"/>
      <c r="N4" s="24"/>
      <c r="O4" s="24"/>
    </row>
    <row r="5" spans="1:15">
      <c r="B5" s="52" t="s">
        <v>564</v>
      </c>
      <c r="C5" s="24"/>
      <c r="D5" s="24"/>
      <c r="E5" s="24"/>
      <c r="G5" s="24"/>
      <c r="H5" s="24"/>
      <c r="I5" s="24"/>
      <c r="J5" s="24"/>
      <c r="K5" s="24"/>
      <c r="L5" s="24"/>
      <c r="M5" s="24"/>
      <c r="N5" s="24"/>
      <c r="O5" s="24"/>
    </row>
    <row r="6" spans="1:15">
      <c r="B6" s="52"/>
      <c r="C6" s="24"/>
      <c r="D6" s="24"/>
      <c r="E6" s="24"/>
      <c r="G6" s="24"/>
      <c r="H6" s="24"/>
      <c r="I6" s="24"/>
      <c r="J6" s="24"/>
      <c r="K6" s="24"/>
      <c r="L6" s="24"/>
      <c r="M6" s="24"/>
      <c r="N6" s="24"/>
      <c r="O6" s="24"/>
    </row>
    <row r="7" spans="1:15">
      <c r="B7" s="3" t="s">
        <v>62</v>
      </c>
      <c r="C7" s="3" t="s">
        <v>63</v>
      </c>
      <c r="D7" s="3" t="s">
        <v>64</v>
      </c>
      <c r="E7" s="3" t="s">
        <v>65</v>
      </c>
      <c r="F7" s="3" t="s">
        <v>66</v>
      </c>
      <c r="G7" s="3" t="s">
        <v>67</v>
      </c>
    </row>
    <row r="8" spans="1:15">
      <c r="B8" s="69"/>
      <c r="C8" s="69"/>
      <c r="D8" s="69"/>
      <c r="E8" s="69"/>
      <c r="F8" s="656"/>
      <c r="G8" s="69"/>
    </row>
    <row r="9" spans="1:15" ht="30">
      <c r="A9" s="3" t="s">
        <v>86</v>
      </c>
      <c r="B9" s="3" t="s">
        <v>563</v>
      </c>
      <c r="C9" s="178" t="s">
        <v>562</v>
      </c>
      <c r="D9" s="3" t="s">
        <v>561</v>
      </c>
      <c r="E9" s="3" t="s">
        <v>1242</v>
      </c>
      <c r="F9" s="3" t="s">
        <v>59</v>
      </c>
      <c r="G9" s="178" t="s">
        <v>8</v>
      </c>
      <c r="H9" s="3" t="str">
        <f>A9</f>
        <v>Line</v>
      </c>
    </row>
    <row r="10" spans="1:15" ht="30">
      <c r="A10" s="69">
        <v>100</v>
      </c>
      <c r="D10" s="6" t="s">
        <v>729</v>
      </c>
      <c r="E10" s="392">
        <f>E14+E20+E30+E36+E44</f>
        <v>-99305801.980000079</v>
      </c>
      <c r="F10" s="392">
        <f>F14+F20+F30+F36+F44</f>
        <v>245369132.92999998</v>
      </c>
      <c r="G10" s="291" t="s">
        <v>727</v>
      </c>
      <c r="H10" s="3">
        <f>A10</f>
        <v>100</v>
      </c>
    </row>
    <row r="11" spans="1:15">
      <c r="A11" s="3"/>
      <c r="E11" s="6"/>
      <c r="F11" s="21"/>
      <c r="G11" s="178"/>
      <c r="H11" s="3"/>
    </row>
    <row r="12" spans="1:15">
      <c r="A12" s="3"/>
      <c r="B12" s="60" t="s">
        <v>558</v>
      </c>
      <c r="C12" s="305"/>
      <c r="D12" s="305"/>
      <c r="E12" s="305"/>
      <c r="F12" s="551"/>
      <c r="G12" s="62"/>
    </row>
    <row r="13" spans="1:15">
      <c r="A13" s="69">
        <v>200</v>
      </c>
      <c r="B13" s="29"/>
      <c r="D13" s="6" t="s">
        <v>560</v>
      </c>
      <c r="E13" s="391">
        <v>-296</v>
      </c>
      <c r="F13" s="666"/>
      <c r="G13" s="304"/>
      <c r="H13" s="69">
        <f>A13</f>
        <v>200</v>
      </c>
    </row>
    <row r="14" spans="1:15">
      <c r="A14" s="69">
        <f>A13+1</f>
        <v>201</v>
      </c>
      <c r="B14" s="29"/>
      <c r="D14" s="6" t="s">
        <v>559</v>
      </c>
      <c r="E14" s="392">
        <f>SUM(E15:E17)</f>
        <v>-296</v>
      </c>
      <c r="F14" s="392">
        <f>SUM(F15:F17)</f>
        <v>-296</v>
      </c>
      <c r="G14" s="289"/>
      <c r="H14" s="69">
        <f>A14</f>
        <v>201</v>
      </c>
    </row>
    <row r="15" spans="1:15">
      <c r="A15" s="69">
        <f>A14+1</f>
        <v>202</v>
      </c>
      <c r="B15" s="29">
        <v>450</v>
      </c>
      <c r="C15" s="12">
        <v>4500000</v>
      </c>
      <c r="D15" s="12" t="s">
        <v>558</v>
      </c>
      <c r="E15" s="302">
        <v>-296</v>
      </c>
      <c r="F15" s="302">
        <f>E15</f>
        <v>-296</v>
      </c>
      <c r="G15" s="301" t="s">
        <v>88</v>
      </c>
      <c r="H15" s="69">
        <f>A15</f>
        <v>202</v>
      </c>
    </row>
    <row r="16" spans="1:15">
      <c r="A16" s="69">
        <f>A15+1</f>
        <v>203</v>
      </c>
      <c r="B16" s="64"/>
      <c r="C16" s="63"/>
      <c r="D16" s="63"/>
      <c r="E16" s="302"/>
      <c r="F16" s="634"/>
      <c r="G16" s="299"/>
      <c r="H16" s="69">
        <f>A16</f>
        <v>203</v>
      </c>
    </row>
    <row r="17" spans="1:8">
      <c r="A17" s="69">
        <f>A16+1</f>
        <v>204</v>
      </c>
      <c r="B17" s="300" t="s">
        <v>183</v>
      </c>
      <c r="C17" s="63"/>
      <c r="D17" s="63"/>
      <c r="E17" s="302"/>
      <c r="F17" s="634"/>
      <c r="G17" s="299"/>
      <c r="H17" s="69">
        <f>A17</f>
        <v>204</v>
      </c>
    </row>
    <row r="18" spans="1:8">
      <c r="A18" s="69"/>
      <c r="B18" s="65" t="s">
        <v>555</v>
      </c>
      <c r="C18" s="62"/>
      <c r="D18" s="62"/>
      <c r="E18" s="62"/>
      <c r="F18" s="551"/>
      <c r="G18" s="62"/>
      <c r="H18" s="69"/>
    </row>
    <row r="19" spans="1:8">
      <c r="A19" s="69">
        <v>300</v>
      </c>
      <c r="B19" s="29"/>
      <c r="D19" s="6" t="s">
        <v>557</v>
      </c>
      <c r="E19" s="391">
        <v>8281661</v>
      </c>
      <c r="F19" s="392"/>
      <c r="G19" s="304"/>
      <c r="H19" s="69">
        <f t="shared" ref="H19:H27" si="0">A19</f>
        <v>300</v>
      </c>
    </row>
    <row r="20" spans="1:8">
      <c r="A20" s="69">
        <f t="shared" ref="A20:A27" si="1">A19+1</f>
        <v>301</v>
      </c>
      <c r="B20" s="29"/>
      <c r="D20" s="6" t="s">
        <v>556</v>
      </c>
      <c r="E20" s="392">
        <f>SUM(E21:E27)</f>
        <v>8281661.3200000003</v>
      </c>
      <c r="F20" s="392">
        <f>SUM(F21:F27)</f>
        <v>7571383.3200000003</v>
      </c>
      <c r="G20" s="299"/>
      <c r="H20" s="69">
        <f t="shared" si="0"/>
        <v>301</v>
      </c>
    </row>
    <row r="21" spans="1:8">
      <c r="A21" s="69">
        <f t="shared" si="1"/>
        <v>302</v>
      </c>
      <c r="B21" s="29">
        <v>451</v>
      </c>
      <c r="C21" s="12">
        <v>4510000</v>
      </c>
      <c r="D21" s="12" t="s">
        <v>555</v>
      </c>
      <c r="E21" s="302">
        <v>1188235.4099999999</v>
      </c>
      <c r="F21" s="634">
        <f>E21</f>
        <v>1188235.4099999999</v>
      </c>
      <c r="G21" s="301" t="s">
        <v>88</v>
      </c>
      <c r="H21" s="69">
        <f t="shared" si="0"/>
        <v>302</v>
      </c>
    </row>
    <row r="22" spans="1:8">
      <c r="A22" s="69">
        <f t="shared" si="1"/>
        <v>303</v>
      </c>
      <c r="B22" s="29">
        <v>451</v>
      </c>
      <c r="C22" s="12">
        <v>4510007</v>
      </c>
      <c r="D22" s="12" t="s">
        <v>554</v>
      </c>
      <c r="E22" s="302">
        <v>899954.36</v>
      </c>
      <c r="F22" s="634">
        <f>E22-710278</f>
        <v>189676.36</v>
      </c>
      <c r="G22" s="301" t="s">
        <v>88</v>
      </c>
      <c r="H22" s="11">
        <f t="shared" si="0"/>
        <v>303</v>
      </c>
    </row>
    <row r="23" spans="1:8">
      <c r="A23" s="69">
        <f t="shared" si="1"/>
        <v>304</v>
      </c>
      <c r="B23" s="29">
        <v>451</v>
      </c>
      <c r="C23" s="12">
        <v>4510040</v>
      </c>
      <c r="D23" s="12" t="s">
        <v>553</v>
      </c>
      <c r="E23" s="302">
        <v>4274474.96</v>
      </c>
      <c r="F23" s="634">
        <f t="shared" ref="F23:F26" si="2">E23</f>
        <v>4274474.96</v>
      </c>
      <c r="G23" s="301" t="s">
        <v>88</v>
      </c>
      <c r="H23" s="69">
        <f t="shared" si="0"/>
        <v>304</v>
      </c>
    </row>
    <row r="24" spans="1:8">
      <c r="A24" s="69">
        <f t="shared" si="1"/>
        <v>305</v>
      </c>
      <c r="B24" s="29">
        <v>451</v>
      </c>
      <c r="C24" s="12">
        <v>4510041</v>
      </c>
      <c r="D24" s="45" t="s">
        <v>552</v>
      </c>
      <c r="E24" s="302">
        <v>1105295.1100000001</v>
      </c>
      <c r="F24" s="634">
        <f t="shared" si="2"/>
        <v>1105295.1100000001</v>
      </c>
      <c r="G24" s="301" t="s">
        <v>88</v>
      </c>
      <c r="H24" s="69">
        <f t="shared" si="0"/>
        <v>305</v>
      </c>
    </row>
    <row r="25" spans="1:8">
      <c r="A25" s="69">
        <f t="shared" si="1"/>
        <v>306</v>
      </c>
      <c r="B25" s="29">
        <v>451</v>
      </c>
      <c r="C25" s="12">
        <v>4510043</v>
      </c>
      <c r="D25" s="12" t="s">
        <v>551</v>
      </c>
      <c r="E25" s="302">
        <v>813701.48</v>
      </c>
      <c r="F25" s="634">
        <f t="shared" si="2"/>
        <v>813701.48</v>
      </c>
      <c r="G25" s="301" t="s">
        <v>88</v>
      </c>
      <c r="H25" s="69">
        <f t="shared" si="0"/>
        <v>306</v>
      </c>
    </row>
    <row r="26" spans="1:8">
      <c r="A26" s="69">
        <f t="shared" si="1"/>
        <v>307</v>
      </c>
      <c r="B26" s="64">
        <v>451</v>
      </c>
      <c r="C26" s="63">
        <v>4510005</v>
      </c>
      <c r="D26" s="63" t="s">
        <v>1671</v>
      </c>
      <c r="E26" s="302">
        <v>0</v>
      </c>
      <c r="F26" s="634">
        <f t="shared" si="2"/>
        <v>0</v>
      </c>
      <c r="G26" s="299"/>
      <c r="H26" s="69">
        <f t="shared" si="0"/>
        <v>307</v>
      </c>
    </row>
    <row r="27" spans="1:8">
      <c r="A27" s="69">
        <f t="shared" si="1"/>
        <v>308</v>
      </c>
      <c r="B27" s="300" t="s">
        <v>183</v>
      </c>
      <c r="C27" s="63"/>
      <c r="D27" s="63"/>
      <c r="E27" s="302"/>
      <c r="F27" s="634"/>
      <c r="G27" s="299"/>
      <c r="H27" s="69">
        <f t="shared" si="0"/>
        <v>308</v>
      </c>
    </row>
    <row r="28" spans="1:8">
      <c r="A28" s="69"/>
      <c r="B28" s="65" t="s">
        <v>548</v>
      </c>
      <c r="C28" s="62"/>
      <c r="D28" s="62"/>
      <c r="E28" s="62"/>
      <c r="F28" s="551"/>
      <c r="G28" s="62"/>
      <c r="H28" s="69"/>
    </row>
    <row r="29" spans="1:8">
      <c r="A29" s="69">
        <v>400</v>
      </c>
      <c r="B29" s="29"/>
      <c r="D29" s="6" t="s">
        <v>550</v>
      </c>
      <c r="E29" s="302">
        <v>3191997</v>
      </c>
      <c r="F29" s="392"/>
      <c r="G29" s="289"/>
      <c r="H29" s="69">
        <f>A29</f>
        <v>400</v>
      </c>
    </row>
    <row r="30" spans="1:8">
      <c r="A30" s="69">
        <f>A29+1</f>
        <v>401</v>
      </c>
      <c r="B30" s="29"/>
      <c r="D30" s="6" t="s">
        <v>549</v>
      </c>
      <c r="E30" s="392">
        <f>SUM(E31:E33)</f>
        <v>3191997</v>
      </c>
      <c r="F30" s="392">
        <f>SUM(F31:F33)</f>
        <v>0</v>
      </c>
      <c r="G30" s="304"/>
      <c r="H30" s="69">
        <f>A30</f>
        <v>401</v>
      </c>
    </row>
    <row r="31" spans="1:8">
      <c r="A31" s="69">
        <f>A30+1</f>
        <v>402</v>
      </c>
      <c r="B31" s="29">
        <v>453</v>
      </c>
      <c r="C31" s="12">
        <v>4530000</v>
      </c>
      <c r="D31" s="12" t="s">
        <v>548</v>
      </c>
      <c r="E31" s="302">
        <v>3191997</v>
      </c>
      <c r="F31" s="634"/>
      <c r="G31" s="301" t="s">
        <v>88</v>
      </c>
      <c r="H31" s="69">
        <f>A31</f>
        <v>402</v>
      </c>
    </row>
    <row r="32" spans="1:8">
      <c r="A32" s="69">
        <f>A31+1</f>
        <v>403</v>
      </c>
      <c r="B32" s="64"/>
      <c r="C32" s="63"/>
      <c r="D32" s="63"/>
      <c r="E32" s="302"/>
      <c r="F32" s="634"/>
      <c r="G32" s="299"/>
      <c r="H32" s="69">
        <f>A32</f>
        <v>403</v>
      </c>
    </row>
    <row r="33" spans="1:8">
      <c r="A33" s="69">
        <f>A32+1</f>
        <v>404</v>
      </c>
      <c r="B33" s="300" t="s">
        <v>769</v>
      </c>
      <c r="C33" s="63"/>
      <c r="D33" s="63"/>
      <c r="E33" s="302"/>
      <c r="F33" s="634"/>
      <c r="G33" s="299"/>
      <c r="H33" s="69">
        <f>A33</f>
        <v>404</v>
      </c>
    </row>
    <row r="34" spans="1:8">
      <c r="A34" s="69"/>
      <c r="B34" s="65" t="s">
        <v>440</v>
      </c>
      <c r="C34" s="62"/>
      <c r="D34" s="62"/>
      <c r="E34" s="62"/>
      <c r="F34" s="551"/>
      <c r="G34" s="62"/>
      <c r="H34" s="69"/>
    </row>
    <row r="35" spans="1:8">
      <c r="A35" s="69">
        <v>500</v>
      </c>
      <c r="B35" s="29"/>
      <c r="D35" s="8" t="s">
        <v>547</v>
      </c>
      <c r="E35" s="391">
        <v>68263578</v>
      </c>
      <c r="F35" s="392"/>
      <c r="G35" s="304"/>
      <c r="H35" s="69">
        <f t="shared" ref="H35:H41" si="3">A35</f>
        <v>500</v>
      </c>
    </row>
    <row r="36" spans="1:8">
      <c r="A36" s="69">
        <f t="shared" ref="A36:A41" si="4">A35+1</f>
        <v>501</v>
      </c>
      <c r="B36" s="29"/>
      <c r="D36" s="8" t="s">
        <v>546</v>
      </c>
      <c r="E36" s="392">
        <f>SUM(E37:E41)</f>
        <v>68263578</v>
      </c>
      <c r="F36" s="392">
        <f>SUM(F37:F41)</f>
        <v>40035414</v>
      </c>
      <c r="G36" s="289"/>
      <c r="H36" s="69">
        <f t="shared" si="3"/>
        <v>501</v>
      </c>
    </row>
    <row r="37" spans="1:8">
      <c r="A37" s="69">
        <f t="shared" si="4"/>
        <v>502</v>
      </c>
      <c r="B37" s="29">
        <v>454</v>
      </c>
      <c r="C37" s="12">
        <v>4540010</v>
      </c>
      <c r="D37" s="25" t="s">
        <v>545</v>
      </c>
      <c r="E37" s="302">
        <v>43701376</v>
      </c>
      <c r="F37" s="302">
        <f>43701376-11530262</f>
        <v>32171114</v>
      </c>
      <c r="G37" s="301" t="s">
        <v>544</v>
      </c>
      <c r="H37" s="69">
        <f t="shared" si="3"/>
        <v>502</v>
      </c>
    </row>
    <row r="38" spans="1:8">
      <c r="A38" s="69">
        <f t="shared" si="4"/>
        <v>503</v>
      </c>
      <c r="B38" s="29">
        <v>454</v>
      </c>
      <c r="C38" s="12">
        <v>4540012</v>
      </c>
      <c r="D38" s="12" t="s">
        <v>543</v>
      </c>
      <c r="E38" s="302">
        <v>20169782</v>
      </c>
      <c r="F38" s="302">
        <f>20169782-13325974</f>
        <v>6843808</v>
      </c>
      <c r="G38" s="301" t="s">
        <v>88</v>
      </c>
      <c r="H38" s="11">
        <f t="shared" si="3"/>
        <v>503</v>
      </c>
    </row>
    <row r="39" spans="1:8">
      <c r="A39" s="69">
        <f t="shared" si="4"/>
        <v>504</v>
      </c>
      <c r="B39" s="29">
        <v>454</v>
      </c>
      <c r="C39" s="12">
        <v>4540013</v>
      </c>
      <c r="D39" s="45" t="s">
        <v>542</v>
      </c>
      <c r="E39" s="302">
        <v>4392420</v>
      </c>
      <c r="F39" s="302">
        <f>4392420-3371928</f>
        <v>1020492</v>
      </c>
      <c r="G39" s="301" t="s">
        <v>88</v>
      </c>
      <c r="H39" s="11">
        <f t="shared" si="3"/>
        <v>504</v>
      </c>
    </row>
    <row r="40" spans="1:8">
      <c r="A40" s="69">
        <f t="shared" si="4"/>
        <v>505</v>
      </c>
      <c r="B40" s="64"/>
      <c r="C40" s="63"/>
      <c r="D40" s="63"/>
      <c r="E40" s="302"/>
      <c r="F40" s="634"/>
      <c r="G40" s="299"/>
      <c r="H40" s="69">
        <f t="shared" si="3"/>
        <v>505</v>
      </c>
    </row>
    <row r="41" spans="1:8">
      <c r="A41" s="69">
        <f t="shared" si="4"/>
        <v>506</v>
      </c>
      <c r="B41" s="300" t="s">
        <v>769</v>
      </c>
      <c r="C41" s="63"/>
      <c r="D41" s="63"/>
      <c r="E41" s="302"/>
      <c r="F41" s="634"/>
      <c r="G41" s="299"/>
      <c r="H41" s="69">
        <f t="shared" si="3"/>
        <v>506</v>
      </c>
    </row>
    <row r="42" spans="1:8">
      <c r="A42" s="69"/>
      <c r="B42" s="65" t="s">
        <v>541</v>
      </c>
      <c r="C42" s="62"/>
      <c r="D42" s="62"/>
      <c r="E42" s="62"/>
      <c r="F42" s="551"/>
      <c r="G42" s="62"/>
      <c r="H42" s="69"/>
    </row>
    <row r="43" spans="1:8">
      <c r="A43" s="69">
        <v>600</v>
      </c>
      <c r="B43" s="38"/>
      <c r="C43" s="24"/>
      <c r="D43" s="8" t="s">
        <v>728</v>
      </c>
      <c r="E43" s="391">
        <v>-179042742.30000007</v>
      </c>
      <c r="F43" s="392"/>
      <c r="G43" s="13" t="s">
        <v>87</v>
      </c>
      <c r="H43" s="69">
        <f t="shared" ref="H43:H63" si="5">A43</f>
        <v>600</v>
      </c>
    </row>
    <row r="44" spans="1:8">
      <c r="A44" s="69">
        <f t="shared" ref="A44:A63" si="6">A43+1</f>
        <v>601</v>
      </c>
      <c r="B44" s="38"/>
      <c r="C44" s="24"/>
      <c r="D44" s="8" t="s">
        <v>540</v>
      </c>
      <c r="E44" s="392">
        <f>SUM(E45:E63)</f>
        <v>-179042742.30000007</v>
      </c>
      <c r="F44" s="392">
        <f>SUM(F45:F63)</f>
        <v>197762631.60999998</v>
      </c>
      <c r="G44" s="299"/>
      <c r="H44" s="69">
        <f t="shared" si="5"/>
        <v>601</v>
      </c>
    </row>
    <row r="45" spans="1:8">
      <c r="A45" s="69">
        <f t="shared" si="6"/>
        <v>602</v>
      </c>
      <c r="B45" s="29">
        <v>456</v>
      </c>
      <c r="C45" s="12">
        <v>4560099</v>
      </c>
      <c r="D45" s="12" t="s">
        <v>539</v>
      </c>
      <c r="E45" s="302">
        <v>85614954.869999975</v>
      </c>
      <c r="F45" s="302">
        <v>85614954.869999975</v>
      </c>
      <c r="G45" s="301" t="s">
        <v>88</v>
      </c>
      <c r="H45" s="69">
        <f t="shared" si="5"/>
        <v>602</v>
      </c>
    </row>
    <row r="46" spans="1:8">
      <c r="A46" s="69">
        <f t="shared" si="6"/>
        <v>603</v>
      </c>
      <c r="B46" s="50">
        <v>456</v>
      </c>
      <c r="C46" s="46"/>
      <c r="D46" s="12" t="s">
        <v>538</v>
      </c>
      <c r="E46" s="302">
        <v>624405</v>
      </c>
      <c r="F46" s="302"/>
      <c r="G46" s="301" t="s">
        <v>88</v>
      </c>
      <c r="H46" s="69">
        <f t="shared" si="5"/>
        <v>603</v>
      </c>
    </row>
    <row r="47" spans="1:8">
      <c r="A47" s="69">
        <f t="shared" si="6"/>
        <v>604</v>
      </c>
      <c r="B47" s="29">
        <v>456</v>
      </c>
      <c r="C47" s="12">
        <v>4560050</v>
      </c>
      <c r="D47" s="12" t="s">
        <v>537</v>
      </c>
      <c r="E47" s="302">
        <v>728872.17</v>
      </c>
      <c r="F47" s="302"/>
      <c r="G47" s="301" t="s">
        <v>88</v>
      </c>
      <c r="H47" s="69">
        <f t="shared" si="5"/>
        <v>604</v>
      </c>
    </row>
    <row r="48" spans="1:8">
      <c r="A48" s="69">
        <f t="shared" si="6"/>
        <v>605</v>
      </c>
      <c r="B48" s="29">
        <v>456</v>
      </c>
      <c r="C48" s="12">
        <v>4560070</v>
      </c>
      <c r="D48" s="12" t="s">
        <v>536</v>
      </c>
      <c r="E48" s="302">
        <v>0</v>
      </c>
      <c r="F48" s="302"/>
      <c r="G48" s="301" t="s">
        <v>88</v>
      </c>
      <c r="H48" s="69">
        <f t="shared" si="5"/>
        <v>605</v>
      </c>
    </row>
    <row r="49" spans="1:8">
      <c r="A49" s="69">
        <f t="shared" si="6"/>
        <v>606</v>
      </c>
      <c r="B49" s="29">
        <v>456</v>
      </c>
      <c r="C49" s="12">
        <v>4560014</v>
      </c>
      <c r="D49" s="12" t="s">
        <v>535</v>
      </c>
      <c r="E49" s="302">
        <v>71187.259999999995</v>
      </c>
      <c r="F49" s="302"/>
      <c r="G49" s="301" t="s">
        <v>88</v>
      </c>
      <c r="H49" s="69">
        <f t="shared" si="5"/>
        <v>606</v>
      </c>
    </row>
    <row r="50" spans="1:8">
      <c r="A50" s="69">
        <f t="shared" si="6"/>
        <v>607</v>
      </c>
      <c r="B50" s="29">
        <v>456</v>
      </c>
      <c r="C50" s="12">
        <v>4560022</v>
      </c>
      <c r="D50" s="12" t="s">
        <v>534</v>
      </c>
      <c r="E50" s="302">
        <v>2867317.7300000004</v>
      </c>
      <c r="F50" s="302">
        <v>2867317.7300000004</v>
      </c>
      <c r="G50" s="301" t="s">
        <v>88</v>
      </c>
      <c r="H50" s="69">
        <f t="shared" si="5"/>
        <v>607</v>
      </c>
    </row>
    <row r="51" spans="1:8">
      <c r="A51" s="69">
        <f t="shared" si="6"/>
        <v>608</v>
      </c>
      <c r="B51" s="29">
        <v>456</v>
      </c>
      <c r="C51" s="12">
        <v>4560093</v>
      </c>
      <c r="D51" s="12" t="s">
        <v>533</v>
      </c>
      <c r="E51" s="302">
        <v>4937.76</v>
      </c>
      <c r="F51" s="302">
        <v>4937.76</v>
      </c>
      <c r="G51" s="301" t="s">
        <v>88</v>
      </c>
      <c r="H51" s="69">
        <f t="shared" si="5"/>
        <v>608</v>
      </c>
    </row>
    <row r="52" spans="1:8">
      <c r="A52" s="69">
        <f t="shared" si="6"/>
        <v>609</v>
      </c>
      <c r="B52" s="29">
        <v>456</v>
      </c>
      <c r="C52" s="12">
        <v>4560091</v>
      </c>
      <c r="D52" s="12" t="s">
        <v>532</v>
      </c>
      <c r="E52" s="302">
        <v>48106710.039999999</v>
      </c>
      <c r="F52" s="302"/>
      <c r="G52" s="301" t="s">
        <v>88</v>
      </c>
      <c r="H52" s="69">
        <f t="shared" si="5"/>
        <v>609</v>
      </c>
    </row>
    <row r="53" spans="1:8">
      <c r="A53" s="69">
        <f t="shared" si="6"/>
        <v>610</v>
      </c>
      <c r="B53" s="29">
        <v>456</v>
      </c>
      <c r="C53" s="12">
        <v>4560098</v>
      </c>
      <c r="D53" s="12" t="s">
        <v>531</v>
      </c>
      <c r="E53" s="302">
        <v>77058758.680000007</v>
      </c>
      <c r="F53" s="302">
        <f>77058758.68-13022623</f>
        <v>64036135.680000007</v>
      </c>
      <c r="G53" s="301" t="s">
        <v>88</v>
      </c>
      <c r="H53" s="11">
        <f t="shared" si="5"/>
        <v>610</v>
      </c>
    </row>
    <row r="54" spans="1:8">
      <c r="A54" s="69">
        <f t="shared" si="6"/>
        <v>611</v>
      </c>
      <c r="B54" s="29">
        <v>456</v>
      </c>
      <c r="C54" s="12">
        <v>4560000</v>
      </c>
      <c r="D54" s="12" t="s">
        <v>530</v>
      </c>
      <c r="E54" s="302">
        <v>35213382</v>
      </c>
      <c r="F54" s="302"/>
      <c r="G54" s="301" t="s">
        <v>88</v>
      </c>
      <c r="H54" s="69">
        <f t="shared" si="5"/>
        <v>611</v>
      </c>
    </row>
    <row r="55" spans="1:8">
      <c r="A55" s="69">
        <f t="shared" si="6"/>
        <v>612</v>
      </c>
      <c r="B55" s="29">
        <v>456</v>
      </c>
      <c r="C55" s="12">
        <v>4560001</v>
      </c>
      <c r="D55" s="12" t="s">
        <v>529</v>
      </c>
      <c r="E55" s="302">
        <v>43991133.649999991</v>
      </c>
      <c r="F55" s="302">
        <f>43991133.65-1514202-12</f>
        <v>42476919.649999999</v>
      </c>
      <c r="G55" s="301" t="s">
        <v>528</v>
      </c>
      <c r="H55" s="69">
        <f t="shared" si="5"/>
        <v>612</v>
      </c>
    </row>
    <row r="56" spans="1:8">
      <c r="A56" s="69">
        <f t="shared" si="6"/>
        <v>613</v>
      </c>
      <c r="B56" s="29">
        <v>456</v>
      </c>
      <c r="C56" s="12">
        <v>4560002</v>
      </c>
      <c r="D56" s="12" t="s">
        <v>527</v>
      </c>
      <c r="E56" s="302">
        <v>-1254</v>
      </c>
      <c r="F56" s="302">
        <v>-1254</v>
      </c>
      <c r="G56" s="301" t="s">
        <v>88</v>
      </c>
      <c r="H56" s="69">
        <f t="shared" si="5"/>
        <v>613</v>
      </c>
    </row>
    <row r="57" spans="1:8">
      <c r="A57" s="69">
        <f t="shared" si="6"/>
        <v>614</v>
      </c>
      <c r="B57" s="29">
        <v>456</v>
      </c>
      <c r="C57" s="12">
        <v>4560003</v>
      </c>
      <c r="D57" s="12" t="s">
        <v>526</v>
      </c>
      <c r="E57" s="302">
        <v>14702254.24</v>
      </c>
      <c r="F57" s="302"/>
      <c r="G57" s="301" t="s">
        <v>88</v>
      </c>
      <c r="H57" s="69">
        <f t="shared" si="5"/>
        <v>614</v>
      </c>
    </row>
    <row r="58" spans="1:8">
      <c r="A58" s="69">
        <f t="shared" si="6"/>
        <v>615</v>
      </c>
      <c r="B58" s="29">
        <v>456</v>
      </c>
      <c r="C58" s="12">
        <v>4560095</v>
      </c>
      <c r="D58" s="12" t="s">
        <v>525</v>
      </c>
      <c r="E58" s="302">
        <v>-422472356.57999998</v>
      </c>
      <c r="F58" s="302"/>
      <c r="G58" s="301" t="s">
        <v>88</v>
      </c>
      <c r="H58" s="69">
        <f t="shared" si="5"/>
        <v>615</v>
      </c>
    </row>
    <row r="59" spans="1:8">
      <c r="A59" s="69">
        <f t="shared" si="6"/>
        <v>616</v>
      </c>
      <c r="B59" s="29">
        <v>456</v>
      </c>
      <c r="C59" s="12">
        <v>4560005</v>
      </c>
      <c r="D59" s="12" t="s">
        <v>524</v>
      </c>
      <c r="E59" s="302">
        <v>-102089590.55</v>
      </c>
      <c r="F59" s="302"/>
      <c r="G59" s="301" t="s">
        <v>88</v>
      </c>
      <c r="H59" s="69">
        <f t="shared" si="5"/>
        <v>616</v>
      </c>
    </row>
    <row r="60" spans="1:8">
      <c r="A60" s="69">
        <f t="shared" si="6"/>
        <v>617</v>
      </c>
      <c r="B60" s="29">
        <v>456</v>
      </c>
      <c r="C60" s="12">
        <v>9414000</v>
      </c>
      <c r="D60" s="12" t="s">
        <v>523</v>
      </c>
      <c r="E60" s="302">
        <v>0</v>
      </c>
      <c r="F60" s="302"/>
      <c r="G60" s="301" t="s">
        <v>88</v>
      </c>
      <c r="H60" s="69">
        <f t="shared" si="5"/>
        <v>617</v>
      </c>
    </row>
    <row r="61" spans="1:8">
      <c r="A61" s="69">
        <f t="shared" si="6"/>
        <v>618</v>
      </c>
      <c r="B61" s="29">
        <v>456.1</v>
      </c>
      <c r="C61" s="12">
        <v>4561000</v>
      </c>
      <c r="D61" s="46" t="s">
        <v>522</v>
      </c>
      <c r="E61" s="302">
        <v>4420311.08</v>
      </c>
      <c r="F61" s="302"/>
      <c r="G61" s="301" t="s">
        <v>521</v>
      </c>
      <c r="H61" s="69">
        <f t="shared" si="5"/>
        <v>618</v>
      </c>
    </row>
    <row r="62" spans="1:8">
      <c r="A62" s="69">
        <f t="shared" si="6"/>
        <v>619</v>
      </c>
      <c r="B62" s="945">
        <v>456</v>
      </c>
      <c r="C62" s="550">
        <v>4560052</v>
      </c>
      <c r="D62" s="550" t="s">
        <v>539</v>
      </c>
      <c r="E62" s="302">
        <v>32116234.349999934</v>
      </c>
      <c r="F62" s="302">
        <v>2763619.92</v>
      </c>
      <c r="G62" s="301" t="s">
        <v>88</v>
      </c>
      <c r="H62" s="69">
        <f t="shared" si="5"/>
        <v>619</v>
      </c>
    </row>
    <row r="63" spans="1:8">
      <c r="A63" s="69">
        <f t="shared" si="6"/>
        <v>620</v>
      </c>
      <c r="B63" s="300" t="s">
        <v>769</v>
      </c>
      <c r="C63" s="63"/>
      <c r="D63" s="63"/>
      <c r="E63" s="302"/>
      <c r="F63" s="634"/>
      <c r="G63" s="299"/>
      <c r="H63" s="69">
        <f t="shared" si="5"/>
        <v>620</v>
      </c>
    </row>
    <row r="65" spans="1:8">
      <c r="A65" s="69"/>
      <c r="B65" s="9" t="s">
        <v>89</v>
      </c>
      <c r="E65" s="299"/>
      <c r="H65" s="69"/>
    </row>
    <row r="66" spans="1:8">
      <c r="A66" s="69"/>
      <c r="B66" s="46" t="s">
        <v>520</v>
      </c>
      <c r="H66" s="69"/>
    </row>
    <row r="67" spans="1:8">
      <c r="A67" s="69"/>
      <c r="B67" s="46" t="s">
        <v>1470</v>
      </c>
      <c r="H67" s="69"/>
    </row>
    <row r="68" spans="1:8">
      <c r="B68" s="46" t="s">
        <v>1471</v>
      </c>
    </row>
    <row r="69" spans="1:8">
      <c r="B69" s="46" t="s">
        <v>1472</v>
      </c>
    </row>
    <row r="70" spans="1:8">
      <c r="B70" s="46" t="s">
        <v>615</v>
      </c>
      <c r="D70" s="45"/>
    </row>
  </sheetData>
  <phoneticPr fontId="104" type="noConversion"/>
  <printOptions horizontalCentered="1"/>
  <pageMargins left="1" right="1" top="1" bottom="1" header="0.5" footer="0.5"/>
  <pageSetup scale="72" fitToHeight="0" orientation="landscape" r:id="rId1"/>
  <headerFooter>
    <oddHeader>&amp;C&amp;"-,Bold"&amp;12Pacific Gas and Electric Company
Formula Rate Model
Schedule 20-RevenueCredits</oddHeader>
  </headerFooter>
  <rowBreaks count="1" manualBreakCount="1">
    <brk id="41" max="7" man="1"/>
  </rowBreaks>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42A27-762D-434C-B449-A5273A37DD24}">
  <sheetPr codeName="Sheet28">
    <pageSetUpPr fitToPage="1"/>
  </sheetPr>
  <dimension ref="A1:I22"/>
  <sheetViews>
    <sheetView view="pageBreakPreview" zoomScaleNormal="100" zoomScaleSheetLayoutView="100" workbookViewId="0">
      <selection activeCell="G13" sqref="G13"/>
    </sheetView>
  </sheetViews>
  <sheetFormatPr defaultRowHeight="15"/>
  <cols>
    <col min="2" max="2" width="64.7109375" bestFit="1" customWidth="1"/>
    <col min="3" max="3" width="17.5703125" bestFit="1" customWidth="1"/>
    <col min="4" max="4" width="56" bestFit="1" customWidth="1"/>
    <col min="6" max="6" width="15.5703125" bestFit="1" customWidth="1"/>
  </cols>
  <sheetData>
    <row r="1" spans="1:9">
      <c r="B1" s="2" t="s">
        <v>1277</v>
      </c>
      <c r="D1" s="8" t="str">
        <f>CONCATENATE("Rate Year: ",'1-DRR'!$K$1)</f>
        <v>Rate Year: 2023</v>
      </c>
    </row>
    <row r="2" spans="1:9">
      <c r="B2" s="2"/>
    </row>
    <row r="3" spans="1:9">
      <c r="B3" s="65" t="s">
        <v>1272</v>
      </c>
      <c r="C3" s="307"/>
      <c r="D3" s="307"/>
    </row>
    <row r="4" spans="1:9">
      <c r="A4" s="3" t="s">
        <v>86</v>
      </c>
      <c r="B4" s="2"/>
      <c r="D4" s="3" t="s">
        <v>38</v>
      </c>
      <c r="E4" s="3" t="s">
        <v>86</v>
      </c>
    </row>
    <row r="5" spans="1:9">
      <c r="A5" s="668">
        <v>100</v>
      </c>
      <c r="B5" s="6" t="s">
        <v>1271</v>
      </c>
      <c r="C5" s="311">
        <f>C17</f>
        <v>8.9423459065728246E-3</v>
      </c>
      <c r="D5" t="s">
        <v>1288</v>
      </c>
      <c r="E5" s="668">
        <f t="shared" ref="E5" si="0">A5</f>
        <v>100</v>
      </c>
    </row>
    <row r="6" spans="1:9">
      <c r="B6" s="2"/>
    </row>
    <row r="7" spans="1:9">
      <c r="B7" s="65" t="s">
        <v>1269</v>
      </c>
      <c r="C7" s="307"/>
      <c r="D7" s="307"/>
    </row>
    <row r="8" spans="1:9">
      <c r="A8" s="3" t="s">
        <v>86</v>
      </c>
      <c r="B8" s="3" t="s">
        <v>91</v>
      </c>
      <c r="C8" s="3" t="s">
        <v>57</v>
      </c>
      <c r="D8" s="3" t="s">
        <v>38</v>
      </c>
      <c r="E8" s="3" t="str">
        <f>A8</f>
        <v>Line</v>
      </c>
    </row>
    <row r="9" spans="1:9">
      <c r="A9" s="644">
        <v>200</v>
      </c>
      <c r="B9" t="s">
        <v>1058</v>
      </c>
      <c r="C9" s="556">
        <f>'1-DRR'!E120</f>
        <v>7216462599.0142593</v>
      </c>
      <c r="D9" t="s">
        <v>1660</v>
      </c>
      <c r="E9" s="644">
        <f t="shared" ref="E9:E17" si="1">A9</f>
        <v>200</v>
      </c>
      <c r="F9" s="556"/>
    </row>
    <row r="10" spans="1:9">
      <c r="A10" s="644">
        <f>A9+1</f>
        <v>201</v>
      </c>
      <c r="B10" s="45" t="s">
        <v>1018</v>
      </c>
      <c r="C10" s="556">
        <f>'1-DRR'!E106</f>
        <v>1407258088.55</v>
      </c>
      <c r="D10" t="s">
        <v>1229</v>
      </c>
      <c r="E10" s="644">
        <f t="shared" si="1"/>
        <v>201</v>
      </c>
      <c r="F10" s="556"/>
    </row>
    <row r="11" spans="1:9">
      <c r="A11" s="644">
        <f t="shared" ref="A11:A17" si="2">A10+1</f>
        <v>202</v>
      </c>
      <c r="B11" t="s">
        <v>1232</v>
      </c>
      <c r="C11" s="556">
        <f>'1-DRR'!E9</f>
        <v>2889991282.3299999</v>
      </c>
      <c r="D11" t="s">
        <v>1399</v>
      </c>
      <c r="E11" s="644">
        <f t="shared" si="1"/>
        <v>202</v>
      </c>
      <c r="F11" s="556"/>
      <c r="I11" s="593"/>
    </row>
    <row r="12" spans="1:9">
      <c r="A12" s="644">
        <f t="shared" si="2"/>
        <v>203</v>
      </c>
      <c r="B12" s="319" t="s">
        <v>1231</v>
      </c>
      <c r="C12" s="556">
        <f>'1-DRR'!E10</f>
        <v>39854124414.329987</v>
      </c>
      <c r="D12" t="s">
        <v>1400</v>
      </c>
      <c r="E12" s="644">
        <f t="shared" si="1"/>
        <v>203</v>
      </c>
      <c r="F12" s="556"/>
      <c r="I12" s="593"/>
    </row>
    <row r="13" spans="1:9">
      <c r="A13" s="644">
        <f t="shared" si="2"/>
        <v>204</v>
      </c>
      <c r="B13" t="s">
        <v>1233</v>
      </c>
      <c r="C13" s="556">
        <f>'1-DRR'!E108+'1-DRR'!E110</f>
        <v>1652351087.1671658</v>
      </c>
      <c r="D13" t="s">
        <v>1230</v>
      </c>
      <c r="E13" s="644">
        <f t="shared" si="1"/>
        <v>204</v>
      </c>
      <c r="F13" s="556"/>
      <c r="I13" s="593"/>
    </row>
    <row r="14" spans="1:9">
      <c r="A14" s="644">
        <f t="shared" si="2"/>
        <v>205</v>
      </c>
      <c r="B14" t="s">
        <v>1234</v>
      </c>
      <c r="C14" s="556">
        <f>(C11/C12)*C13</f>
        <v>119818972.50124012</v>
      </c>
      <c r="D14" t="s">
        <v>1273</v>
      </c>
      <c r="E14" s="644">
        <f t="shared" si="1"/>
        <v>205</v>
      </c>
      <c r="F14" s="556"/>
      <c r="I14" s="593"/>
    </row>
    <row r="15" spans="1:9">
      <c r="A15" s="644">
        <f t="shared" si="2"/>
        <v>206</v>
      </c>
      <c r="B15" t="s">
        <v>1059</v>
      </c>
      <c r="C15" s="556">
        <f>C9-C10-C13+C14</f>
        <v>4276672395.7983336</v>
      </c>
      <c r="D15" t="s">
        <v>1274</v>
      </c>
      <c r="E15" s="644">
        <f t="shared" si="1"/>
        <v>206</v>
      </c>
      <c r="F15" s="556"/>
    </row>
    <row r="16" spans="1:9">
      <c r="A16" s="644">
        <f t="shared" si="2"/>
        <v>207</v>
      </c>
      <c r="B16" t="s">
        <v>1060</v>
      </c>
      <c r="C16" s="670">
        <f>C15/C12</f>
        <v>0.1073081508788739</v>
      </c>
      <c r="D16" t="s">
        <v>1275</v>
      </c>
      <c r="E16" s="644">
        <f t="shared" si="1"/>
        <v>207</v>
      </c>
      <c r="F16" s="670"/>
    </row>
    <row r="17" spans="1:6">
      <c r="A17" s="644">
        <f t="shared" si="2"/>
        <v>208</v>
      </c>
      <c r="B17" t="s">
        <v>1270</v>
      </c>
      <c r="C17" s="670">
        <f>C16/12</f>
        <v>8.9423459065728246E-3</v>
      </c>
      <c r="D17" t="s">
        <v>1276</v>
      </c>
      <c r="E17" s="644">
        <f t="shared" si="1"/>
        <v>208</v>
      </c>
      <c r="F17" s="670"/>
    </row>
    <row r="22" spans="1:6">
      <c r="C22" s="513"/>
    </row>
  </sheetData>
  <printOptions horizontalCentered="1"/>
  <pageMargins left="1" right="1" top="1" bottom="1" header="0.5" footer="0.5"/>
  <pageSetup scale="73" fitToHeight="0" orientation="landscape" r:id="rId1"/>
  <headerFooter>
    <oddHeader>&amp;C&amp;"-,Bold"&amp;12Pacific Gas and Electric Company
Formula Rate Model
Schedule 21-CoO</oddHead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fitToPage="1"/>
  </sheetPr>
  <dimension ref="A1:F25"/>
  <sheetViews>
    <sheetView view="pageBreakPreview" zoomScale="115" zoomScaleNormal="100" zoomScaleSheetLayoutView="115" workbookViewId="0">
      <selection activeCell="G13" sqref="G13"/>
    </sheetView>
  </sheetViews>
  <sheetFormatPr defaultColWidth="9.140625" defaultRowHeight="15"/>
  <cols>
    <col min="1" max="1" width="4.7109375" style="12" bestFit="1" customWidth="1"/>
    <col min="2" max="2" width="34.85546875" style="12" bestFit="1" customWidth="1"/>
    <col min="3" max="3" width="9.42578125" style="12" customWidth="1"/>
    <col min="4" max="4" width="46" style="12" customWidth="1"/>
    <col min="5" max="5" width="46.140625" style="12" customWidth="1"/>
    <col min="6" max="6" width="4.7109375" style="12" bestFit="1" customWidth="1"/>
    <col min="7" max="16384" width="9.140625" style="12"/>
  </cols>
  <sheetData>
    <row r="1" spans="1:6">
      <c r="B1" s="184" t="s">
        <v>570</v>
      </c>
      <c r="D1" s="23"/>
      <c r="E1" s="8" t="str">
        <f>CONCATENATE("Prior Year: ",'1-DRR'!$K$2)</f>
        <v>Prior Year: 2021</v>
      </c>
    </row>
    <row r="2" spans="1:6">
      <c r="B2" s="106" t="s">
        <v>122</v>
      </c>
      <c r="D2" s="23"/>
      <c r="E2" s="8"/>
    </row>
    <row r="3" spans="1:6">
      <c r="B3" s="140"/>
    </row>
    <row r="4" spans="1:6">
      <c r="B4" s="65" t="s">
        <v>785</v>
      </c>
      <c r="C4" s="62"/>
      <c r="D4" s="62"/>
      <c r="E4" s="62"/>
    </row>
    <row r="5" spans="1:6">
      <c r="A5" s="3" t="s">
        <v>86</v>
      </c>
      <c r="B5" s="3" t="s">
        <v>91</v>
      </c>
      <c r="C5" s="3" t="s">
        <v>569</v>
      </c>
      <c r="D5" s="3" t="s">
        <v>158</v>
      </c>
      <c r="E5" s="3" t="s">
        <v>8</v>
      </c>
      <c r="F5" s="3" t="str">
        <f>A5</f>
        <v>Line</v>
      </c>
    </row>
    <row r="6" spans="1:6">
      <c r="A6" s="141">
        <v>100</v>
      </c>
      <c r="B6" s="12" t="s">
        <v>40</v>
      </c>
      <c r="C6" s="58">
        <v>0.21</v>
      </c>
      <c r="D6" s="306" t="s">
        <v>568</v>
      </c>
      <c r="E6" s="333" t="s">
        <v>1693</v>
      </c>
      <c r="F6" s="141">
        <f>A6</f>
        <v>100</v>
      </c>
    </row>
    <row r="7" spans="1:6">
      <c r="A7" s="141">
        <f>A6+1</f>
        <v>101</v>
      </c>
      <c r="B7" s="12" t="s">
        <v>773</v>
      </c>
      <c r="C7" s="58">
        <v>8.8400000000000006E-2</v>
      </c>
      <c r="D7" s="24" t="s">
        <v>567</v>
      </c>
      <c r="E7" s="333" t="s">
        <v>1694</v>
      </c>
      <c r="F7" s="141">
        <f>A7</f>
        <v>101</v>
      </c>
    </row>
    <row r="8" spans="1:6" ht="30.75" customHeight="1">
      <c r="A8" s="141">
        <v>102</v>
      </c>
      <c r="B8" s="12" t="s">
        <v>770</v>
      </c>
      <c r="C8" s="41">
        <f>-C6*C7</f>
        <v>-1.8564000000000001E-2</v>
      </c>
      <c r="D8" s="291" t="s">
        <v>775</v>
      </c>
      <c r="E8" s="263" t="s">
        <v>774</v>
      </c>
      <c r="F8" s="141">
        <v>102</v>
      </c>
    </row>
    <row r="9" spans="1:6">
      <c r="A9" s="141">
        <v>103</v>
      </c>
      <c r="B9" s="2" t="s">
        <v>771</v>
      </c>
      <c r="C9" s="415">
        <f>SUM(C6:C8)</f>
        <v>0.27983599999999997</v>
      </c>
      <c r="D9" s="12" t="s">
        <v>772</v>
      </c>
      <c r="F9" s="141">
        <v>103</v>
      </c>
    </row>
    <row r="10" spans="1:6" s="45" customFormat="1">
      <c r="A10" s="320"/>
      <c r="B10" s="2"/>
      <c r="C10" s="433"/>
      <c r="F10" s="320"/>
    </row>
    <row r="11" spans="1:6">
      <c r="A11" s="141"/>
      <c r="B11" s="65" t="s">
        <v>790</v>
      </c>
      <c r="C11" s="307"/>
      <c r="D11" s="307"/>
      <c r="E11" s="307"/>
    </row>
    <row r="12" spans="1:6">
      <c r="A12" s="3" t="s">
        <v>86</v>
      </c>
      <c r="B12" s="3" t="s">
        <v>91</v>
      </c>
      <c r="C12" s="3" t="s">
        <v>569</v>
      </c>
      <c r="D12" s="3" t="s">
        <v>158</v>
      </c>
      <c r="E12" s="3" t="s">
        <v>8</v>
      </c>
      <c r="F12" s="3" t="str">
        <f>A12</f>
        <v>Line</v>
      </c>
    </row>
    <row r="13" spans="1:6">
      <c r="A13" s="320">
        <v>200</v>
      </c>
      <c r="B13" s="45" t="s">
        <v>40</v>
      </c>
      <c r="C13" s="58">
        <v>0.21</v>
      </c>
      <c r="D13" s="431" t="s">
        <v>568</v>
      </c>
      <c r="E13" s="333" t="s">
        <v>1693</v>
      </c>
      <c r="F13" s="320">
        <f>A13</f>
        <v>200</v>
      </c>
    </row>
    <row r="14" spans="1:6">
      <c r="A14" s="320">
        <f>A13+1</f>
        <v>201</v>
      </c>
      <c r="B14" s="45" t="s">
        <v>773</v>
      </c>
      <c r="C14" s="58">
        <v>8.8400000000000006E-2</v>
      </c>
      <c r="D14" s="46" t="s">
        <v>567</v>
      </c>
      <c r="E14" s="333" t="s">
        <v>1694</v>
      </c>
      <c r="F14" s="320">
        <f>A14</f>
        <v>201</v>
      </c>
    </row>
    <row r="15" spans="1:6" ht="30">
      <c r="A15" s="320">
        <f>A14+1</f>
        <v>202</v>
      </c>
      <c r="B15" s="45" t="s">
        <v>770</v>
      </c>
      <c r="C15" s="41">
        <f>-C13*C14</f>
        <v>-1.8564000000000001E-2</v>
      </c>
      <c r="D15" s="432" t="s">
        <v>775</v>
      </c>
      <c r="E15" s="263" t="s">
        <v>774</v>
      </c>
      <c r="F15" s="320">
        <f>A15</f>
        <v>202</v>
      </c>
    </row>
    <row r="16" spans="1:6">
      <c r="A16" s="320">
        <f>A15+1</f>
        <v>203</v>
      </c>
      <c r="B16" s="2" t="s">
        <v>771</v>
      </c>
      <c r="C16" s="415">
        <f>SUM(C13:C15)</f>
        <v>0.27983599999999997</v>
      </c>
      <c r="D16" s="45" t="s">
        <v>772</v>
      </c>
      <c r="E16" s="45"/>
      <c r="F16" s="320">
        <f>A16</f>
        <v>203</v>
      </c>
    </row>
    <row r="25" spans="4:4">
      <c r="D25" s="25"/>
    </row>
  </sheetData>
  <printOptions horizontalCentered="1"/>
  <pageMargins left="1" right="1" top="1" bottom="1" header="0.5" footer="0.5"/>
  <pageSetup scale="77" fitToHeight="0" orientation="landscape" r:id="rId1"/>
  <headerFooter>
    <oddHeader>&amp;C&amp;"-,Bold"&amp;12Pacific Gas and Electric Company
Formula Rate Model
Schedule 22-TaxRates</oddHead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113CF-59E6-4409-9A03-FEE686309C0A}">
  <sheetPr codeName="Sheet30">
    <pageSetUpPr fitToPage="1"/>
  </sheetPr>
  <dimension ref="A1:E41"/>
  <sheetViews>
    <sheetView view="pageBreakPreview" zoomScaleNormal="100" zoomScaleSheetLayoutView="100" workbookViewId="0">
      <selection activeCell="G13" sqref="G13"/>
    </sheetView>
  </sheetViews>
  <sheetFormatPr defaultColWidth="9.140625" defaultRowHeight="15"/>
  <cols>
    <col min="1" max="1" width="4.7109375" style="688" bestFit="1" customWidth="1"/>
    <col min="2" max="2" width="44.7109375" style="688" bestFit="1" customWidth="1"/>
    <col min="3" max="3" width="9.140625" style="688" bestFit="1" customWidth="1"/>
    <col min="4" max="4" width="62.85546875" style="688" bestFit="1" customWidth="1"/>
    <col min="5" max="5" width="4.7109375" style="688" bestFit="1" customWidth="1"/>
    <col min="6" max="16384" width="9.140625" style="688"/>
  </cols>
  <sheetData>
    <row r="1" spans="1:5">
      <c r="B1" s="184" t="s">
        <v>1326</v>
      </c>
      <c r="D1" s="8" t="str">
        <f>CONCATENATE("Rate Year: ",'1-DRR'!$K$1)</f>
        <v>Rate Year: 2023</v>
      </c>
    </row>
    <row r="2" spans="1:5">
      <c r="B2" s="719" t="s">
        <v>122</v>
      </c>
    </row>
    <row r="4" spans="1:5">
      <c r="B4" s="65" t="s">
        <v>1327</v>
      </c>
      <c r="C4" s="65"/>
      <c r="D4" s="65"/>
    </row>
    <row r="5" spans="1:5">
      <c r="B5" s="7"/>
      <c r="C5" s="7"/>
      <c r="D5" s="7"/>
    </row>
    <row r="6" spans="1:5">
      <c r="B6" s="1002" t="s">
        <v>1479</v>
      </c>
      <c r="C6" s="1002"/>
      <c r="D6" s="1002"/>
    </row>
    <row r="7" spans="1:5">
      <c r="A7" s="10" t="s">
        <v>86</v>
      </c>
      <c r="B7" s="10" t="s">
        <v>91</v>
      </c>
      <c r="C7" s="686" t="s">
        <v>57</v>
      </c>
      <c r="D7" s="10" t="s">
        <v>38</v>
      </c>
      <c r="E7" s="10" t="str">
        <f>A7</f>
        <v>Line</v>
      </c>
    </row>
    <row r="8" spans="1:5">
      <c r="A8" s="687">
        <v>100</v>
      </c>
      <c r="B8" s="680" t="s">
        <v>1333</v>
      </c>
      <c r="C8" s="682">
        <v>78.89</v>
      </c>
      <c r="D8" s="689" t="s">
        <v>1334</v>
      </c>
      <c r="E8" s="11">
        <f t="shared" ref="E8:E20" si="0">A8</f>
        <v>100</v>
      </c>
    </row>
    <row r="9" spans="1:5">
      <c r="A9" s="687"/>
      <c r="B9" s="692"/>
      <c r="C9" s="693"/>
      <c r="D9" s="689"/>
      <c r="E9" s="11"/>
    </row>
    <row r="10" spans="1:5">
      <c r="A10" s="687"/>
      <c r="B10" s="681" t="s">
        <v>1335</v>
      </c>
      <c r="C10" s="685"/>
      <c r="D10" s="689"/>
      <c r="E10" s="11"/>
    </row>
    <row r="11" spans="1:5">
      <c r="A11" s="687">
        <f>A8+1</f>
        <v>101</v>
      </c>
      <c r="B11" s="688" t="s">
        <v>1318</v>
      </c>
      <c r="C11" s="682">
        <v>7.52</v>
      </c>
      <c r="D11" s="202" t="s">
        <v>1325</v>
      </c>
      <c r="E11" s="11">
        <f t="shared" si="0"/>
        <v>101</v>
      </c>
    </row>
    <row r="12" spans="1:5">
      <c r="A12" s="687">
        <f>A11+1</f>
        <v>102</v>
      </c>
      <c r="B12" s="688" t="s">
        <v>1319</v>
      </c>
      <c r="C12" s="682">
        <v>1.95</v>
      </c>
      <c r="D12" s="202" t="s">
        <v>1325</v>
      </c>
      <c r="E12" s="11">
        <f t="shared" si="0"/>
        <v>102</v>
      </c>
    </row>
    <row r="13" spans="1:5">
      <c r="A13" s="687">
        <f t="shared" ref="A13:A18" si="1">A12+1</f>
        <v>103</v>
      </c>
      <c r="B13" s="688" t="s">
        <v>1320</v>
      </c>
      <c r="C13" s="682">
        <v>3.59</v>
      </c>
      <c r="D13" s="202" t="s">
        <v>1325</v>
      </c>
      <c r="E13" s="11">
        <f t="shared" si="0"/>
        <v>103</v>
      </c>
    </row>
    <row r="14" spans="1:5">
      <c r="A14" s="687">
        <f t="shared" si="1"/>
        <v>104</v>
      </c>
      <c r="B14" s="688" t="s">
        <v>1321</v>
      </c>
      <c r="C14" s="682">
        <v>25.85</v>
      </c>
      <c r="D14" s="202" t="s">
        <v>1325</v>
      </c>
      <c r="E14" s="11">
        <f t="shared" si="0"/>
        <v>104</v>
      </c>
    </row>
    <row r="15" spans="1:5">
      <c r="A15" s="687">
        <f t="shared" si="1"/>
        <v>105</v>
      </c>
      <c r="B15" s="688" t="s">
        <v>1322</v>
      </c>
      <c r="C15" s="682">
        <v>5.16</v>
      </c>
      <c r="D15" s="202" t="s">
        <v>1325</v>
      </c>
      <c r="E15" s="11">
        <f t="shared" si="0"/>
        <v>105</v>
      </c>
    </row>
    <row r="16" spans="1:5">
      <c r="A16" s="687">
        <f t="shared" si="1"/>
        <v>106</v>
      </c>
      <c r="B16" s="688" t="s">
        <v>1323</v>
      </c>
      <c r="C16" s="682">
        <v>7.73</v>
      </c>
      <c r="D16" s="202" t="s">
        <v>1325</v>
      </c>
      <c r="E16" s="11">
        <f t="shared" si="0"/>
        <v>106</v>
      </c>
    </row>
    <row r="17" spans="1:5">
      <c r="A17" s="687">
        <f t="shared" si="1"/>
        <v>107</v>
      </c>
      <c r="B17" s="688" t="s">
        <v>1324</v>
      </c>
      <c r="C17" s="682">
        <v>34.92</v>
      </c>
      <c r="D17" s="202" t="s">
        <v>1325</v>
      </c>
      <c r="E17" s="11">
        <f t="shared" si="0"/>
        <v>107</v>
      </c>
    </row>
    <row r="18" spans="1:5">
      <c r="A18" s="687">
        <f t="shared" si="1"/>
        <v>108</v>
      </c>
      <c r="B18" s="680" t="s">
        <v>1317</v>
      </c>
      <c r="C18" s="683">
        <f>SUM(C11:C17)</f>
        <v>86.72</v>
      </c>
      <c r="D18" s="689" t="s">
        <v>1328</v>
      </c>
      <c r="E18" s="11">
        <f t="shared" si="0"/>
        <v>108</v>
      </c>
    </row>
    <row r="19" spans="1:5" ht="15" customHeight="1">
      <c r="A19" s="687"/>
      <c r="C19" s="685"/>
      <c r="D19" s="689"/>
      <c r="E19" s="11"/>
    </row>
    <row r="20" spans="1:5">
      <c r="A20" s="687">
        <f>A18+1</f>
        <v>109</v>
      </c>
      <c r="B20" s="680" t="s">
        <v>1316</v>
      </c>
      <c r="C20" s="684">
        <f>C8+C18</f>
        <v>165.61</v>
      </c>
      <c r="D20" s="689" t="s">
        <v>1329</v>
      </c>
      <c r="E20" s="11">
        <f t="shared" si="0"/>
        <v>109</v>
      </c>
    </row>
    <row r="22" spans="1:5">
      <c r="B22" s="65" t="s">
        <v>1330</v>
      </c>
      <c r="C22" s="65"/>
      <c r="D22" s="65"/>
    </row>
    <row r="24" spans="1:5" ht="30">
      <c r="A24" s="10" t="s">
        <v>86</v>
      </c>
      <c r="B24" s="10" t="s">
        <v>882</v>
      </c>
      <c r="C24" s="151" t="s">
        <v>1332</v>
      </c>
      <c r="D24" s="691" t="s">
        <v>1331</v>
      </c>
      <c r="E24" s="10" t="str">
        <f>A24</f>
        <v>Line</v>
      </c>
    </row>
    <row r="25" spans="1:5">
      <c r="A25" s="687">
        <v>200</v>
      </c>
      <c r="B25" s="694" t="s">
        <v>1802</v>
      </c>
      <c r="C25" s="333">
        <v>40</v>
      </c>
      <c r="D25" s="685">
        <f>C25*$C$20</f>
        <v>6624.4000000000005</v>
      </c>
      <c r="E25" s="687">
        <f t="shared" ref="E25:E31" si="2">A25</f>
        <v>200</v>
      </c>
    </row>
    <row r="26" spans="1:5">
      <c r="A26" s="687">
        <f>A25+1</f>
        <v>201</v>
      </c>
      <c r="B26" s="694" t="s">
        <v>1687</v>
      </c>
      <c r="C26" s="333">
        <v>3.5</v>
      </c>
      <c r="D26" s="685">
        <f t="shared" ref="D26:D31" si="3">C26*$C$20</f>
        <v>579.63499999999999</v>
      </c>
      <c r="E26" s="687">
        <f t="shared" si="2"/>
        <v>201</v>
      </c>
    </row>
    <row r="27" spans="1:5">
      <c r="A27" s="687">
        <f t="shared" ref="A27:A30" si="4">A26+1</f>
        <v>202</v>
      </c>
      <c r="B27" s="694" t="s">
        <v>1803</v>
      </c>
      <c r="C27" s="333">
        <v>3.5</v>
      </c>
      <c r="D27" s="685">
        <f t="shared" si="3"/>
        <v>579.63499999999999</v>
      </c>
      <c r="E27" s="687">
        <f t="shared" si="2"/>
        <v>202</v>
      </c>
    </row>
    <row r="28" spans="1:5">
      <c r="A28" s="687">
        <f t="shared" si="4"/>
        <v>203</v>
      </c>
      <c r="B28" s="694" t="s">
        <v>1690</v>
      </c>
      <c r="C28" s="333">
        <v>3.5</v>
      </c>
      <c r="D28" s="685">
        <f t="shared" si="3"/>
        <v>579.63499999999999</v>
      </c>
      <c r="E28" s="687">
        <f t="shared" si="2"/>
        <v>203</v>
      </c>
    </row>
    <row r="29" spans="1:5">
      <c r="A29" s="687">
        <f t="shared" si="4"/>
        <v>204</v>
      </c>
      <c r="B29" s="694" t="s">
        <v>1804</v>
      </c>
      <c r="C29" s="333">
        <v>45</v>
      </c>
      <c r="D29" s="685">
        <f t="shared" si="3"/>
        <v>7452.4500000000007</v>
      </c>
      <c r="E29" s="687">
        <f t="shared" si="2"/>
        <v>204</v>
      </c>
    </row>
    <row r="30" spans="1:5">
      <c r="A30" s="687">
        <f t="shared" si="4"/>
        <v>205</v>
      </c>
      <c r="B30" s="694" t="s">
        <v>1805</v>
      </c>
      <c r="C30" s="333">
        <v>3.5</v>
      </c>
      <c r="D30" s="685">
        <f t="shared" si="3"/>
        <v>579.63499999999999</v>
      </c>
      <c r="E30" s="687">
        <f t="shared" si="2"/>
        <v>205</v>
      </c>
    </row>
    <row r="31" spans="1:5">
      <c r="A31" s="687" t="s">
        <v>370</v>
      </c>
      <c r="B31" s="694"/>
      <c r="C31" s="333"/>
      <c r="D31" s="685">
        <f t="shared" si="3"/>
        <v>0</v>
      </c>
      <c r="E31" s="687" t="str">
        <f t="shared" si="2"/>
        <v>…</v>
      </c>
    </row>
    <row r="32" spans="1:5">
      <c r="A32" s="690"/>
    </row>
    <row r="34" spans="1:5" ht="15" customHeight="1">
      <c r="A34" s="687"/>
      <c r="B34" s="1003" t="s">
        <v>1806</v>
      </c>
      <c r="C34" s="1003"/>
      <c r="D34" s="1003"/>
      <c r="E34" s="687"/>
    </row>
    <row r="35" spans="1:5">
      <c r="A35" s="687"/>
      <c r="B35" s="1003"/>
      <c r="C35" s="1003"/>
      <c r="D35" s="1003"/>
      <c r="E35" s="687"/>
    </row>
    <row r="36" spans="1:5">
      <c r="A36" s="687"/>
      <c r="B36" s="1003"/>
      <c r="C36" s="1003"/>
      <c r="D36" s="1003"/>
      <c r="E36" s="687"/>
    </row>
    <row r="37" spans="1:5">
      <c r="A37" s="687"/>
      <c r="B37" s="1001" t="s">
        <v>1646</v>
      </c>
      <c r="C37" s="1001"/>
      <c r="D37" s="1001"/>
      <c r="E37" s="687"/>
    </row>
    <row r="38" spans="1:5">
      <c r="B38" s="1001"/>
      <c r="C38" s="1001"/>
      <c r="D38" s="1001"/>
    </row>
    <row r="39" spans="1:5">
      <c r="B39" s="1001"/>
      <c r="C39" s="1001"/>
      <c r="D39" s="1001"/>
    </row>
    <row r="40" spans="1:5" ht="34.5" customHeight="1">
      <c r="B40" s="1001"/>
      <c r="C40" s="1001"/>
      <c r="D40" s="1001"/>
    </row>
    <row r="41" spans="1:5">
      <c r="B41" s="688" t="s">
        <v>1336</v>
      </c>
    </row>
  </sheetData>
  <mergeCells count="3">
    <mergeCell ref="B37:D40"/>
    <mergeCell ref="B6:D6"/>
    <mergeCell ref="B34:D36"/>
  </mergeCells>
  <printOptions horizontalCentered="1"/>
  <pageMargins left="1" right="1" top="1" bottom="1" header="0.5" footer="0.5"/>
  <pageSetup scale="65" fitToHeight="0" orientation="portrait" r:id="rId1"/>
  <headerFooter>
    <oddHeader>&amp;C&amp;"-,Bold"&amp;12Pacific Gas and Electric Company
Formula Rate Model
Schedule 23-CustServCharge</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42"/>
  <sheetViews>
    <sheetView view="pageBreakPreview" topLeftCell="A9" zoomScaleNormal="100" zoomScaleSheetLayoutView="100" workbookViewId="0">
      <selection activeCell="G13" sqref="G13"/>
    </sheetView>
  </sheetViews>
  <sheetFormatPr defaultRowHeight="15"/>
  <cols>
    <col min="1" max="1" width="19.7109375" customWidth="1"/>
    <col min="2" max="2" width="26.42578125" bestFit="1" customWidth="1"/>
    <col min="3" max="3" width="28.5703125" bestFit="1" customWidth="1"/>
    <col min="4" max="4" width="97.28515625" bestFit="1" customWidth="1"/>
  </cols>
  <sheetData>
    <row r="1" spans="1:9">
      <c r="A1" s="2" t="s">
        <v>697</v>
      </c>
    </row>
    <row r="3" spans="1:9">
      <c r="A3" s="2" t="s">
        <v>942</v>
      </c>
    </row>
    <row r="4" spans="1:9" ht="28.5" customHeight="1">
      <c r="A4" s="961" t="s">
        <v>943</v>
      </c>
      <c r="B4" s="961"/>
      <c r="C4" s="961"/>
      <c r="D4" s="961"/>
      <c r="E4" s="338"/>
      <c r="F4" s="338"/>
      <c r="G4" s="338"/>
      <c r="H4" s="338"/>
      <c r="I4" s="338"/>
    </row>
    <row r="6" spans="1:9">
      <c r="A6" s="2" t="s">
        <v>657</v>
      </c>
    </row>
    <row r="7" spans="1:9">
      <c r="A7" s="961" t="s">
        <v>664</v>
      </c>
      <c r="B7" s="961"/>
      <c r="C7" s="961"/>
      <c r="D7" s="961"/>
      <c r="E7" s="338"/>
      <c r="F7" s="338"/>
      <c r="G7" s="338"/>
      <c r="H7" s="338"/>
      <c r="I7" s="338"/>
    </row>
    <row r="9" spans="1:9">
      <c r="A9" s="2" t="s">
        <v>658</v>
      </c>
    </row>
    <row r="10" spans="1:9" ht="29.25" customHeight="1">
      <c r="A10" s="961" t="s">
        <v>659</v>
      </c>
      <c r="B10" s="961"/>
      <c r="C10" s="961"/>
      <c r="D10" s="961"/>
      <c r="E10" s="338"/>
      <c r="F10" s="338"/>
      <c r="G10" s="338"/>
      <c r="H10" s="338"/>
      <c r="I10" s="338"/>
    </row>
    <row r="12" spans="1:9">
      <c r="A12" s="2" t="s">
        <v>660</v>
      </c>
    </row>
    <row r="13" spans="1:9" ht="45.75" customHeight="1">
      <c r="A13" s="961" t="s">
        <v>1459</v>
      </c>
      <c r="B13" s="961"/>
      <c r="C13" s="961"/>
      <c r="D13" s="961"/>
      <c r="E13" s="338"/>
      <c r="F13" s="338"/>
      <c r="G13" s="338"/>
      <c r="H13" s="338"/>
      <c r="I13" s="338"/>
    </row>
    <row r="15" spans="1:9">
      <c r="A15" s="2" t="s">
        <v>661</v>
      </c>
    </row>
    <row r="16" spans="1:9" ht="30" customHeight="1">
      <c r="A16" s="961" t="s">
        <v>662</v>
      </c>
      <c r="B16" s="961"/>
      <c r="C16" s="961"/>
      <c r="D16" s="961"/>
      <c r="E16" s="338"/>
      <c r="F16" s="338"/>
      <c r="G16" s="338"/>
      <c r="H16" s="338"/>
      <c r="I16" s="338"/>
    </row>
    <row r="17" spans="1:9">
      <c r="A17" s="339"/>
      <c r="B17" s="339"/>
      <c r="C17" s="339"/>
      <c r="D17" s="339"/>
      <c r="E17" s="339"/>
      <c r="F17" s="339"/>
      <c r="G17" s="339"/>
      <c r="H17" s="339"/>
      <c r="I17" s="339"/>
    </row>
    <row r="18" spans="1:9" ht="30.75" customHeight="1">
      <c r="A18" s="961" t="s">
        <v>663</v>
      </c>
      <c r="B18" s="961"/>
      <c r="C18" s="961"/>
      <c r="D18" s="961"/>
      <c r="E18" s="338"/>
      <c r="F18" s="338"/>
      <c r="G18" s="338"/>
      <c r="H18" s="338"/>
      <c r="I18" s="338"/>
    </row>
    <row r="20" spans="1:9">
      <c r="A20" s="2" t="s">
        <v>698</v>
      </c>
    </row>
    <row r="21" spans="1:9">
      <c r="A21" s="340" t="s">
        <v>665</v>
      </c>
      <c r="B21" s="340" t="s">
        <v>666</v>
      </c>
      <c r="C21" s="340" t="s">
        <v>667</v>
      </c>
      <c r="D21" s="340" t="s">
        <v>668</v>
      </c>
    </row>
    <row r="22" spans="1:9">
      <c r="A22" s="343" t="s">
        <v>620</v>
      </c>
      <c r="B22" s="343" t="s">
        <v>669</v>
      </c>
      <c r="C22" s="343" t="s">
        <v>670</v>
      </c>
      <c r="D22" s="343"/>
    </row>
    <row r="23" spans="1:9">
      <c r="A23" s="342"/>
      <c r="B23" s="342"/>
      <c r="C23" s="342"/>
      <c r="D23" s="342"/>
    </row>
    <row r="24" spans="1:9">
      <c r="A24" s="343" t="s">
        <v>671</v>
      </c>
      <c r="B24" s="343" t="s">
        <v>672</v>
      </c>
      <c r="C24" s="343" t="s">
        <v>673</v>
      </c>
      <c r="D24" s="343"/>
    </row>
    <row r="25" spans="1:9">
      <c r="A25" s="342"/>
      <c r="B25" s="342"/>
      <c r="C25" s="342" t="s">
        <v>674</v>
      </c>
      <c r="D25" s="342"/>
    </row>
    <row r="26" spans="1:9">
      <c r="A26" s="343" t="s">
        <v>86</v>
      </c>
      <c r="B26" s="343" t="s">
        <v>676</v>
      </c>
      <c r="C26" s="343" t="s">
        <v>677</v>
      </c>
      <c r="D26" s="343" t="s">
        <v>678</v>
      </c>
    </row>
    <row r="27" spans="1:9">
      <c r="A27" s="342" t="s">
        <v>675</v>
      </c>
      <c r="B27" s="342"/>
      <c r="C27" s="342"/>
      <c r="D27" s="342"/>
    </row>
    <row r="28" spans="1:9">
      <c r="A28" s="343" t="s">
        <v>86</v>
      </c>
      <c r="B28" s="343" t="s">
        <v>680</v>
      </c>
      <c r="C28" s="343" t="s">
        <v>681</v>
      </c>
      <c r="D28" s="343" t="s">
        <v>682</v>
      </c>
    </row>
    <row r="29" spans="1:9">
      <c r="A29" s="342" t="s">
        <v>679</v>
      </c>
      <c r="B29" s="342"/>
      <c r="C29" s="342"/>
      <c r="D29" s="342"/>
    </row>
    <row r="30" spans="1:9">
      <c r="A30" s="343" t="s">
        <v>683</v>
      </c>
      <c r="B30" s="343" t="s">
        <v>684</v>
      </c>
      <c r="C30" s="343" t="s">
        <v>87</v>
      </c>
      <c r="D30" s="343"/>
    </row>
    <row r="31" spans="1:9">
      <c r="A31" s="341"/>
      <c r="B31" s="341"/>
      <c r="C31" s="341" t="s">
        <v>685</v>
      </c>
      <c r="D31" s="341"/>
    </row>
    <row r="32" spans="1:9">
      <c r="A32" s="342"/>
      <c r="B32" s="342"/>
      <c r="C32" s="342" t="s">
        <v>686</v>
      </c>
      <c r="D32" s="342"/>
    </row>
    <row r="33" spans="1:4">
      <c r="A33" s="343" t="s">
        <v>687</v>
      </c>
      <c r="B33" s="343" t="s">
        <v>688</v>
      </c>
      <c r="C33" s="343" t="s">
        <v>689</v>
      </c>
      <c r="D33" s="343" t="s">
        <v>691</v>
      </c>
    </row>
    <row r="34" spans="1:4">
      <c r="A34" s="342"/>
      <c r="B34" s="342"/>
      <c r="C34" s="342" t="s">
        <v>690</v>
      </c>
      <c r="D34" s="342"/>
    </row>
    <row r="35" spans="1:4">
      <c r="A35" s="343" t="s">
        <v>640</v>
      </c>
      <c r="B35" s="343" t="s">
        <v>692</v>
      </c>
      <c r="C35" s="343" t="s">
        <v>648</v>
      </c>
      <c r="D35" s="343" t="s">
        <v>693</v>
      </c>
    </row>
    <row r="36" spans="1:4">
      <c r="A36" s="342"/>
      <c r="B36" s="342"/>
      <c r="C36" s="342"/>
      <c r="D36" s="342"/>
    </row>
    <row r="37" spans="1:4">
      <c r="A37" s="343" t="s">
        <v>694</v>
      </c>
      <c r="B37" s="343" t="s">
        <v>695</v>
      </c>
      <c r="C37" s="343" t="s">
        <v>1460</v>
      </c>
      <c r="D37" s="343" t="s">
        <v>696</v>
      </c>
    </row>
    <row r="38" spans="1:4">
      <c r="A38" s="341"/>
      <c r="B38" s="341"/>
      <c r="C38" s="341"/>
      <c r="D38" s="341"/>
    </row>
    <row r="39" spans="1:4">
      <c r="A39" s="341"/>
      <c r="B39" s="341"/>
      <c r="C39" s="341" t="s">
        <v>1461</v>
      </c>
      <c r="D39" s="341"/>
    </row>
    <row r="40" spans="1:4">
      <c r="A40" s="342"/>
      <c r="B40" s="342"/>
      <c r="C40" s="342"/>
      <c r="D40" s="342"/>
    </row>
    <row r="41" spans="1:4">
      <c r="A41" s="343" t="s">
        <v>765</v>
      </c>
      <c r="B41" s="411" t="s">
        <v>370</v>
      </c>
      <c r="C41" s="412" t="s">
        <v>370</v>
      </c>
      <c r="D41" s="959" t="s">
        <v>844</v>
      </c>
    </row>
    <row r="42" spans="1:4">
      <c r="A42" s="342"/>
      <c r="B42" s="413"/>
      <c r="C42" s="342"/>
      <c r="D42" s="960"/>
    </row>
  </sheetData>
  <mergeCells count="7">
    <mergeCell ref="D41:D42"/>
    <mergeCell ref="A16:D16"/>
    <mergeCell ref="A18:D18"/>
    <mergeCell ref="A4:D4"/>
    <mergeCell ref="A7:D7"/>
    <mergeCell ref="A10:D10"/>
    <mergeCell ref="A13:D13"/>
  </mergeCells>
  <printOptions horizontalCentered="1"/>
  <pageMargins left="1" right="1" top="1" bottom="1" header="0.5" footer="0.5"/>
  <pageSetup scale="52" fitToHeight="0" orientation="portrait" r:id="rId1"/>
  <headerFooter>
    <oddHeader>&amp;C&amp;"-,Bold"&amp;12Pacific Gas and Electric Company
Formula Rate Model</oddHeader>
    <oddFooter>&amp;C&amp;1#&amp;"Calibri"&amp;12&amp;K000000Internal</oddFooter>
  </headerFooter>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H58"/>
  <sheetViews>
    <sheetView view="pageBreakPreview" topLeftCell="A4" zoomScaleNormal="100" zoomScaleSheetLayoutView="100" workbookViewId="0">
      <selection activeCell="G13" sqref="G13"/>
    </sheetView>
  </sheetViews>
  <sheetFormatPr defaultColWidth="9.140625" defaultRowHeight="15"/>
  <cols>
    <col min="1" max="1" width="4.7109375" style="12" bestFit="1" customWidth="1"/>
    <col min="2" max="2" width="68.28515625" style="12" customWidth="1"/>
    <col min="3" max="3" width="18.85546875" style="12" customWidth="1"/>
    <col min="4" max="4" width="86.42578125" style="12" bestFit="1" customWidth="1"/>
    <col min="5" max="5" width="19.140625" style="12" bestFit="1" customWidth="1"/>
    <col min="6" max="6" width="4.7109375" style="12" bestFit="1" customWidth="1"/>
    <col min="7" max="7" width="19.140625" style="12" bestFit="1" customWidth="1"/>
    <col min="8" max="8" width="13.85546875" style="12" bestFit="1" customWidth="1"/>
    <col min="9" max="9" width="10.140625" style="12" bestFit="1" customWidth="1"/>
    <col min="10" max="10" width="9.42578125" style="12" bestFit="1" customWidth="1"/>
    <col min="11" max="16384" width="9.140625" style="12"/>
  </cols>
  <sheetData>
    <row r="1" spans="1:6">
      <c r="B1" s="2" t="s">
        <v>589</v>
      </c>
      <c r="D1" s="6"/>
      <c r="E1" s="8" t="str">
        <f>CONCATENATE("Prior Year: ",'1-DRR'!$K$2)</f>
        <v>Prior Year: 2021</v>
      </c>
    </row>
    <row r="2" spans="1:6">
      <c r="B2" s="106" t="s">
        <v>122</v>
      </c>
      <c r="C2" s="183"/>
      <c r="D2" s="183"/>
      <c r="E2" s="183"/>
    </row>
    <row r="3" spans="1:6">
      <c r="C3" s="183"/>
      <c r="D3" s="183"/>
      <c r="E3" s="183"/>
    </row>
    <row r="4" spans="1:6">
      <c r="A4" s="3" t="s">
        <v>86</v>
      </c>
      <c r="B4" s="3" t="s">
        <v>91</v>
      </c>
      <c r="C4" s="3" t="s">
        <v>569</v>
      </c>
      <c r="D4" s="3" t="s">
        <v>158</v>
      </c>
      <c r="E4" s="3" t="s">
        <v>8</v>
      </c>
      <c r="F4" s="3" t="str">
        <f>A4</f>
        <v>Line</v>
      </c>
    </row>
    <row r="5" spans="1:6">
      <c r="B5" s="65" t="s">
        <v>588</v>
      </c>
      <c r="C5" s="312"/>
      <c r="D5" s="312"/>
      <c r="E5" s="312"/>
    </row>
    <row r="6" spans="1:6">
      <c r="A6" s="69">
        <v>100</v>
      </c>
      <c r="B6" s="12" t="s">
        <v>587</v>
      </c>
      <c r="C6" s="302">
        <v>2478234429</v>
      </c>
      <c r="D6" s="44" t="s">
        <v>586</v>
      </c>
      <c r="F6" s="69">
        <f>A6</f>
        <v>100</v>
      </c>
    </row>
    <row r="7" spans="1:6">
      <c r="A7" s="69">
        <f>A6+1</f>
        <v>101</v>
      </c>
      <c r="B7" s="12" t="s">
        <v>585</v>
      </c>
      <c r="C7" s="302">
        <v>-405958047</v>
      </c>
      <c r="D7" s="44" t="s">
        <v>581</v>
      </c>
      <c r="F7" s="69">
        <f>A7</f>
        <v>101</v>
      </c>
    </row>
    <row r="8" spans="1:6">
      <c r="A8" s="69">
        <f>A7+1</f>
        <v>102</v>
      </c>
      <c r="B8" s="12" t="s">
        <v>584</v>
      </c>
      <c r="C8" s="302">
        <v>-192530083</v>
      </c>
      <c r="D8" s="44" t="s">
        <v>583</v>
      </c>
      <c r="F8" s="69">
        <f>A8</f>
        <v>102</v>
      </c>
    </row>
    <row r="9" spans="1:6">
      <c r="A9" s="69">
        <f>A8+1</f>
        <v>103</v>
      </c>
      <c r="B9" s="24" t="s">
        <v>579</v>
      </c>
      <c r="C9" s="667">
        <v>-66197418.454298273</v>
      </c>
      <c r="D9" s="397" t="s">
        <v>742</v>
      </c>
      <c r="F9" s="69">
        <f>A9</f>
        <v>103</v>
      </c>
    </row>
    <row r="10" spans="1:6">
      <c r="A10" s="69">
        <f>A9+1</f>
        <v>104</v>
      </c>
      <c r="B10" s="2" t="s">
        <v>616</v>
      </c>
      <c r="C10" s="392">
        <f>SUM(C6:C9)</f>
        <v>1813548880.5457017</v>
      </c>
      <c r="D10" s="657" t="s">
        <v>1243</v>
      </c>
      <c r="F10" s="69">
        <f>A10</f>
        <v>104</v>
      </c>
    </row>
    <row r="11" spans="1:6">
      <c r="A11" s="69"/>
      <c r="C11" s="32"/>
      <c r="D11" s="44"/>
      <c r="F11" s="69"/>
    </row>
    <row r="12" spans="1:6">
      <c r="A12" s="69">
        <f>A10+1</f>
        <v>105</v>
      </c>
      <c r="B12" s="12" t="s">
        <v>582</v>
      </c>
      <c r="C12" s="302">
        <v>1736871956</v>
      </c>
      <c r="D12" s="431" t="s">
        <v>788</v>
      </c>
      <c r="F12" s="69">
        <f>A12</f>
        <v>105</v>
      </c>
    </row>
    <row r="13" spans="1:6">
      <c r="A13" s="69">
        <f>A12+1</f>
        <v>106</v>
      </c>
      <c r="B13" s="12" t="s">
        <v>580</v>
      </c>
      <c r="C13" s="32">
        <f>C7</f>
        <v>-405958047</v>
      </c>
      <c r="D13" s="142" t="str">
        <f>"Line "&amp;A7&amp;""</f>
        <v>Line 101</v>
      </c>
      <c r="F13" s="69">
        <f>A13</f>
        <v>106</v>
      </c>
    </row>
    <row r="14" spans="1:6">
      <c r="A14" s="69">
        <f>A13+1</f>
        <v>107</v>
      </c>
      <c r="B14" s="24" t="s">
        <v>579</v>
      </c>
      <c r="C14" s="634">
        <v>-55900470.354298264</v>
      </c>
      <c r="D14" s="397" t="s">
        <v>779</v>
      </c>
      <c r="F14" s="69">
        <f>A14</f>
        <v>107</v>
      </c>
    </row>
    <row r="15" spans="1:6">
      <c r="A15" s="69">
        <f>A14+1</f>
        <v>108</v>
      </c>
      <c r="B15" s="2" t="s">
        <v>577</v>
      </c>
      <c r="C15" s="392">
        <f>SUM(C12:C14)</f>
        <v>1275013438.6457016</v>
      </c>
      <c r="D15" s="657" t="s">
        <v>1244</v>
      </c>
      <c r="F15" s="69">
        <f>A15</f>
        <v>108</v>
      </c>
    </row>
    <row r="16" spans="1:6">
      <c r="A16" s="69"/>
      <c r="D16" s="44"/>
      <c r="F16" s="69"/>
    </row>
    <row r="17" spans="1:8">
      <c r="A17" s="69">
        <f>A15+1</f>
        <v>109</v>
      </c>
      <c r="B17" s="2" t="s">
        <v>578</v>
      </c>
      <c r="C17" s="311">
        <f>C15/C10</f>
        <v>0.70304884104477328</v>
      </c>
      <c r="D17" s="142" t="str">
        <f>"Line "&amp;A15&amp;" / Line "&amp;A10&amp;""</f>
        <v>Line 108 / Line 104</v>
      </c>
      <c r="F17" s="69">
        <f>A17</f>
        <v>109</v>
      </c>
    </row>
    <row r="18" spans="1:8">
      <c r="F18" s="69"/>
    </row>
    <row r="19" spans="1:8">
      <c r="B19" s="65" t="s">
        <v>1216</v>
      </c>
      <c r="C19" s="312"/>
      <c r="D19" s="312"/>
      <c r="E19" s="312"/>
      <c r="F19" s="69"/>
    </row>
    <row r="20" spans="1:8">
      <c r="A20" s="69">
        <f>A17+1</f>
        <v>110</v>
      </c>
      <c r="B20" s="12" t="s">
        <v>577</v>
      </c>
      <c r="C20" s="32">
        <f>C15</f>
        <v>1275013438.6457016</v>
      </c>
      <c r="D20" s="142" t="str">
        <f>"Line "&amp;A15&amp;""</f>
        <v>Line 108</v>
      </c>
      <c r="F20" s="69">
        <f>A20</f>
        <v>110</v>
      </c>
    </row>
    <row r="21" spans="1:8">
      <c r="A21" s="69">
        <f>A20+1</f>
        <v>111</v>
      </c>
      <c r="B21" s="12" t="s">
        <v>1025</v>
      </c>
      <c r="C21" s="32">
        <f>'18-OandM'!J11</f>
        <v>556399605.86570168</v>
      </c>
      <c r="D21" s="142" t="s">
        <v>1497</v>
      </c>
      <c r="E21" s="40"/>
      <c r="F21" s="69">
        <f>A21</f>
        <v>111</v>
      </c>
    </row>
    <row r="22" spans="1:8">
      <c r="A22" s="69"/>
      <c r="D22" s="44"/>
      <c r="F22" s="69"/>
    </row>
    <row r="23" spans="1:8">
      <c r="A23" s="69">
        <f>A21+1</f>
        <v>112</v>
      </c>
      <c r="B23" s="2" t="s">
        <v>1026</v>
      </c>
      <c r="C23" s="311">
        <f>C21/C20</f>
        <v>0.43638724816634106</v>
      </c>
      <c r="D23" s="142" t="str">
        <f>"Line "&amp;A21&amp;" / Line "&amp;A20&amp;""</f>
        <v>Line 111 / Line 110</v>
      </c>
      <c r="F23" s="69">
        <f>A23</f>
        <v>112</v>
      </c>
      <c r="H23" s="123"/>
    </row>
    <row r="24" spans="1:8">
      <c r="A24" s="69">
        <f>+A23+1</f>
        <v>113</v>
      </c>
      <c r="B24" s="2" t="s">
        <v>1027</v>
      </c>
      <c r="C24" s="309">
        <f>C21/C10</f>
        <v>0.30680154907006396</v>
      </c>
      <c r="D24" s="142" t="str">
        <f>"Line "&amp;A21&amp;" / Line "&amp;A10&amp;""</f>
        <v>Line 111 / Line 104</v>
      </c>
      <c r="F24" s="69">
        <f>A24</f>
        <v>113</v>
      </c>
      <c r="H24" s="123"/>
    </row>
    <row r="25" spans="1:8">
      <c r="A25" s="69"/>
      <c r="B25" s="2"/>
      <c r="C25" s="309"/>
      <c r="F25" s="69"/>
    </row>
    <row r="26" spans="1:8" s="46" customFormat="1">
      <c r="B26" s="65" t="s">
        <v>1031</v>
      </c>
      <c r="C26" s="312"/>
      <c r="D26" s="312"/>
      <c r="E26" s="312"/>
      <c r="F26" s="590"/>
    </row>
    <row r="27" spans="1:8" s="46" customFormat="1">
      <c r="A27" s="11">
        <f>A24+1</f>
        <v>114</v>
      </c>
      <c r="B27" s="319" t="s">
        <v>1032</v>
      </c>
      <c r="C27" s="302">
        <v>40754311938.480499</v>
      </c>
      <c r="D27" s="953" t="s">
        <v>1797</v>
      </c>
      <c r="E27" s="331" t="s">
        <v>617</v>
      </c>
      <c r="F27" s="11">
        <f>+A27</f>
        <v>114</v>
      </c>
    </row>
    <row r="28" spans="1:8" s="46" customFormat="1">
      <c r="A28" s="11">
        <f>+A27+1</f>
        <v>115</v>
      </c>
      <c r="B28" s="319" t="s">
        <v>1188</v>
      </c>
      <c r="C28" s="302">
        <v>99289749132.590042</v>
      </c>
      <c r="D28" s="953" t="s">
        <v>1798</v>
      </c>
      <c r="E28" s="331" t="s">
        <v>617</v>
      </c>
      <c r="F28" s="11">
        <f>+A28</f>
        <v>115</v>
      </c>
    </row>
    <row r="29" spans="1:8" s="46" customFormat="1">
      <c r="A29" s="11">
        <f>+A28+1</f>
        <v>116</v>
      </c>
      <c r="B29" s="7" t="s">
        <v>1033</v>
      </c>
      <c r="C29" s="180">
        <f>+C27/C28</f>
        <v>0.4104584037578522</v>
      </c>
      <c r="D29" s="588" t="str">
        <f>"Line "&amp;A27&amp;" / Line "&amp;A28&amp;""</f>
        <v>Line 114 / Line 115</v>
      </c>
      <c r="F29" s="11">
        <f>+A29</f>
        <v>116</v>
      </c>
    </row>
    <row r="30" spans="1:8" s="46" customFormat="1">
      <c r="A30" s="11"/>
      <c r="C30" s="28"/>
      <c r="D30" s="588"/>
      <c r="F30" s="11"/>
    </row>
    <row r="31" spans="1:8" s="46" customFormat="1">
      <c r="A31" s="11">
        <f>+A29+1</f>
        <v>117</v>
      </c>
      <c r="B31" s="319" t="s">
        <v>1032</v>
      </c>
      <c r="C31" s="32">
        <f>C27</f>
        <v>40754311938.480499</v>
      </c>
      <c r="D31" s="172" t="str">
        <f>"Line "&amp;A27&amp;""</f>
        <v>Line 114</v>
      </c>
      <c r="E31" s="331" t="s">
        <v>617</v>
      </c>
      <c r="F31" s="11">
        <f>+A31</f>
        <v>117</v>
      </c>
    </row>
    <row r="32" spans="1:8" s="46" customFormat="1">
      <c r="A32" s="11">
        <f>+A31+1</f>
        <v>118</v>
      </c>
      <c r="B32" s="319" t="s">
        <v>576</v>
      </c>
      <c r="C32" s="302">
        <v>73805965049.300049</v>
      </c>
      <c r="D32" s="953" t="s">
        <v>1799</v>
      </c>
      <c r="E32" s="331" t="s">
        <v>617</v>
      </c>
      <c r="F32" s="11">
        <f>+A32</f>
        <v>118</v>
      </c>
    </row>
    <row r="33" spans="1:6" s="46" customFormat="1">
      <c r="A33" s="11">
        <f>+A32+1</f>
        <v>119</v>
      </c>
      <c r="B33" s="7" t="s">
        <v>1034</v>
      </c>
      <c r="C33" s="180">
        <f>+C31/C32</f>
        <v>0.55218181770616925</v>
      </c>
      <c r="D33" s="588" t="str">
        <f>"Line "&amp;A31&amp;" / Line "&amp;A32&amp;""</f>
        <v>Line 117 / Line 118</v>
      </c>
      <c r="F33" s="11">
        <f>+A33</f>
        <v>119</v>
      </c>
    </row>
    <row r="35" spans="1:6">
      <c r="B35" s="65" t="s">
        <v>575</v>
      </c>
      <c r="C35" s="310"/>
      <c r="D35" s="62"/>
      <c r="E35" s="62"/>
    </row>
    <row r="36" spans="1:6">
      <c r="A36" s="69">
        <f>A33+1</f>
        <v>120</v>
      </c>
      <c r="B36" s="7" t="s">
        <v>574</v>
      </c>
      <c r="C36" s="309">
        <f>AVERAGE(C24,C29)</f>
        <v>0.35862997641395811</v>
      </c>
      <c r="D36" s="142" t="str">
        <f>"Average of Line "&amp;A24&amp;" and Line "&amp;A29&amp;""</f>
        <v>Average of Line 113 and Line 116</v>
      </c>
      <c r="F36" s="69">
        <f>A36</f>
        <v>120</v>
      </c>
    </row>
    <row r="37" spans="1:6">
      <c r="A37" s="69"/>
      <c r="B37" s="2"/>
      <c r="C37" s="309"/>
    </row>
    <row r="38" spans="1:6">
      <c r="A38" s="69"/>
      <c r="B38" s="65" t="s">
        <v>573</v>
      </c>
      <c r="C38" s="310"/>
      <c r="D38" s="62"/>
      <c r="E38" s="62"/>
    </row>
    <row r="39" spans="1:6">
      <c r="A39" s="69">
        <f>+A36+1</f>
        <v>121</v>
      </c>
      <c r="B39" s="45" t="s">
        <v>1028</v>
      </c>
      <c r="C39" s="302">
        <v>17177828670.753914</v>
      </c>
      <c r="D39" s="953" t="s">
        <v>1800</v>
      </c>
      <c r="E39" s="331" t="s">
        <v>617</v>
      </c>
      <c r="F39" s="69">
        <f>A39</f>
        <v>121</v>
      </c>
    </row>
    <row r="40" spans="1:6">
      <c r="A40" s="69">
        <f>+A39+1</f>
        <v>122</v>
      </c>
      <c r="B40" s="13" t="s">
        <v>572</v>
      </c>
      <c r="C40" s="302">
        <v>32562736233.87804</v>
      </c>
      <c r="D40" s="953" t="s">
        <v>1801</v>
      </c>
      <c r="E40" s="331" t="s">
        <v>617</v>
      </c>
      <c r="F40" s="69">
        <f>A40</f>
        <v>122</v>
      </c>
    </row>
    <row r="41" spans="1:6">
      <c r="A41" s="69">
        <f>+A40+1</f>
        <v>123</v>
      </c>
      <c r="B41" s="45" t="s">
        <v>1029</v>
      </c>
      <c r="C41" s="49">
        <f>+C31-C39</f>
        <v>23576483267.726585</v>
      </c>
      <c r="D41" s="739" t="s">
        <v>1464</v>
      </c>
      <c r="E41" s="331" t="s">
        <v>617</v>
      </c>
      <c r="F41" s="69">
        <f>A41</f>
        <v>123</v>
      </c>
    </row>
    <row r="42" spans="1:6">
      <c r="A42" s="69">
        <f>+A41+1</f>
        <v>124</v>
      </c>
      <c r="B42" s="13" t="s">
        <v>571</v>
      </c>
      <c r="C42" s="49">
        <f>+C32-C40</f>
        <v>41243228815.422012</v>
      </c>
      <c r="D42" s="739" t="s">
        <v>1465</v>
      </c>
      <c r="E42" s="331" t="s">
        <v>617</v>
      </c>
      <c r="F42" s="69">
        <f>A42</f>
        <v>124</v>
      </c>
    </row>
    <row r="43" spans="1:6">
      <c r="A43" s="69">
        <f>+A42+1</f>
        <v>125</v>
      </c>
      <c r="B43" s="2" t="s">
        <v>745</v>
      </c>
      <c r="C43" s="309">
        <f>C41/C42</f>
        <v>0.57164494499787244</v>
      </c>
      <c r="D43" s="738" t="s">
        <v>1466</v>
      </c>
      <c r="F43" s="69">
        <f>A43</f>
        <v>125</v>
      </c>
    </row>
    <row r="45" spans="1:6" s="116" customFormat="1">
      <c r="A45" s="789"/>
      <c r="B45" s="65" t="s">
        <v>1548</v>
      </c>
      <c r="C45" s="790"/>
      <c r="D45" s="791"/>
      <c r="E45" s="791"/>
    </row>
    <row r="46" spans="1:6" s="795" customFormat="1">
      <c r="A46" s="184">
        <f>A43+1</f>
        <v>126</v>
      </c>
      <c r="B46" s="319" t="s">
        <v>576</v>
      </c>
      <c r="C46" s="930">
        <f>C32</f>
        <v>73805965049.300049</v>
      </c>
      <c r="D46" s="319" t="s">
        <v>1572</v>
      </c>
      <c r="E46" s="319"/>
      <c r="F46" s="320">
        <f>A46</f>
        <v>126</v>
      </c>
    </row>
    <row r="47" spans="1:6" s="795" customFormat="1">
      <c r="A47" s="184">
        <f>A46+1</f>
        <v>127</v>
      </c>
      <c r="B47" s="319" t="s">
        <v>1188</v>
      </c>
      <c r="C47" s="930">
        <f>C28</f>
        <v>99289749132.590042</v>
      </c>
      <c r="D47" s="319" t="s">
        <v>1573</v>
      </c>
      <c r="E47" s="319"/>
      <c r="F47" s="320">
        <f>A47</f>
        <v>127</v>
      </c>
    </row>
    <row r="48" spans="1:6" s="795" customFormat="1">
      <c r="A48" s="184">
        <f>A47+1</f>
        <v>128</v>
      </c>
      <c r="B48" s="319" t="s">
        <v>1556</v>
      </c>
      <c r="C48" s="931">
        <f>C46/C47</f>
        <v>0.74333922377767991</v>
      </c>
      <c r="D48" s="319" t="s">
        <v>1555</v>
      </c>
      <c r="E48" s="319"/>
      <c r="F48" s="320">
        <f>A48</f>
        <v>128</v>
      </c>
    </row>
    <row r="49" spans="1:6" s="795" customFormat="1">
      <c r="A49" s="321"/>
      <c r="B49" s="168"/>
      <c r="C49" s="931"/>
      <c r="D49" s="319"/>
      <c r="E49" s="319"/>
      <c r="F49" s="319"/>
    </row>
    <row r="50" spans="1:6" s="116" customFormat="1">
      <c r="A50" s="184">
        <f>A48+1</f>
        <v>129</v>
      </c>
      <c r="B50" s="317" t="s">
        <v>1554</v>
      </c>
      <c r="C50" s="932">
        <v>4427610009</v>
      </c>
      <c r="D50" s="317" t="s">
        <v>1663</v>
      </c>
      <c r="E50" s="317"/>
      <c r="F50" s="320">
        <f>A50</f>
        <v>129</v>
      </c>
    </row>
    <row r="51" spans="1:6" s="116" customFormat="1">
      <c r="A51" s="184">
        <f>A50+1</f>
        <v>130</v>
      </c>
      <c r="B51" s="317" t="s">
        <v>1584</v>
      </c>
      <c r="C51" s="932">
        <v>20685428405</v>
      </c>
      <c r="D51" s="317" t="s">
        <v>1664</v>
      </c>
      <c r="E51" s="317"/>
      <c r="F51" s="320">
        <f>A51</f>
        <v>130</v>
      </c>
    </row>
    <row r="52" spans="1:6" s="116" customFormat="1">
      <c r="A52" s="184">
        <f>A51+1</f>
        <v>131</v>
      </c>
      <c r="B52" s="317" t="s">
        <v>1557</v>
      </c>
      <c r="C52" s="931">
        <f>C50/C51</f>
        <v>0.21404487846767417</v>
      </c>
      <c r="D52" s="835" t="s">
        <v>1599</v>
      </c>
      <c r="E52" s="317"/>
      <c r="F52" s="320">
        <f>A52</f>
        <v>131</v>
      </c>
    </row>
    <row r="53" spans="1:6" s="116" customFormat="1"/>
    <row r="54" spans="1:6">
      <c r="C54" s="794"/>
    </row>
    <row r="56" spans="1:6">
      <c r="C56" s="796"/>
    </row>
    <row r="58" spans="1:6">
      <c r="C58" s="796"/>
    </row>
  </sheetData>
  <printOptions horizontalCentered="1"/>
  <pageMargins left="1" right="1" top="1" bottom="1" header="0.5" footer="0.5"/>
  <pageSetup scale="57" fitToHeight="0" orientation="landscape" r:id="rId1"/>
  <headerFooter>
    <oddHeader>&amp;C&amp;"-,Bold"&amp;12Pacific Gas and Electric Company
Formula Rate Model
Schedule 24-Allocators</oddHead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pageSetUpPr fitToPage="1"/>
  </sheetPr>
  <dimension ref="A1:J22"/>
  <sheetViews>
    <sheetView view="pageBreakPreview" zoomScaleNormal="100" zoomScaleSheetLayoutView="100" workbookViewId="0">
      <selection activeCell="G13" sqref="G13"/>
    </sheetView>
  </sheetViews>
  <sheetFormatPr defaultColWidth="9.140625" defaultRowHeight="15"/>
  <cols>
    <col min="1" max="1" width="6.7109375" style="12" bestFit="1" customWidth="1"/>
    <col min="2" max="2" width="9.5703125" style="12" customWidth="1"/>
    <col min="3" max="3" width="8.5703125" style="12" customWidth="1"/>
    <col min="4" max="4" width="17.85546875" style="12" customWidth="1"/>
    <col min="5" max="5" width="19.42578125" style="12" bestFit="1" customWidth="1"/>
    <col min="6" max="6" width="33.42578125" style="12" bestFit="1" customWidth="1"/>
    <col min="7" max="7" width="4.7109375" style="12" bestFit="1" customWidth="1"/>
    <col min="8" max="9" width="9.140625" style="12"/>
    <col min="10" max="10" width="15.5703125" style="12" bestFit="1" customWidth="1"/>
    <col min="11" max="16384" width="9.140625" style="12"/>
  </cols>
  <sheetData>
    <row r="1" spans="1:10">
      <c r="B1" s="2" t="s">
        <v>1057</v>
      </c>
      <c r="E1" s="6"/>
      <c r="F1" s="8" t="str">
        <f>CONCATENATE("Prior Year: ",'1-DRR'!$K$2)</f>
        <v>Prior Year: 2021</v>
      </c>
    </row>
    <row r="2" spans="1:10">
      <c r="B2" s="453" t="s">
        <v>122</v>
      </c>
      <c r="C2" s="599"/>
    </row>
    <row r="4" spans="1:10">
      <c r="A4" s="3" t="s">
        <v>86</v>
      </c>
      <c r="G4" s="3" t="str">
        <f>A4</f>
        <v>Line</v>
      </c>
    </row>
    <row r="5" spans="1:10">
      <c r="B5" s="65" t="s">
        <v>595</v>
      </c>
      <c r="C5" s="62"/>
      <c r="D5" s="62"/>
      <c r="E5" s="62"/>
      <c r="F5" s="62"/>
      <c r="J5" s="304"/>
    </row>
    <row r="6" spans="1:10">
      <c r="B6" s="9" t="s">
        <v>593</v>
      </c>
      <c r="C6" s="9" t="s">
        <v>592</v>
      </c>
      <c r="D6" s="9" t="s">
        <v>591</v>
      </c>
      <c r="E6" s="9" t="s">
        <v>590</v>
      </c>
      <c r="F6" s="3" t="s">
        <v>158</v>
      </c>
      <c r="J6" s="304"/>
    </row>
    <row r="7" spans="1:10">
      <c r="A7" s="69">
        <v>100</v>
      </c>
      <c r="B7" s="128"/>
      <c r="C7" s="550" t="s">
        <v>1695</v>
      </c>
      <c r="D7" s="550">
        <v>366</v>
      </c>
      <c r="E7" s="315">
        <v>7.4570000000000001E-3</v>
      </c>
      <c r="F7" s="316" t="s">
        <v>1488</v>
      </c>
      <c r="G7" s="69">
        <f>A7</f>
        <v>100</v>
      </c>
    </row>
    <row r="8" spans="1:10">
      <c r="A8" s="69">
        <f>A7+1</f>
        <v>101</v>
      </c>
      <c r="B8" s="313" t="s">
        <v>769</v>
      </c>
      <c r="C8" s="63"/>
      <c r="D8" s="63"/>
      <c r="E8" s="315"/>
      <c r="F8" s="314"/>
      <c r="G8" s="69">
        <f>A8</f>
        <v>101</v>
      </c>
      <c r="J8" s="15"/>
    </row>
    <row r="9" spans="1:10">
      <c r="A9" s="69"/>
      <c r="G9" s="69"/>
    </row>
    <row r="10" spans="1:10">
      <c r="A10" s="69"/>
      <c r="B10" s="65" t="s">
        <v>594</v>
      </c>
      <c r="C10" s="62"/>
      <c r="D10" s="62"/>
      <c r="E10" s="62"/>
      <c r="F10" s="62"/>
      <c r="G10" s="69"/>
    </row>
    <row r="11" spans="1:10">
      <c r="A11" s="69"/>
      <c r="B11" s="2" t="s">
        <v>593</v>
      </c>
      <c r="C11" s="2" t="s">
        <v>592</v>
      </c>
      <c r="D11" s="2" t="s">
        <v>591</v>
      </c>
      <c r="E11" s="2" t="s">
        <v>99</v>
      </c>
      <c r="F11" s="2" t="s">
        <v>158</v>
      </c>
      <c r="G11" s="69"/>
    </row>
    <row r="12" spans="1:10">
      <c r="A12" s="69">
        <v>200</v>
      </c>
      <c r="B12" s="128"/>
      <c r="C12" s="550" t="s">
        <v>1695</v>
      </c>
      <c r="D12" s="550">
        <v>366</v>
      </c>
      <c r="E12" s="315">
        <v>2.7300000000000002E-4</v>
      </c>
      <c r="F12" s="316" t="s">
        <v>1489</v>
      </c>
      <c r="G12" s="69">
        <f>A12</f>
        <v>200</v>
      </c>
    </row>
    <row r="13" spans="1:10">
      <c r="A13" s="69">
        <f>A12+1</f>
        <v>201</v>
      </c>
      <c r="B13" s="313" t="s">
        <v>769</v>
      </c>
      <c r="C13" s="63"/>
      <c r="D13" s="63"/>
      <c r="E13" s="63"/>
      <c r="F13" s="24"/>
      <c r="G13" s="69">
        <f>A13</f>
        <v>201</v>
      </c>
    </row>
    <row r="14" spans="1:10">
      <c r="A14" s="69"/>
      <c r="G14" s="69"/>
    </row>
    <row r="15" spans="1:10">
      <c r="A15" s="69"/>
      <c r="B15" s="65" t="s">
        <v>887</v>
      </c>
      <c r="C15" s="62"/>
      <c r="D15" s="62"/>
      <c r="E15" s="62"/>
      <c r="F15" s="62"/>
      <c r="G15" s="69"/>
    </row>
    <row r="16" spans="1:10">
      <c r="A16" s="69">
        <v>400</v>
      </c>
      <c r="B16" s="2" t="s">
        <v>590</v>
      </c>
      <c r="C16" s="2"/>
      <c r="D16" s="2"/>
      <c r="E16" s="15">
        <f>((E7*D7)+(E8*D8))/(D7+D8)</f>
        <v>7.4569999999999992E-3</v>
      </c>
      <c r="F16" s="15"/>
      <c r="G16" s="69">
        <f>A16</f>
        <v>400</v>
      </c>
    </row>
    <row r="17" spans="1:7">
      <c r="A17" s="69">
        <f>A16+1</f>
        <v>401</v>
      </c>
      <c r="B17" s="2" t="s">
        <v>99</v>
      </c>
      <c r="C17" s="2"/>
      <c r="D17" s="2"/>
      <c r="E17" s="15">
        <f>((E12*D12)+(E13*D13))/(D12+D13)</f>
        <v>2.7300000000000002E-4</v>
      </c>
      <c r="F17" s="15"/>
      <c r="G17" s="69">
        <f>A17</f>
        <v>401</v>
      </c>
    </row>
    <row r="22" spans="1:7">
      <c r="D22" s="25"/>
    </row>
  </sheetData>
  <printOptions horizontalCentered="1"/>
  <pageMargins left="1" right="1" top="1" bottom="1" header="0.5" footer="0.5"/>
  <pageSetup fitToHeight="0" orientation="landscape" r:id="rId1"/>
  <headerFooter>
    <oddHeader>&amp;C&amp;"-,Bold"&amp;12Pacific Gas and Electric Company
Formula Rate Model
Schedule 25-RevenueFeeFactors</oddHead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Q125"/>
  <sheetViews>
    <sheetView view="pageBreakPreview" topLeftCell="C70" zoomScale="85" zoomScaleNormal="100" zoomScaleSheetLayoutView="85" zoomScalePageLayoutView="70" workbookViewId="0">
      <selection activeCell="G13" sqref="G13"/>
    </sheetView>
  </sheetViews>
  <sheetFormatPr defaultColWidth="9.140625" defaultRowHeight="15"/>
  <cols>
    <col min="1" max="1" width="6" style="4" bestFit="1" customWidth="1"/>
    <col min="2" max="2" width="2.140625" style="435" bestFit="1" customWidth="1"/>
    <col min="3" max="3" width="51.140625" style="12" customWidth="1"/>
    <col min="4" max="4" width="3.7109375" style="12" customWidth="1"/>
    <col min="5" max="5" width="17.7109375" style="12" bestFit="1" customWidth="1"/>
    <col min="6" max="6" width="33.42578125" style="45" bestFit="1" customWidth="1"/>
    <col min="7" max="7" width="30.28515625" style="45" bestFit="1" customWidth="1"/>
    <col min="8" max="8" width="17.7109375" style="45" bestFit="1" customWidth="1"/>
    <col min="9" max="9" width="16.28515625" style="45" bestFit="1" customWidth="1"/>
    <col min="10" max="10" width="16.28515625" style="12" bestFit="1" customWidth="1"/>
    <col min="11" max="11" width="38.28515625" style="12" bestFit="1" customWidth="1"/>
    <col min="12" max="12" width="4.5703125" style="12" bestFit="1" customWidth="1"/>
    <col min="13" max="13" width="2.7109375" style="24" customWidth="1"/>
    <col min="14" max="16" width="9.140625" style="12"/>
    <col min="17" max="17" width="11.85546875" style="12" bestFit="1" customWidth="1"/>
    <col min="18" max="16384" width="9.140625" style="12"/>
  </cols>
  <sheetData>
    <row r="1" spans="1:17">
      <c r="C1" s="2" t="s">
        <v>1058</v>
      </c>
      <c r="J1" s="6" t="s">
        <v>110</v>
      </c>
      <c r="K1" s="55">
        <v>2023</v>
      </c>
    </row>
    <row r="2" spans="1:17">
      <c r="A2" s="5"/>
      <c r="B2" s="5"/>
      <c r="C2" s="54" t="s">
        <v>122</v>
      </c>
      <c r="J2" s="6" t="s">
        <v>90</v>
      </c>
      <c r="K2" s="5">
        <f>K1-2</f>
        <v>2021</v>
      </c>
      <c r="M2" s="8"/>
    </row>
    <row r="3" spans="1:17">
      <c r="A3" s="3" t="s">
        <v>86</v>
      </c>
      <c r="B3" s="3"/>
      <c r="E3" s="3" t="s">
        <v>62</v>
      </c>
      <c r="G3" s="44"/>
      <c r="H3" s="3" t="s">
        <v>63</v>
      </c>
      <c r="I3" s="3" t="s">
        <v>64</v>
      </c>
      <c r="J3" s="3" t="s">
        <v>65</v>
      </c>
      <c r="K3" s="3" t="s">
        <v>38</v>
      </c>
      <c r="L3" s="10"/>
    </row>
    <row r="4" spans="1:17" s="45" customFormat="1">
      <c r="A4" s="644">
        <v>1</v>
      </c>
      <c r="B4" s="3"/>
      <c r="E4" s="3"/>
      <c r="G4" s="645"/>
      <c r="H4" s="673" t="s">
        <v>1295</v>
      </c>
      <c r="I4" s="660">
        <f>'6-PlantJurisdiction'!E85</f>
        <v>0.4883690251540051</v>
      </c>
      <c r="J4" s="660">
        <f>'6-PlantJurisdiction'!F85</f>
        <v>0.46517328191677687</v>
      </c>
      <c r="K4" s="646" t="s">
        <v>1235</v>
      </c>
      <c r="L4" s="10"/>
      <c r="M4" s="46"/>
    </row>
    <row r="5" spans="1:17">
      <c r="C5" s="60" t="s">
        <v>114</v>
      </c>
      <c r="D5" s="677"/>
      <c r="E5" s="551"/>
      <c r="F5" s="551"/>
      <c r="G5" s="551"/>
      <c r="H5" s="551"/>
      <c r="I5" s="551"/>
      <c r="J5" s="551"/>
      <c r="K5" s="551"/>
    </row>
    <row r="6" spans="1:17" ht="30">
      <c r="A6" s="3" t="s">
        <v>86</v>
      </c>
      <c r="B6" s="3"/>
      <c r="C6" s="178" t="s">
        <v>91</v>
      </c>
      <c r="D6" s="338"/>
      <c r="E6" s="178" t="s">
        <v>1362</v>
      </c>
      <c r="F6" s="178" t="s">
        <v>38</v>
      </c>
      <c r="G6" s="178" t="s">
        <v>8</v>
      </c>
      <c r="H6" s="178" t="s">
        <v>1296</v>
      </c>
      <c r="I6" s="178" t="s">
        <v>1023</v>
      </c>
      <c r="J6" s="178" t="s">
        <v>1024</v>
      </c>
      <c r="K6" s="3" t="s">
        <v>38</v>
      </c>
      <c r="L6" s="3" t="str">
        <f>A6</f>
        <v>Line</v>
      </c>
    </row>
    <row r="7" spans="1:17">
      <c r="C7" s="1" t="s">
        <v>2</v>
      </c>
      <c r="D7" s="1"/>
      <c r="E7"/>
      <c r="F7"/>
      <c r="G7"/>
      <c r="H7"/>
      <c r="I7"/>
      <c r="J7"/>
      <c r="K7"/>
    </row>
    <row r="8" spans="1:17">
      <c r="A8" s="4">
        <v>100</v>
      </c>
      <c r="C8" t="s">
        <v>928</v>
      </c>
      <c r="D8"/>
      <c r="E8" s="18">
        <f>'7-PlantInService'!AC25</f>
        <v>36964133131.999985</v>
      </c>
      <c r="F8" t="s">
        <v>1015</v>
      </c>
      <c r="G8" t="s">
        <v>107</v>
      </c>
      <c r="H8" s="18">
        <f>I8+J8</f>
        <v>35246864786.429993</v>
      </c>
      <c r="I8" s="18">
        <f>'7-PlantInService'!AC50</f>
        <v>18052137663.515579</v>
      </c>
      <c r="J8" s="18">
        <f>'7-PlantInService'!AC75</f>
        <v>17194727122.914413</v>
      </c>
      <c r="K8" t="s">
        <v>1246</v>
      </c>
      <c r="L8" s="4">
        <f>A8</f>
        <v>100</v>
      </c>
      <c r="Q8" s="32"/>
    </row>
    <row r="9" spans="1:17">
      <c r="A9" s="4">
        <f>A8+1</f>
        <v>101</v>
      </c>
      <c r="C9" t="s">
        <v>1</v>
      </c>
      <c r="D9"/>
      <c r="E9" s="59">
        <v>2889991282.3299999</v>
      </c>
      <c r="F9" s="710" t="s">
        <v>1396</v>
      </c>
      <c r="G9" t="s">
        <v>107</v>
      </c>
      <c r="H9" s="18">
        <f t="shared" ref="H9:H10" si="0">I9+J9</f>
        <v>2025054620.5164266</v>
      </c>
      <c r="I9" s="18">
        <f>'7-PlantInService'!D129</f>
        <v>1037157914.8315742</v>
      </c>
      <c r="J9" s="18">
        <f>'7-PlantInService'!E129</f>
        <v>987896705.68485224</v>
      </c>
      <c r="K9" t="s">
        <v>1593</v>
      </c>
      <c r="L9" s="4">
        <f>A9</f>
        <v>101</v>
      </c>
      <c r="Q9" s="32"/>
    </row>
    <row r="10" spans="1:17">
      <c r="A10" s="580">
        <f>A9+1</f>
        <v>102</v>
      </c>
      <c r="C10" s="2" t="s">
        <v>9</v>
      </c>
      <c r="D10" s="2"/>
      <c r="E10" s="674">
        <f>+E8+E9</f>
        <v>39854124414.329987</v>
      </c>
      <c r="F10" s="473" t="str">
        <f>"Line "&amp;A8&amp;" + Line "&amp;A9&amp;""</f>
        <v>Line 100 + Line 101</v>
      </c>
      <c r="G10"/>
      <c r="H10" s="674">
        <f t="shared" si="0"/>
        <v>37271919406.946419</v>
      </c>
      <c r="I10" s="674">
        <f t="shared" ref="I10:J10" si="1">+I8+I9</f>
        <v>19089295578.347153</v>
      </c>
      <c r="J10" s="674">
        <f t="shared" si="1"/>
        <v>18182623828.599266</v>
      </c>
      <c r="K10" s="473" t="str">
        <f>"Line "&amp;A8&amp;" + Line "&amp;A9&amp;""</f>
        <v>Line 100 + Line 101</v>
      </c>
      <c r="L10" s="4">
        <f>A10</f>
        <v>102</v>
      </c>
      <c r="Q10" s="32"/>
    </row>
    <row r="11" spans="1:17">
      <c r="C11"/>
      <c r="D11"/>
      <c r="E11" s="556"/>
      <c r="F11"/>
      <c r="G11"/>
      <c r="H11" s="556"/>
      <c r="I11" s="556"/>
      <c r="J11" s="556"/>
      <c r="K11"/>
      <c r="L11" s="24"/>
      <c r="Q11" s="32"/>
    </row>
    <row r="12" spans="1:17">
      <c r="C12" s="1" t="s">
        <v>3</v>
      </c>
      <c r="D12" s="1"/>
      <c r="E12" s="556"/>
      <c r="F12"/>
      <c r="G12"/>
      <c r="H12" s="556"/>
      <c r="I12" s="556"/>
      <c r="J12" s="556"/>
      <c r="K12"/>
      <c r="L12" s="24"/>
      <c r="Q12" s="32"/>
    </row>
    <row r="13" spans="1:17">
      <c r="A13" s="4">
        <f>A10+1</f>
        <v>103</v>
      </c>
      <c r="C13" t="s">
        <v>4</v>
      </c>
      <c r="D13"/>
      <c r="E13" s="18">
        <f>'13-WorkCap'!E25</f>
        <v>243542773.03879631</v>
      </c>
      <c r="F13" t="s">
        <v>600</v>
      </c>
      <c r="G13" t="s">
        <v>107</v>
      </c>
      <c r="H13" s="18">
        <f t="shared" ref="H13:H16" si="2">I13+J13</f>
        <v>232228337.67382967</v>
      </c>
      <c r="I13" s="18">
        <f>E13*$I$4</f>
        <v>118938746.65226007</v>
      </c>
      <c r="J13" s="18">
        <f>E13*$J$4</f>
        <v>113289591.02156959</v>
      </c>
      <c r="K13" t="s">
        <v>1297</v>
      </c>
      <c r="L13" s="4">
        <f>A13</f>
        <v>103</v>
      </c>
      <c r="Q13" s="32"/>
    </row>
    <row r="14" spans="1:17">
      <c r="A14" s="4">
        <f>A13+1</f>
        <v>104</v>
      </c>
      <c r="C14" t="s">
        <v>101</v>
      </c>
      <c r="D14"/>
      <c r="E14" s="18">
        <f>'13-WorkCap'!F60</f>
        <v>165911494</v>
      </c>
      <c r="F14" t="s">
        <v>601</v>
      </c>
      <c r="G14" t="s">
        <v>107</v>
      </c>
      <c r="H14" s="18">
        <f t="shared" si="2"/>
        <v>158203628.75832021</v>
      </c>
      <c r="I14" s="18">
        <f>E14*$I$4</f>
        <v>81026034.586624563</v>
      </c>
      <c r="J14" s="18">
        <f>E14*$J$4</f>
        <v>77177594.171695635</v>
      </c>
      <c r="K14" t="s">
        <v>1298</v>
      </c>
      <c r="L14" s="4">
        <f>A14</f>
        <v>104</v>
      </c>
      <c r="Q14" s="32"/>
    </row>
    <row r="15" spans="1:17">
      <c r="A15" s="11">
        <f t="shared" ref="A15:A16" si="3">A14+1</f>
        <v>105</v>
      </c>
      <c r="B15" s="11"/>
      <c r="C15" t="s">
        <v>5</v>
      </c>
      <c r="D15"/>
      <c r="E15" s="19">
        <f>(E104+E105)/8</f>
        <v>484335150.83755803</v>
      </c>
      <c r="F15" t="str">
        <f>"(Line "&amp;A104&amp;" + Line "&amp;A105&amp;") / 8"</f>
        <v>(Line 500 + Line 501) / 8</v>
      </c>
      <c r="G15"/>
      <c r="H15" s="19">
        <f t="shared" si="2"/>
        <v>461834057.12512028</v>
      </c>
      <c r="I15" s="19">
        <f>E15*$I$4</f>
        <v>236534285.46235624</v>
      </c>
      <c r="J15" s="19">
        <f>E15*$J$4</f>
        <v>225299771.66276404</v>
      </c>
      <c r="K15" t="s">
        <v>1299</v>
      </c>
      <c r="L15" s="4">
        <f>A15</f>
        <v>105</v>
      </c>
      <c r="Q15" s="32"/>
    </row>
    <row r="16" spans="1:17">
      <c r="A16" s="4">
        <f t="shared" si="3"/>
        <v>106</v>
      </c>
      <c r="C16" s="2" t="s">
        <v>10</v>
      </c>
      <c r="D16" s="2"/>
      <c r="E16" s="20">
        <f>+E13+E15+E14</f>
        <v>893789417.87635434</v>
      </c>
      <c r="F16" s="473" t="str">
        <f>"Sum of Lines "&amp;$A$13&amp;" to "&amp;$A$15&amp;""</f>
        <v>Sum of Lines 103 to 105</v>
      </c>
      <c r="G16"/>
      <c r="H16" s="20">
        <f t="shared" si="2"/>
        <v>852266023.55727005</v>
      </c>
      <c r="I16" s="20">
        <f t="shared" ref="I16:J16" si="4">+I13+I15+I14</f>
        <v>436499066.70124084</v>
      </c>
      <c r="J16" s="20">
        <f t="shared" si="4"/>
        <v>415766956.85602927</v>
      </c>
      <c r="K16" s="473" t="str">
        <f>"Sum of Lines "&amp;$A$13&amp;" to "&amp;$A$15&amp;""</f>
        <v>Sum of Lines 103 to 105</v>
      </c>
      <c r="L16" s="4">
        <f>A16</f>
        <v>106</v>
      </c>
      <c r="Q16" s="32"/>
    </row>
    <row r="17" spans="1:17">
      <c r="C17"/>
      <c r="D17"/>
      <c r="E17" s="556"/>
      <c r="F17"/>
      <c r="G17"/>
      <c r="H17" s="556"/>
      <c r="I17" s="556"/>
      <c r="J17" s="556"/>
      <c r="K17"/>
      <c r="L17" s="24"/>
      <c r="Q17" s="32"/>
    </row>
    <row r="18" spans="1:17">
      <c r="C18" s="1" t="s">
        <v>6</v>
      </c>
      <c r="D18" s="1"/>
      <c r="E18" s="556"/>
      <c r="F18"/>
      <c r="G18"/>
      <c r="H18" s="556"/>
      <c r="I18" s="556"/>
      <c r="J18" s="556"/>
      <c r="K18"/>
      <c r="L18" s="24"/>
      <c r="Q18" s="32"/>
    </row>
    <row r="19" spans="1:17">
      <c r="A19" s="4">
        <f>A16+1</f>
        <v>107</v>
      </c>
      <c r="C19" t="s">
        <v>929</v>
      </c>
      <c r="D19"/>
      <c r="E19" s="31">
        <f>-'10-AccDep'!AC25</f>
        <v>-16083875762.020004</v>
      </c>
      <c r="F19" t="s">
        <v>1184</v>
      </c>
      <c r="G19" t="s">
        <v>597</v>
      </c>
      <c r="H19" s="18">
        <f t="shared" ref="H19:H21" si="5">I19+J19</f>
        <v>-15447683383.700008</v>
      </c>
      <c r="I19" s="18">
        <f>-'10-AccDep'!AC50</f>
        <v>-7685968897.5650244</v>
      </c>
      <c r="J19" s="18">
        <f>-'10-AccDep'!AC75</f>
        <v>-7761714486.1349831</v>
      </c>
      <c r="K19" t="s">
        <v>1247</v>
      </c>
      <c r="L19" s="4">
        <f>A19</f>
        <v>107</v>
      </c>
      <c r="Q19" s="32"/>
    </row>
    <row r="20" spans="1:17">
      <c r="A20" s="4">
        <f>A19+1</f>
        <v>108</v>
      </c>
      <c r="C20" t="s">
        <v>13</v>
      </c>
      <c r="D20"/>
      <c r="E20" s="59">
        <v>-1102476559</v>
      </c>
      <c r="F20" s="710" t="s">
        <v>1395</v>
      </c>
      <c r="G20" t="s">
        <v>597</v>
      </c>
      <c r="H20" s="18">
        <f t="shared" si="5"/>
        <v>-741413526.16620278</v>
      </c>
      <c r="I20" s="18">
        <f>-'10-AccDep'!D129</f>
        <v>-379724526.45764387</v>
      </c>
      <c r="J20" s="18">
        <f>-'10-AccDep'!E129</f>
        <v>-361688999.70855898</v>
      </c>
      <c r="K20" t="s">
        <v>1596</v>
      </c>
      <c r="L20" s="4">
        <f>A20</f>
        <v>108</v>
      </c>
      <c r="Q20" s="32"/>
    </row>
    <row r="21" spans="1:17">
      <c r="A21" s="580">
        <f>A20+1</f>
        <v>109</v>
      </c>
      <c r="C21" s="2" t="s">
        <v>11</v>
      </c>
      <c r="D21" s="2"/>
      <c r="E21" s="674">
        <f>+E19+E20</f>
        <v>-17186352321.020004</v>
      </c>
      <c r="F21" t="str">
        <f>"Line "&amp;$A$19&amp;" + Line "&amp;$A$20&amp;""</f>
        <v>Line 107 + Line 108</v>
      </c>
      <c r="G21"/>
      <c r="H21" s="674">
        <f t="shared" si="5"/>
        <v>-16189096909.866211</v>
      </c>
      <c r="I21" s="674">
        <f t="shared" ref="I21:J21" si="6">+I19+I20</f>
        <v>-8065693424.0226679</v>
      </c>
      <c r="J21" s="674">
        <f t="shared" si="6"/>
        <v>-8123403485.8435421</v>
      </c>
      <c r="K21" t="str">
        <f>"Line "&amp;$A$19&amp;" + Line "&amp;$A$20&amp;""</f>
        <v>Line 107 + Line 108</v>
      </c>
      <c r="L21" s="547">
        <f>A21</f>
        <v>109</v>
      </c>
      <c r="M21" s="7"/>
      <c r="Q21" s="32"/>
    </row>
    <row r="22" spans="1:17">
      <c r="C22"/>
      <c r="D22"/>
      <c r="E22" s="556"/>
      <c r="F22"/>
      <c r="G22"/>
      <c r="H22" s="556"/>
      <c r="I22" s="556"/>
      <c r="J22" s="556"/>
      <c r="K22"/>
      <c r="L22" s="24"/>
      <c r="M22" s="7"/>
      <c r="Q22" s="32"/>
    </row>
    <row r="23" spans="1:17">
      <c r="A23" s="4">
        <f>A21+1</f>
        <v>110</v>
      </c>
      <c r="B23" s="23" t="s">
        <v>792</v>
      </c>
      <c r="C23" s="5" t="s">
        <v>7</v>
      </c>
      <c r="D23" s="5"/>
      <c r="E23" s="18">
        <f>'14-ADIT'!D13</f>
        <v>-2870649317.6736646</v>
      </c>
      <c r="F23" t="s">
        <v>760</v>
      </c>
      <c r="G23" t="s">
        <v>107</v>
      </c>
      <c r="H23" s="18">
        <f t="shared" ref="H23:H27" si="7">I23+J23</f>
        <v>-2737285573.1657124</v>
      </c>
      <c r="I23" s="18">
        <f>E23*$I$4</f>
        <v>-1401936208.8312974</v>
      </c>
      <c r="J23" s="18">
        <f>E23*$J$4</f>
        <v>-1335349364.3344147</v>
      </c>
      <c r="K23" t="s">
        <v>1300</v>
      </c>
      <c r="L23" s="4">
        <f>A23</f>
        <v>110</v>
      </c>
      <c r="M23" s="7" t="s">
        <v>792</v>
      </c>
      <c r="Q23" s="32"/>
    </row>
    <row r="24" spans="1:17" s="45" customFormat="1">
      <c r="A24" s="435">
        <f>A23</f>
        <v>110</v>
      </c>
      <c r="B24" s="23" t="s">
        <v>793</v>
      </c>
      <c r="C24" s="5" t="s">
        <v>795</v>
      </c>
      <c r="D24" s="5"/>
      <c r="E24" s="19">
        <f>'17-RegAssets-1'!C47</f>
        <v>-1442365131.1236477</v>
      </c>
      <c r="F24" t="s">
        <v>852</v>
      </c>
      <c r="G24" t="s">
        <v>107</v>
      </c>
      <c r="H24" s="19">
        <f t="shared" si="7"/>
        <v>-1375356174.7700939</v>
      </c>
      <c r="I24" s="19">
        <f>E24*$I$4</f>
        <v>-704406453.00298452</v>
      </c>
      <c r="J24" s="19">
        <f>E24*$J$4</f>
        <v>-670949721.76710939</v>
      </c>
      <c r="K24" t="s">
        <v>1301</v>
      </c>
      <c r="L24" s="11">
        <f>A24</f>
        <v>110</v>
      </c>
      <c r="M24" s="7" t="s">
        <v>793</v>
      </c>
      <c r="Q24" s="32"/>
    </row>
    <row r="25" spans="1:17" s="45" customFormat="1">
      <c r="A25" s="435">
        <f>A24</f>
        <v>110</v>
      </c>
      <c r="B25" s="23" t="s">
        <v>794</v>
      </c>
      <c r="C25" s="5" t="s">
        <v>797</v>
      </c>
      <c r="D25" s="463"/>
      <c r="E25" s="20">
        <f>+E23+E24</f>
        <v>-4313014448.7973118</v>
      </c>
      <c r="F25" t="str">
        <f>"Line "&amp;$A$23&amp;"a + Line "&amp;$A$24&amp;"b"</f>
        <v>Line 110a + Line 110b</v>
      </c>
      <c r="G25" t="s">
        <v>107</v>
      </c>
      <c r="H25" s="20">
        <f t="shared" si="7"/>
        <v>-4112641747.9358063</v>
      </c>
      <c r="I25" s="20">
        <f t="shared" ref="I25:J25" si="8">+I23+I24</f>
        <v>-2106342661.8342819</v>
      </c>
      <c r="J25" s="20">
        <f t="shared" si="8"/>
        <v>-2006299086.1015241</v>
      </c>
      <c r="K25" t="str">
        <f>"Line "&amp;$A$23&amp;"a + Line "&amp;$A$24&amp;"b"</f>
        <v>Line 110a + Line 110b</v>
      </c>
      <c r="L25" s="11">
        <f>A25</f>
        <v>110</v>
      </c>
      <c r="M25" s="7" t="s">
        <v>794</v>
      </c>
      <c r="Q25" s="32"/>
    </row>
    <row r="26" spans="1:17" s="24" customFormat="1">
      <c r="A26" s="11">
        <f>A25+1</f>
        <v>111</v>
      </c>
      <c r="B26" s="11"/>
      <c r="C26" s="184" t="s">
        <v>1550</v>
      </c>
      <c r="D26" s="836"/>
      <c r="E26" s="376">
        <f>'16-UnfundedReserves'!E13</f>
        <v>-123575038.625315</v>
      </c>
      <c r="F26" s="317" t="s">
        <v>1616</v>
      </c>
      <c r="G26" t="s">
        <v>107</v>
      </c>
      <c r="H26" s="18">
        <f t="shared" si="7"/>
        <v>-117834027.42714384</v>
      </c>
      <c r="I26" s="18">
        <f>E26*$I$4</f>
        <v>-60350221.146813609</v>
      </c>
      <c r="J26" s="18">
        <f>E26*$J$4</f>
        <v>-57483806.280330241</v>
      </c>
      <c r="K26" t="s">
        <v>1302</v>
      </c>
      <c r="L26" s="11">
        <f>A26</f>
        <v>111</v>
      </c>
    </row>
    <row r="27" spans="1:17">
      <c r="A27" s="4">
        <f>A26+1</f>
        <v>112</v>
      </c>
      <c r="C27" s="2" t="s">
        <v>12</v>
      </c>
      <c r="D27" s="2"/>
      <c r="E27" s="19">
        <f>'17-RegAssets-1'!E25</f>
        <v>0</v>
      </c>
      <c r="F27" t="s">
        <v>881</v>
      </c>
      <c r="G27" t="s">
        <v>107</v>
      </c>
      <c r="H27" s="19">
        <f t="shared" si="7"/>
        <v>0</v>
      </c>
      <c r="I27" s="19">
        <f>E27*$I$4</f>
        <v>0</v>
      </c>
      <c r="J27" s="19">
        <f>E27*$J$4</f>
        <v>0</v>
      </c>
      <c r="K27" t="s">
        <v>1303</v>
      </c>
      <c r="L27" s="4">
        <f>A27</f>
        <v>112</v>
      </c>
    </row>
    <row r="28" spans="1:17">
      <c r="A28" s="11"/>
      <c r="B28" s="11"/>
      <c r="C28"/>
      <c r="D28"/>
      <c r="E28" s="18"/>
      <c r="F28"/>
      <c r="G28"/>
      <c r="H28" s="18"/>
      <c r="I28" s="18"/>
      <c r="J28" s="18"/>
      <c r="K28"/>
      <c r="L28" s="4"/>
    </row>
    <row r="29" spans="1:17" ht="30.75" customHeight="1">
      <c r="A29" s="4">
        <f>A27+1</f>
        <v>113</v>
      </c>
      <c r="C29" s="2" t="s">
        <v>0</v>
      </c>
      <c r="D29" s="2"/>
      <c r="E29" s="20">
        <f>+E10+E16+E21+E25+E27+E26</f>
        <v>19124972023.763714</v>
      </c>
      <c r="F29" s="338" t="str">
        <f>"Sum of Lines "&amp;$A$10&amp;", "&amp;$A$16&amp;", "&amp;$A$21&amp;" and Lines "&amp;$A$25&amp;$B$25&amp;" to "&amp;$A$27&amp;""</f>
        <v>Sum of Lines 102, 106, 109 and Lines 110c to 112</v>
      </c>
      <c r="G29"/>
      <c r="H29" s="20">
        <f>I29+J29</f>
        <v>17704612745.274529</v>
      </c>
      <c r="I29" s="20">
        <f t="shared" ref="I29:J29" si="9">+I10+I16+I21+I25+I27+I26</f>
        <v>9293408338.0446301</v>
      </c>
      <c r="J29" s="20">
        <f t="shared" si="9"/>
        <v>8411204407.2298985</v>
      </c>
      <c r="K29" s="338" t="str">
        <f>"Sum of Lines "&amp;$A$10&amp;", "&amp;$A$16&amp;", "&amp;$A$21&amp;" and Lines "&amp;$A$25&amp;$B$25&amp;" to "&amp;$A$27&amp;""</f>
        <v>Sum of Lines 102, 106, 109 and Lines 110c to 112</v>
      </c>
      <c r="L29" s="4">
        <f>A29</f>
        <v>113</v>
      </c>
    </row>
    <row r="30" spans="1:17">
      <c r="C30"/>
      <c r="D30"/>
      <c r="E30" s="317"/>
      <c r="F30"/>
      <c r="G30"/>
      <c r="H30" s="317"/>
      <c r="I30" s="317"/>
      <c r="J30" s="317"/>
      <c r="K30"/>
      <c r="L30" s="4"/>
    </row>
    <row r="31" spans="1:17">
      <c r="C31" s="60" t="s">
        <v>115</v>
      </c>
      <c r="D31" s="551"/>
      <c r="E31" s="551"/>
      <c r="F31" s="551"/>
      <c r="G31" s="551"/>
      <c r="H31" s="551"/>
      <c r="I31" s="551"/>
      <c r="J31" s="551"/>
      <c r="K31" s="551"/>
    </row>
    <row r="32" spans="1:17" ht="30">
      <c r="A32" s="3" t="s">
        <v>86</v>
      </c>
      <c r="B32" s="3"/>
      <c r="C32" s="178" t="s">
        <v>91</v>
      </c>
      <c r="D32" s="338"/>
      <c r="E32" s="178" t="s">
        <v>1362</v>
      </c>
      <c r="F32" s="178" t="s">
        <v>38</v>
      </c>
      <c r="G32" s="178" t="s">
        <v>8</v>
      </c>
      <c r="H32" s="178" t="s">
        <v>1296</v>
      </c>
      <c r="I32" s="178" t="s">
        <v>1023</v>
      </c>
      <c r="J32" s="178" t="s">
        <v>1024</v>
      </c>
      <c r="K32" s="178" t="s">
        <v>38</v>
      </c>
      <c r="L32" s="3" t="str">
        <f>A32</f>
        <v>Line</v>
      </c>
    </row>
    <row r="33" spans="1:12">
      <c r="C33" s="1" t="s">
        <v>26</v>
      </c>
      <c r="D33" s="1"/>
      <c r="E33"/>
      <c r="F33"/>
      <c r="G33"/>
      <c r="H33"/>
      <c r="I33"/>
      <c r="J33"/>
      <c r="K33"/>
      <c r="L33" s="24"/>
    </row>
    <row r="34" spans="1:12">
      <c r="A34" s="4">
        <v>200</v>
      </c>
      <c r="C34" t="s">
        <v>27</v>
      </c>
      <c r="D34"/>
      <c r="E34" s="328">
        <v>0.4975</v>
      </c>
      <c r="F34" s="317" t="s">
        <v>1586</v>
      </c>
      <c r="G34" s="317" t="s">
        <v>1588</v>
      </c>
      <c r="H34" s="328">
        <f>E34</f>
        <v>0.4975</v>
      </c>
      <c r="I34" s="328">
        <f>E34</f>
        <v>0.4975</v>
      </c>
      <c r="J34" s="328">
        <f>E34</f>
        <v>0.4975</v>
      </c>
      <c r="K34" s="317" t="s">
        <v>1248</v>
      </c>
      <c r="L34" s="4">
        <f>A34</f>
        <v>200</v>
      </c>
    </row>
    <row r="35" spans="1:12">
      <c r="A35" s="4">
        <f>A34+1</f>
        <v>201</v>
      </c>
      <c r="C35" t="s">
        <v>28</v>
      </c>
      <c r="D35"/>
      <c r="E35" s="328">
        <v>5.0000000000000001E-3</v>
      </c>
      <c r="F35" s="317" t="s">
        <v>1587</v>
      </c>
      <c r="G35" s="317" t="s">
        <v>1588</v>
      </c>
      <c r="H35" s="328">
        <f t="shared" ref="H35:H36" si="10">E35</f>
        <v>5.0000000000000001E-3</v>
      </c>
      <c r="I35" s="328">
        <f>E35</f>
        <v>5.0000000000000001E-3</v>
      </c>
      <c r="J35" s="328">
        <f>E35</f>
        <v>5.0000000000000001E-3</v>
      </c>
      <c r="K35" s="317" t="s">
        <v>1249</v>
      </c>
      <c r="L35" s="4">
        <f>A35</f>
        <v>201</v>
      </c>
    </row>
    <row r="36" spans="1:12">
      <c r="A36" s="4">
        <f>A35+1</f>
        <v>202</v>
      </c>
      <c r="C36" t="s">
        <v>29</v>
      </c>
      <c r="D36"/>
      <c r="E36" s="328">
        <v>0.4975</v>
      </c>
      <c r="F36" s="317" t="s">
        <v>1586</v>
      </c>
      <c r="G36" s="317" t="s">
        <v>1588</v>
      </c>
      <c r="H36" s="328">
        <f t="shared" si="10"/>
        <v>0.4975</v>
      </c>
      <c r="I36" s="328">
        <f>E36</f>
        <v>0.4975</v>
      </c>
      <c r="J36" s="328">
        <f>E36</f>
        <v>0.4975</v>
      </c>
      <c r="K36" s="317" t="s">
        <v>1250</v>
      </c>
      <c r="L36" s="4">
        <f>A36</f>
        <v>202</v>
      </c>
    </row>
    <row r="37" spans="1:12">
      <c r="C37"/>
      <c r="D37"/>
      <c r="E37" s="317"/>
      <c r="F37" s="317"/>
      <c r="G37" s="317"/>
      <c r="H37" s="317"/>
      <c r="I37" s="317"/>
      <c r="J37" s="317"/>
      <c r="K37" s="317"/>
      <c r="L37" s="24"/>
    </row>
    <row r="38" spans="1:12">
      <c r="C38" s="1" t="s">
        <v>30</v>
      </c>
      <c r="D38" s="1"/>
      <c r="E38" s="317"/>
      <c r="F38" s="317"/>
      <c r="G38" s="317"/>
      <c r="H38" s="317"/>
      <c r="I38" s="317"/>
      <c r="J38" s="317"/>
      <c r="K38" s="317"/>
      <c r="L38" s="4"/>
    </row>
    <row r="39" spans="1:12">
      <c r="A39" s="4">
        <f>A36+1</f>
        <v>203</v>
      </c>
      <c r="C39" t="s">
        <v>31</v>
      </c>
      <c r="D39"/>
      <c r="E39" s="837">
        <f>'5-CostofCap-3'!F26</f>
        <v>3.5299999999999998E-2</v>
      </c>
      <c r="F39" s="317" t="s">
        <v>761</v>
      </c>
      <c r="G39" s="317"/>
      <c r="H39" s="837">
        <f t="shared" ref="H39:H40" si="11">E39</f>
        <v>3.5299999999999998E-2</v>
      </c>
      <c r="I39" s="837">
        <f>E39</f>
        <v>3.5299999999999998E-2</v>
      </c>
      <c r="J39" s="837">
        <f>E39</f>
        <v>3.5299999999999998E-2</v>
      </c>
      <c r="K39" s="317" t="s">
        <v>1251</v>
      </c>
      <c r="L39" s="4">
        <f>A39</f>
        <v>203</v>
      </c>
    </row>
    <row r="40" spans="1:12">
      <c r="A40" s="4">
        <f>A39+1</f>
        <v>204</v>
      </c>
      <c r="C40" t="s">
        <v>25</v>
      </c>
      <c r="D40"/>
      <c r="E40" s="837">
        <f>'5-CostofCap-4'!E14</f>
        <v>5.5211589517762859E-2</v>
      </c>
      <c r="F40" s="317" t="s">
        <v>603</v>
      </c>
      <c r="G40" s="317"/>
      <c r="H40" s="837">
        <f t="shared" si="11"/>
        <v>5.5211589517762859E-2</v>
      </c>
      <c r="I40" s="837">
        <f>E40</f>
        <v>5.5211589517762859E-2</v>
      </c>
      <c r="J40" s="837">
        <f>E40</f>
        <v>5.5211589517762859E-2</v>
      </c>
      <c r="K40" s="317" t="s">
        <v>1252</v>
      </c>
      <c r="L40" s="4">
        <f>A40</f>
        <v>204</v>
      </c>
    </row>
    <row r="41" spans="1:12">
      <c r="A41" s="398"/>
      <c r="C41"/>
      <c r="D41"/>
      <c r="E41" s="837"/>
      <c r="F41" s="317"/>
      <c r="G41" s="317"/>
      <c r="H41" s="837"/>
      <c r="I41" s="837"/>
      <c r="J41" s="837"/>
      <c r="K41" s="317"/>
      <c r="L41" s="398"/>
    </row>
    <row r="42" spans="1:12">
      <c r="A42" s="398">
        <f>A40+1</f>
        <v>205</v>
      </c>
      <c r="C42" t="s">
        <v>752</v>
      </c>
      <c r="D42"/>
      <c r="E42" s="328">
        <v>0.10249999999999999</v>
      </c>
      <c r="F42" s="317" t="s">
        <v>1589</v>
      </c>
      <c r="G42" s="317" t="s">
        <v>1588</v>
      </c>
      <c r="H42" s="328">
        <f t="shared" ref="H42" si="12">E42</f>
        <v>0.10249999999999999</v>
      </c>
      <c r="I42" s="328">
        <f>E42</f>
        <v>0.10249999999999999</v>
      </c>
      <c r="J42" s="328">
        <f>E42</f>
        <v>0.10249999999999999</v>
      </c>
      <c r="K42" s="317" t="s">
        <v>1253</v>
      </c>
      <c r="L42" s="404">
        <f>A42</f>
        <v>205</v>
      </c>
    </row>
    <row r="43" spans="1:12">
      <c r="C43"/>
      <c r="D43"/>
      <c r="E43" s="317"/>
      <c r="F43" s="317"/>
      <c r="G43" s="317"/>
      <c r="H43" s="317"/>
      <c r="I43" s="317"/>
      <c r="J43" s="317"/>
      <c r="K43" s="317"/>
      <c r="L43" s="24"/>
    </row>
    <row r="44" spans="1:12">
      <c r="C44" s="1" t="s">
        <v>32</v>
      </c>
      <c r="D44" s="1"/>
      <c r="E44" s="317"/>
      <c r="F44" s="317"/>
      <c r="G44" s="317"/>
      <c r="H44" s="317"/>
      <c r="I44" s="317"/>
      <c r="J44" s="317"/>
      <c r="K44" s="317"/>
      <c r="L44" s="24"/>
    </row>
    <row r="45" spans="1:12">
      <c r="A45" s="4">
        <f>A42+1</f>
        <v>206</v>
      </c>
      <c r="C45" t="s">
        <v>33</v>
      </c>
      <c r="D45"/>
      <c r="E45" s="328">
        <f>E34*E39</f>
        <v>1.7561749999999998E-2</v>
      </c>
      <c r="F45" s="317" t="str">
        <f>"Line "&amp;A34&amp;" * Line "&amp;A39&amp;""</f>
        <v>Line 200 * Line 203</v>
      </c>
      <c r="G45" s="317"/>
      <c r="H45" s="328">
        <f t="shared" ref="H45:H48" si="13">E45</f>
        <v>1.7561749999999998E-2</v>
      </c>
      <c r="I45" s="328">
        <f>E45</f>
        <v>1.7561749999999998E-2</v>
      </c>
      <c r="J45" s="328">
        <f>E45</f>
        <v>1.7561749999999998E-2</v>
      </c>
      <c r="K45" s="317" t="s">
        <v>1254</v>
      </c>
      <c r="L45" s="4">
        <f>A45</f>
        <v>206</v>
      </c>
    </row>
    <row r="46" spans="1:12">
      <c r="A46" s="4">
        <f>A45+1</f>
        <v>207</v>
      </c>
      <c r="C46" t="s">
        <v>34</v>
      </c>
      <c r="D46"/>
      <c r="E46" s="328">
        <f>E35*E40</f>
        <v>2.7605794758881429E-4</v>
      </c>
      <c r="F46" s="317" t="str">
        <f>"Line "&amp;A35&amp;" * Line "&amp;A40&amp;""</f>
        <v>Line 201 * Line 204</v>
      </c>
      <c r="G46" s="317"/>
      <c r="H46" s="328">
        <f t="shared" si="13"/>
        <v>2.7605794758881429E-4</v>
      </c>
      <c r="I46" s="328">
        <f>E46</f>
        <v>2.7605794758881429E-4</v>
      </c>
      <c r="J46" s="328">
        <f>E46</f>
        <v>2.7605794758881429E-4</v>
      </c>
      <c r="K46" s="317" t="s">
        <v>1255</v>
      </c>
      <c r="L46" s="4">
        <f>A46</f>
        <v>207</v>
      </c>
    </row>
    <row r="47" spans="1:12">
      <c r="A47" s="4">
        <f>A46+1</f>
        <v>208</v>
      </c>
      <c r="C47" t="s">
        <v>35</v>
      </c>
      <c r="D47"/>
      <c r="E47" s="838">
        <f>E36*E42</f>
        <v>5.0993749999999997E-2</v>
      </c>
      <c r="F47" s="317" t="str">
        <f>"Line "&amp;A36&amp;" * Line "&amp;A42&amp;""</f>
        <v>Line 202 * Line 205</v>
      </c>
      <c r="G47" s="317"/>
      <c r="H47" s="838">
        <f t="shared" si="13"/>
        <v>5.0993749999999997E-2</v>
      </c>
      <c r="I47" s="838">
        <f>E47</f>
        <v>5.0993749999999997E-2</v>
      </c>
      <c r="J47" s="838">
        <f>E47</f>
        <v>5.0993749999999997E-2</v>
      </c>
      <c r="K47" s="317" t="s">
        <v>1256</v>
      </c>
      <c r="L47" s="4">
        <f>A47</f>
        <v>208</v>
      </c>
    </row>
    <row r="48" spans="1:12">
      <c r="A48" s="4">
        <f>A47+1</f>
        <v>209</v>
      </c>
      <c r="C48" s="2" t="s">
        <v>36</v>
      </c>
      <c r="D48" s="2"/>
      <c r="E48" s="839">
        <f>SUM(E45:E47)</f>
        <v>6.8831557947588801E-2</v>
      </c>
      <c r="F48" s="589" t="str">
        <f>"Sum of Lines "&amp;A45&amp;" to "&amp;A47&amp;""</f>
        <v>Sum of Lines 206 to 208</v>
      </c>
      <c r="G48" s="317"/>
      <c r="H48" s="839">
        <f t="shared" si="13"/>
        <v>6.8831557947588801E-2</v>
      </c>
      <c r="I48" s="839">
        <f>E48</f>
        <v>6.8831557947588801E-2</v>
      </c>
      <c r="J48" s="839">
        <f>E48</f>
        <v>6.8831557947588801E-2</v>
      </c>
      <c r="K48" s="317" t="s">
        <v>1257</v>
      </c>
      <c r="L48" s="4">
        <f>A48</f>
        <v>209</v>
      </c>
    </row>
    <row r="49" spans="1:12">
      <c r="C49"/>
      <c r="D49"/>
      <c r="E49" s="317"/>
      <c r="F49" s="317"/>
      <c r="G49" s="317"/>
      <c r="H49" s="317"/>
      <c r="I49" s="317"/>
      <c r="J49" s="317"/>
      <c r="K49" s="317"/>
      <c r="L49" s="24"/>
    </row>
    <row r="50" spans="1:12">
      <c r="A50" s="4">
        <f>A48+1</f>
        <v>210</v>
      </c>
      <c r="C50" s="2" t="s">
        <v>37</v>
      </c>
      <c r="D50" s="2"/>
      <c r="E50" s="837">
        <f>E46+E47</f>
        <v>5.1269807947588814E-2</v>
      </c>
      <c r="F50" s="317" t="str">
        <f>"Line "&amp;A46&amp;" + Line "&amp;A47&amp;""</f>
        <v>Line 207 + Line 208</v>
      </c>
      <c r="G50" s="317"/>
      <c r="H50" s="837">
        <f>E50</f>
        <v>5.1269807947588814E-2</v>
      </c>
      <c r="I50" s="837">
        <f>E50</f>
        <v>5.1269807947588814E-2</v>
      </c>
      <c r="J50" s="837">
        <f>E50</f>
        <v>5.1269807947588814E-2</v>
      </c>
      <c r="K50" s="317" t="s">
        <v>1258</v>
      </c>
      <c r="L50" s="4">
        <f>A50</f>
        <v>210</v>
      </c>
    </row>
    <row r="51" spans="1:12">
      <c r="C51"/>
      <c r="D51"/>
      <c r="E51" s="317"/>
      <c r="F51" s="317"/>
      <c r="G51" s="317"/>
      <c r="H51" s="317"/>
      <c r="I51" s="317"/>
      <c r="J51" s="317"/>
      <c r="K51" s="317"/>
      <c r="L51" s="4"/>
    </row>
    <row r="52" spans="1:12">
      <c r="A52" s="425">
        <f>A50+1</f>
        <v>211</v>
      </c>
      <c r="C52" s="2" t="s">
        <v>777</v>
      </c>
      <c r="D52" s="2"/>
      <c r="E52" s="840">
        <f>E48*E29</f>
        <v>1316401620.0997066</v>
      </c>
      <c r="F52" s="317" t="str">
        <f>"Line "&amp;A29&amp;" * Line "&amp;A48&amp;""</f>
        <v>Line 113 * Line 209</v>
      </c>
      <c r="G52" s="317"/>
      <c r="H52" s="840">
        <f>I52+J52</f>
        <v>1218636078.115983</v>
      </c>
      <c r="I52" s="840">
        <f>I48*I29</f>
        <v>639679774.55072391</v>
      </c>
      <c r="J52" s="840">
        <f>J48*J29</f>
        <v>578956303.5652591</v>
      </c>
      <c r="K52" s="317" t="str">
        <f>"Line "&amp;A29&amp;" * Line "&amp;A48&amp;""</f>
        <v>Line 113 * Line 209</v>
      </c>
      <c r="L52" s="426">
        <f>A52</f>
        <v>211</v>
      </c>
    </row>
    <row r="53" spans="1:12">
      <c r="C53"/>
      <c r="D53"/>
      <c r="E53" s="317"/>
      <c r="F53" s="317"/>
      <c r="G53" s="317"/>
      <c r="H53" s="317"/>
      <c r="I53" s="317"/>
      <c r="J53" s="317"/>
      <c r="K53" s="317"/>
      <c r="L53" s="24"/>
    </row>
    <row r="54" spans="1:12">
      <c r="C54" s="60" t="s">
        <v>116</v>
      </c>
      <c r="D54" s="551"/>
      <c r="E54" s="551"/>
      <c r="F54" s="551"/>
      <c r="G54" s="551"/>
      <c r="H54" s="551"/>
      <c r="I54" s="551"/>
      <c r="J54" s="551"/>
      <c r="K54" s="551"/>
    </row>
    <row r="55" spans="1:12" ht="30">
      <c r="A55" s="3" t="s">
        <v>86</v>
      </c>
      <c r="B55" s="3"/>
      <c r="C55" s="178" t="s">
        <v>91</v>
      </c>
      <c r="D55" s="338"/>
      <c r="E55" s="178" t="s">
        <v>1362</v>
      </c>
      <c r="F55" s="178" t="s">
        <v>38</v>
      </c>
      <c r="G55" s="178" t="s">
        <v>8</v>
      </c>
      <c r="H55" s="178" t="s">
        <v>1296</v>
      </c>
      <c r="I55" s="178" t="s">
        <v>1023</v>
      </c>
      <c r="J55" s="178" t="s">
        <v>1024</v>
      </c>
      <c r="K55" s="178" t="s">
        <v>38</v>
      </c>
      <c r="L55" s="3" t="str">
        <f>A55</f>
        <v>Line</v>
      </c>
    </row>
    <row r="56" spans="1:12">
      <c r="C56" s="1" t="s">
        <v>15</v>
      </c>
      <c r="D56" s="1"/>
      <c r="E56"/>
      <c r="F56"/>
      <c r="G56"/>
      <c r="H56"/>
      <c r="I56"/>
      <c r="J56"/>
      <c r="K56"/>
    </row>
    <row r="57" spans="1:12">
      <c r="A57" s="4">
        <v>300</v>
      </c>
      <c r="C57" t="s">
        <v>16</v>
      </c>
      <c r="D57"/>
      <c r="E57" s="938">
        <v>386998160</v>
      </c>
      <c r="F57" s="732" t="s">
        <v>1696</v>
      </c>
      <c r="G57"/>
      <c r="H57" s="18">
        <f>I57+J57</f>
        <v>369019118.31854761</v>
      </c>
      <c r="I57" s="18">
        <f>E57*$I$4</f>
        <v>188997914.13559368</v>
      </c>
      <c r="J57" s="18">
        <f>E57*$J$4</f>
        <v>180021204.18295392</v>
      </c>
      <c r="K57" t="s">
        <v>1304</v>
      </c>
      <c r="L57" s="4">
        <f>A57</f>
        <v>300</v>
      </c>
    </row>
    <row r="58" spans="1:12">
      <c r="A58" s="4">
        <f>A57+1</f>
        <v>301</v>
      </c>
      <c r="C58" t="s">
        <v>120</v>
      </c>
      <c r="D58"/>
      <c r="E58" s="675">
        <f>'24-Allocators'!$C$43</f>
        <v>0.57164494499787244</v>
      </c>
      <c r="F58" s="163" t="s">
        <v>1590</v>
      </c>
      <c r="G58"/>
      <c r="H58" s="675">
        <f>E58</f>
        <v>0.57164494499787244</v>
      </c>
      <c r="I58" s="675">
        <f>'24-Allocators'!$C$43</f>
        <v>0.57164494499787244</v>
      </c>
      <c r="J58" s="675">
        <f>'24-Allocators'!$C$43</f>
        <v>0.57164494499787244</v>
      </c>
      <c r="K58" t="s">
        <v>1259</v>
      </c>
      <c r="L58" s="4">
        <f>A58</f>
        <v>301</v>
      </c>
    </row>
    <row r="59" spans="1:12">
      <c r="A59" s="4">
        <f>A58+1</f>
        <v>302</v>
      </c>
      <c r="C59" s="2" t="s">
        <v>930</v>
      </c>
      <c r="D59" s="2"/>
      <c r="E59" s="20">
        <f>+E57*E58</f>
        <v>221225541.88747784</v>
      </c>
      <c r="F59" t="str">
        <f>"Line "&amp;$A$57&amp;" * Line "&amp;$A$58&amp;""</f>
        <v>Line 300 * Line 301</v>
      </c>
      <c r="G59"/>
      <c r="H59" s="20">
        <f>I59+J59</f>
        <v>210947913.59436953</v>
      </c>
      <c r="I59" s="20">
        <f t="shared" ref="I59:J59" si="14">+I57*I58</f>
        <v>108039702.23075406</v>
      </c>
      <c r="J59" s="20">
        <f t="shared" si="14"/>
        <v>102908211.36361545</v>
      </c>
      <c r="K59" t="str">
        <f>"Line "&amp;$A$57&amp;" * Line "&amp;$A$58&amp;""</f>
        <v>Line 300 * Line 301</v>
      </c>
      <c r="L59" s="4">
        <f>A59</f>
        <v>302</v>
      </c>
    </row>
    <row r="60" spans="1:12">
      <c r="C60"/>
      <c r="D60"/>
      <c r="E60"/>
      <c r="F60"/>
      <c r="G60"/>
      <c r="H60"/>
      <c r="I60"/>
      <c r="J60"/>
      <c r="K60"/>
      <c r="L60" s="24"/>
    </row>
    <row r="61" spans="1:12">
      <c r="C61" s="1" t="s">
        <v>17</v>
      </c>
      <c r="D61" s="1"/>
      <c r="E61"/>
      <c r="F61"/>
      <c r="G61"/>
      <c r="H61"/>
      <c r="I61"/>
      <c r="J61"/>
      <c r="K61"/>
      <c r="L61" s="24"/>
    </row>
    <row r="62" spans="1:12">
      <c r="A62" s="4">
        <f>A59+1</f>
        <v>303</v>
      </c>
      <c r="C62" t="s">
        <v>18</v>
      </c>
      <c r="D62"/>
      <c r="E62" s="939">
        <v>102363274</v>
      </c>
      <c r="F62" s="941" t="s">
        <v>1697</v>
      </c>
      <c r="G62" s="732"/>
      <c r="H62" s="18">
        <f t="shared" ref="H62:H67" si="15">I62+J62</f>
        <v>97607712.449278593</v>
      </c>
      <c r="I62" s="18">
        <f>E62*$I$4</f>
        <v>49991052.334952317</v>
      </c>
      <c r="J62" s="18">
        <f>E62*$J$4</f>
        <v>47616660.114326276</v>
      </c>
      <c r="K62" t="s">
        <v>1305</v>
      </c>
      <c r="L62" s="4">
        <f t="shared" ref="L62:L67" si="16">A62</f>
        <v>303</v>
      </c>
    </row>
    <row r="63" spans="1:12">
      <c r="A63" s="4">
        <f>A62+1</f>
        <v>304</v>
      </c>
      <c r="C63" t="s">
        <v>19</v>
      </c>
      <c r="D63"/>
      <c r="E63" s="939">
        <v>4436145</v>
      </c>
      <c r="F63" s="941" t="s">
        <v>1698</v>
      </c>
      <c r="G63" s="732"/>
      <c r="H63" s="18">
        <f t="shared" si="15"/>
        <v>4230051.9378005136</v>
      </c>
      <c r="I63" s="18">
        <f>E63*$I$4</f>
        <v>2166475.8090918139</v>
      </c>
      <c r="J63" s="18">
        <f>E63*$J$4</f>
        <v>2063576.1287087002</v>
      </c>
      <c r="K63" t="s">
        <v>1306</v>
      </c>
      <c r="L63" s="4">
        <f t="shared" si="16"/>
        <v>304</v>
      </c>
    </row>
    <row r="64" spans="1:12">
      <c r="A64" s="4">
        <f>A63+1</f>
        <v>305</v>
      </c>
      <c r="B64" s="11"/>
      <c r="C64" t="s">
        <v>20</v>
      </c>
      <c r="D64"/>
      <c r="E64" s="939">
        <v>807174</v>
      </c>
      <c r="F64" s="941" t="s">
        <v>1699</v>
      </c>
      <c r="G64" s="732"/>
      <c r="H64" s="18">
        <f t="shared" si="15"/>
        <v>769674.55816755141</v>
      </c>
      <c r="I64" s="18">
        <f>E64*$I$4</f>
        <v>394198.77950965893</v>
      </c>
      <c r="J64" s="18">
        <f>E64*$J$4</f>
        <v>375475.77865789243</v>
      </c>
      <c r="K64" t="s">
        <v>1307</v>
      </c>
      <c r="L64" s="4">
        <f t="shared" si="16"/>
        <v>305</v>
      </c>
    </row>
    <row r="65" spans="1:12">
      <c r="A65" s="4">
        <f t="shared" ref="A65:A70" si="17">A64+1</f>
        <v>306</v>
      </c>
      <c r="B65" s="11"/>
      <c r="C65" t="s">
        <v>106</v>
      </c>
      <c r="D65"/>
      <c r="E65" s="939">
        <v>37665761</v>
      </c>
      <c r="F65" s="941" t="s">
        <v>1809</v>
      </c>
      <c r="G65" s="941" t="s">
        <v>1700</v>
      </c>
      <c r="H65" s="18">
        <f t="shared" si="15"/>
        <v>35915896.641516685</v>
      </c>
      <c r="I65" s="18">
        <f>E65*$I$4</f>
        <v>18394790.981253743</v>
      </c>
      <c r="J65" s="18">
        <f>E65*$J$4</f>
        <v>17521105.660262939</v>
      </c>
      <c r="K65" t="s">
        <v>1308</v>
      </c>
      <c r="L65" s="4">
        <f t="shared" si="16"/>
        <v>306</v>
      </c>
    </row>
    <row r="66" spans="1:12">
      <c r="A66" s="4">
        <f t="shared" si="17"/>
        <v>307</v>
      </c>
      <c r="B66" s="11"/>
      <c r="C66" t="s">
        <v>21</v>
      </c>
      <c r="D66"/>
      <c r="E66" s="940">
        <v>0</v>
      </c>
      <c r="F66" s="941" t="s">
        <v>1810</v>
      </c>
      <c r="G66" s="941" t="s">
        <v>1700</v>
      </c>
      <c r="H66" s="19">
        <f t="shared" si="15"/>
        <v>0</v>
      </c>
      <c r="I66" s="19">
        <f>E66*$I$4</f>
        <v>0</v>
      </c>
      <c r="J66" s="19">
        <f>E66*$J$4</f>
        <v>0</v>
      </c>
      <c r="K66" t="s">
        <v>1309</v>
      </c>
      <c r="L66" s="4">
        <f t="shared" si="16"/>
        <v>307</v>
      </c>
    </row>
    <row r="67" spans="1:12">
      <c r="A67" s="4">
        <f t="shared" si="17"/>
        <v>308</v>
      </c>
      <c r="C67" s="2" t="s">
        <v>22</v>
      </c>
      <c r="D67" s="2"/>
      <c r="E67" s="20">
        <f>SUM(E62:E66)</f>
        <v>145272354</v>
      </c>
      <c r="F67" s="473" t="str">
        <f>"Sum of Lines "&amp;$A$62&amp;" to "&amp;$A$66&amp;""</f>
        <v>Sum of Lines 303 to 307</v>
      </c>
      <c r="G67"/>
      <c r="H67" s="20">
        <f t="shared" si="15"/>
        <v>138523335.58676332</v>
      </c>
      <c r="I67" s="20">
        <f t="shared" ref="I67:J67" si="18">SUM(I62:I66)</f>
        <v>70946517.904807538</v>
      </c>
      <c r="J67" s="20">
        <f t="shared" si="18"/>
        <v>67576817.681955799</v>
      </c>
      <c r="K67" s="473" t="str">
        <f>"Sum of Lines "&amp;$A$62&amp;" to "&amp;$A$66&amp;""</f>
        <v>Sum of Lines 303 to 307</v>
      </c>
      <c r="L67" s="4">
        <f t="shared" si="16"/>
        <v>308</v>
      </c>
    </row>
    <row r="68" spans="1:12">
      <c r="C68"/>
      <c r="D68"/>
      <c r="E68"/>
      <c r="F68"/>
      <c r="G68"/>
      <c r="H68"/>
      <c r="I68"/>
      <c r="J68"/>
      <c r="K68"/>
      <c r="L68" s="24"/>
    </row>
    <row r="69" spans="1:12" ht="30">
      <c r="A69" s="4">
        <f>A67+1</f>
        <v>309</v>
      </c>
      <c r="C69" s="338" t="s">
        <v>931</v>
      </c>
      <c r="D69"/>
      <c r="E69" s="675">
        <f>'24-Allocators'!$C$23</f>
        <v>0.43638724816634106</v>
      </c>
      <c r="F69" t="s">
        <v>604</v>
      </c>
      <c r="G69"/>
      <c r="H69" s="675">
        <f>E69</f>
        <v>0.43638724816634106</v>
      </c>
      <c r="I69" s="675">
        <f>'24-Allocators'!$C$23</f>
        <v>0.43638724816634106</v>
      </c>
      <c r="J69" s="675">
        <f>'24-Allocators'!$C$23</f>
        <v>0.43638724816634106</v>
      </c>
      <c r="K69" t="s">
        <v>1260</v>
      </c>
      <c r="L69" s="4">
        <f>A69</f>
        <v>309</v>
      </c>
    </row>
    <row r="70" spans="1:12">
      <c r="A70" s="4">
        <f t="shared" si="17"/>
        <v>310</v>
      </c>
      <c r="C70" s="2" t="s">
        <v>932</v>
      </c>
      <c r="D70" s="2"/>
      <c r="E70" s="20">
        <f>E67*E69</f>
        <v>63395002.79670655</v>
      </c>
      <c r="F70" s="317" t="str">
        <f>"Line "&amp;$A$69&amp;" *  Line "&amp;$A$67&amp;""</f>
        <v>Line 309 *  Line 308</v>
      </c>
      <c r="G70"/>
      <c r="H70" s="20">
        <f>I70+J70</f>
        <v>60449817.223530233</v>
      </c>
      <c r="I70" s="20">
        <f t="shared" ref="I70:J70" si="19">I67*I69</f>
        <v>30960155.715463005</v>
      </c>
      <c r="J70" s="20">
        <f t="shared" si="19"/>
        <v>29489661.508067232</v>
      </c>
      <c r="K70" s="317" t="str">
        <f>"Line "&amp;$A$69&amp;" *  Line "&amp;$A$67&amp;""</f>
        <v>Line 309 *  Line 308</v>
      </c>
      <c r="L70" s="4">
        <f>A70</f>
        <v>310</v>
      </c>
    </row>
    <row r="71" spans="1:12">
      <c r="C71"/>
      <c r="D71"/>
      <c r="E71"/>
      <c r="F71"/>
      <c r="G71"/>
      <c r="H71" s="556"/>
      <c r="I71" s="556"/>
      <c r="J71" s="556"/>
      <c r="K71"/>
      <c r="L71" s="24"/>
    </row>
    <row r="72" spans="1:12">
      <c r="A72" s="4">
        <f>A70+1</f>
        <v>311</v>
      </c>
      <c r="C72" s="2" t="s">
        <v>23</v>
      </c>
      <c r="D72" s="2"/>
      <c r="E72" s="20">
        <f>E70+E59</f>
        <v>284620544.68418437</v>
      </c>
      <c r="F72" t="str">
        <f>"Line "&amp;$A$59&amp;" + Line "&amp;$A$70&amp;""</f>
        <v>Line 302 + Line 310</v>
      </c>
      <c r="G72" s="116"/>
      <c r="H72" s="20">
        <f>I72+J72</f>
        <v>271397730.81789976</v>
      </c>
      <c r="I72" s="20">
        <f t="shared" ref="I72:J72" si="20">I70+I59</f>
        <v>138999857.94621706</v>
      </c>
      <c r="J72" s="20">
        <f t="shared" si="20"/>
        <v>132397872.87168269</v>
      </c>
      <c r="K72" t="str">
        <f>"Line "&amp;$A$59&amp;" + Line "&amp;$A$70&amp;""</f>
        <v>Line 302 + Line 310</v>
      </c>
      <c r="L72" s="4">
        <f>A72</f>
        <v>311</v>
      </c>
    </row>
    <row r="73" spans="1:12">
      <c r="C73"/>
      <c r="D73"/>
      <c r="E73"/>
      <c r="F73"/>
      <c r="G73"/>
      <c r="H73"/>
      <c r="I73"/>
      <c r="J73"/>
      <c r="K73"/>
      <c r="L73" s="24"/>
    </row>
    <row r="74" spans="1:12">
      <c r="A74" s="12"/>
      <c r="B74" s="45"/>
      <c r="C74" s="60" t="s">
        <v>117</v>
      </c>
      <c r="D74" s="551"/>
      <c r="E74" s="551"/>
      <c r="F74" s="551"/>
      <c r="G74" s="551"/>
      <c r="H74" s="551"/>
      <c r="I74" s="551"/>
      <c r="J74" s="551"/>
      <c r="K74" s="551"/>
    </row>
    <row r="75" spans="1:12" ht="30">
      <c r="A75" s="3" t="s">
        <v>86</v>
      </c>
      <c r="B75" s="3"/>
      <c r="C75" s="178" t="s">
        <v>91</v>
      </c>
      <c r="D75" s="338"/>
      <c r="E75" s="178" t="s">
        <v>1362</v>
      </c>
      <c r="F75" s="178" t="s">
        <v>38</v>
      </c>
      <c r="G75" s="178" t="s">
        <v>8</v>
      </c>
      <c r="H75" s="178" t="s">
        <v>1296</v>
      </c>
      <c r="I75" s="178" t="s">
        <v>1023</v>
      </c>
      <c r="J75" s="178" t="s">
        <v>1024</v>
      </c>
      <c r="K75" s="178" t="s">
        <v>38</v>
      </c>
      <c r="L75" s="3" t="str">
        <f>A75</f>
        <v>Line</v>
      </c>
    </row>
    <row r="76" spans="1:12">
      <c r="A76" s="4">
        <v>400</v>
      </c>
      <c r="C76" t="s">
        <v>40</v>
      </c>
      <c r="D76"/>
      <c r="E76" s="578">
        <f>'22-TaxRates'!$C$6</f>
        <v>0.21</v>
      </c>
      <c r="F76" t="s">
        <v>605</v>
      </c>
      <c r="G76"/>
      <c r="H76" s="578">
        <f>E76</f>
        <v>0.21</v>
      </c>
      <c r="I76" s="578">
        <f>'22-TaxRates'!$C$6</f>
        <v>0.21</v>
      </c>
      <c r="J76" s="578">
        <f>'22-TaxRates'!$C$6</f>
        <v>0.21</v>
      </c>
      <c r="K76" t="s">
        <v>1261</v>
      </c>
      <c r="L76" s="4">
        <f>A76</f>
        <v>400</v>
      </c>
    </row>
    <row r="77" spans="1:12">
      <c r="A77" s="4">
        <f>A76+1</f>
        <v>401</v>
      </c>
      <c r="C77" t="s">
        <v>41</v>
      </c>
      <c r="D77"/>
      <c r="E77" s="34">
        <f>'22-TaxRates'!$C$7</f>
        <v>8.8400000000000006E-2</v>
      </c>
      <c r="F77" t="s">
        <v>606</v>
      </c>
      <c r="G77"/>
      <c r="H77" s="34">
        <f>E77</f>
        <v>8.8400000000000006E-2</v>
      </c>
      <c r="I77" s="34">
        <f>'22-TaxRates'!$C$7</f>
        <v>8.8400000000000006E-2</v>
      </c>
      <c r="J77" s="34">
        <f>'22-TaxRates'!$C$7</f>
        <v>8.8400000000000006E-2</v>
      </c>
      <c r="K77" t="s">
        <v>1262</v>
      </c>
      <c r="L77" s="4">
        <f>A77</f>
        <v>401</v>
      </c>
    </row>
    <row r="78" spans="1:12">
      <c r="A78" s="4">
        <f>A77+1</f>
        <v>402</v>
      </c>
      <c r="C78" s="2" t="s">
        <v>42</v>
      </c>
      <c r="D78" s="2"/>
      <c r="E78" s="311">
        <f>'22-TaxRates'!C9</f>
        <v>0.27983599999999997</v>
      </c>
      <c r="F78" t="s">
        <v>1350</v>
      </c>
      <c r="G78"/>
      <c r="H78" s="311">
        <f>E78</f>
        <v>0.27983599999999997</v>
      </c>
      <c r="I78" s="311">
        <f t="shared" ref="I78:J78" si="21">(I76+I77)-(I76*I77)</f>
        <v>0.27983599999999997</v>
      </c>
      <c r="J78" s="311">
        <f t="shared" si="21"/>
        <v>0.27983599999999997</v>
      </c>
      <c r="K78" t="s">
        <v>1263</v>
      </c>
      <c r="L78" s="4">
        <f>A78</f>
        <v>402</v>
      </c>
    </row>
    <row r="79" spans="1:12">
      <c r="C79"/>
      <c r="D79"/>
      <c r="E79"/>
      <c r="F79"/>
      <c r="G79"/>
      <c r="H79"/>
      <c r="I79"/>
      <c r="J79"/>
      <c r="K79"/>
      <c r="L79" s="24"/>
    </row>
    <row r="80" spans="1:12">
      <c r="C80" s="1" t="s">
        <v>137</v>
      </c>
      <c r="D80"/>
      <c r="E80"/>
      <c r="F80"/>
      <c r="G80"/>
      <c r="H80"/>
      <c r="I80"/>
      <c r="J80"/>
      <c r="K80"/>
      <c r="L80" s="4"/>
    </row>
    <row r="81" spans="1:12">
      <c r="A81" s="4">
        <f>A78+1</f>
        <v>403</v>
      </c>
      <c r="C81" t="s">
        <v>94</v>
      </c>
      <c r="D81"/>
      <c r="E81" s="56">
        <v>15167110.241921386</v>
      </c>
      <c r="F81" s="678" t="s">
        <v>1407</v>
      </c>
      <c r="G81"/>
      <c r="H81" s="19">
        <f>I81+J81</f>
        <v>14462481.291678604</v>
      </c>
      <c r="I81" s="19">
        <f>E81*$I$4</f>
        <v>7407146.843250474</v>
      </c>
      <c r="J81" s="19">
        <f>E81*$J$4</f>
        <v>7055334.4484281307</v>
      </c>
      <c r="K81" t="s">
        <v>1310</v>
      </c>
      <c r="L81" s="4">
        <f>A81</f>
        <v>403</v>
      </c>
    </row>
    <row r="82" spans="1:12">
      <c r="A82" s="4">
        <f>A81+1</f>
        <v>404</v>
      </c>
      <c r="C82" s="2" t="s">
        <v>98</v>
      </c>
      <c r="D82"/>
      <c r="E82" s="20">
        <f>SUM(E81:E81)</f>
        <v>15167110.241921386</v>
      </c>
      <c r="F82" t="str">
        <f>"Line "&amp;A81&amp;""</f>
        <v>Line 403</v>
      </c>
      <c r="G82"/>
      <c r="H82" s="20">
        <f>I82+J82</f>
        <v>14462481.291678604</v>
      </c>
      <c r="I82" s="20">
        <f t="shared" ref="I82:J82" si="22">SUM(I81:I81)</f>
        <v>7407146.843250474</v>
      </c>
      <c r="J82" s="20">
        <f t="shared" si="22"/>
        <v>7055334.4484281307</v>
      </c>
      <c r="K82"/>
      <c r="L82" s="4">
        <f>A82</f>
        <v>404</v>
      </c>
    </row>
    <row r="83" spans="1:12">
      <c r="C83"/>
      <c r="D83"/>
      <c r="E83" s="18"/>
      <c r="F83"/>
      <c r="G83"/>
      <c r="H83" s="18"/>
      <c r="I83" s="18"/>
      <c r="J83" s="18"/>
      <c r="K83"/>
      <c r="L83" s="4"/>
    </row>
    <row r="84" spans="1:12">
      <c r="C84" s="1" t="s">
        <v>96</v>
      </c>
      <c r="D84" s="1"/>
      <c r="E84" s="18"/>
      <c r="F84"/>
      <c r="G84"/>
      <c r="H84" s="18"/>
      <c r="I84" s="18"/>
      <c r="J84" s="18"/>
      <c r="K84"/>
      <c r="L84" s="24"/>
    </row>
    <row r="85" spans="1:12">
      <c r="A85" s="4">
        <f>A82+1</f>
        <v>405</v>
      </c>
      <c r="C85" t="s">
        <v>43</v>
      </c>
      <c r="D85"/>
      <c r="E85" s="31">
        <f>+'17-RegAssets-2'!AR22+'17-RegAssets-2'!AT22+'17-RegAssets-2'!AV22</f>
        <v>-34523216.042605206</v>
      </c>
      <c r="F85" t="s">
        <v>1287</v>
      </c>
      <c r="G85"/>
      <c r="H85" s="18">
        <f t="shared" ref="H85:H87" si="23">I85+J85</f>
        <v>-32919347.0727688</v>
      </c>
      <c r="I85" s="18">
        <f>E85*$I$4</f>
        <v>-16860069.363908213</v>
      </c>
      <c r="J85" s="18">
        <f>E85*$J$4</f>
        <v>-16059277.708860585</v>
      </c>
      <c r="K85" t="s">
        <v>1311</v>
      </c>
      <c r="L85" s="4">
        <f>A85</f>
        <v>405</v>
      </c>
    </row>
    <row r="86" spans="1:12">
      <c r="A86" s="4">
        <f t="shared" ref="A86" si="24">A85+1</f>
        <v>406</v>
      </c>
      <c r="C86" t="s">
        <v>95</v>
      </c>
      <c r="D86"/>
      <c r="E86" s="56">
        <v>-2170987.8456718908</v>
      </c>
      <c r="F86" s="678" t="s">
        <v>1408</v>
      </c>
      <c r="G86"/>
      <c r="H86" s="19">
        <f t="shared" si="23"/>
        <v>-2070128.7589846016</v>
      </c>
      <c r="I86" s="19">
        <f>E86*$I$4</f>
        <v>-1060243.2178119749</v>
      </c>
      <c r="J86" s="19">
        <f>E86*$J$4</f>
        <v>-1009885.5411726265</v>
      </c>
      <c r="K86" t="s">
        <v>1312</v>
      </c>
      <c r="L86" s="4">
        <f>A86</f>
        <v>406</v>
      </c>
    </row>
    <row r="87" spans="1:12">
      <c r="A87" s="4">
        <f>A86+1</f>
        <v>407</v>
      </c>
      <c r="C87" s="2" t="s">
        <v>44</v>
      </c>
      <c r="D87" s="2"/>
      <c r="E87" s="20">
        <f>SUM(E85:E86)</f>
        <v>-36694203.888277099</v>
      </c>
      <c r="F87" t="str">
        <f>"Line "&amp;$A$85&amp;" + Line "&amp;$A$86&amp;""</f>
        <v>Line 405 + Line 406</v>
      </c>
      <c r="G87"/>
      <c r="H87" s="20">
        <f t="shared" si="23"/>
        <v>-34989475.831753403</v>
      </c>
      <c r="I87" s="20">
        <f t="shared" ref="I87:J87" si="25">SUM(I85:I86)</f>
        <v>-17920312.581720188</v>
      </c>
      <c r="J87" s="20">
        <f t="shared" si="25"/>
        <v>-17069163.250033211</v>
      </c>
      <c r="K87" t="str">
        <f>"Line "&amp;$A$85&amp;" + Line "&amp;$A$86&amp;""</f>
        <v>Line 405 + Line 406</v>
      </c>
      <c r="L87" s="4">
        <f>A87</f>
        <v>407</v>
      </c>
    </row>
    <row r="88" spans="1:12">
      <c r="C88"/>
      <c r="D88"/>
      <c r="E88" s="556"/>
      <c r="F88"/>
      <c r="G88"/>
      <c r="H88" s="556"/>
      <c r="I88" s="556"/>
      <c r="J88" s="556"/>
      <c r="K88"/>
      <c r="L88" s="24"/>
    </row>
    <row r="89" spans="1:12">
      <c r="A89" s="4">
        <f>A87+1</f>
        <v>408</v>
      </c>
      <c r="C89" s="2" t="s">
        <v>45</v>
      </c>
      <c r="D89"/>
      <c r="E89" s="20">
        <f>(((E94*E95)+E98)*(E96/(1-E96)))+E97/(1-E96)</f>
        <v>335949467.06745905</v>
      </c>
      <c r="F89" t="str">
        <f>"Line "&amp;$A$91&amp;""</f>
        <v>Line 409</v>
      </c>
      <c r="G89"/>
      <c r="H89" s="20">
        <f>I89+J89</f>
        <v>309746348.00632942</v>
      </c>
      <c r="I89" s="20">
        <f t="shared" ref="I89:J89" si="26">(((I94*I95)+I98)*(I96/(1-I96)))+I97/(1-I96)</f>
        <v>163138237.21149209</v>
      </c>
      <c r="J89" s="20">
        <f t="shared" si="26"/>
        <v>146608110.79483733</v>
      </c>
      <c r="K89" t="str">
        <f>"Line "&amp;$A$91&amp;""</f>
        <v>Line 409</v>
      </c>
      <c r="L89" s="4">
        <f>A89</f>
        <v>408</v>
      </c>
    </row>
    <row r="90" spans="1:12">
      <c r="C90"/>
      <c r="D90"/>
      <c r="E90" s="556"/>
      <c r="F90"/>
      <c r="G90"/>
      <c r="H90" s="556"/>
      <c r="I90" s="556"/>
      <c r="J90" s="556"/>
      <c r="K90"/>
      <c r="L90" s="24"/>
    </row>
    <row r="91" spans="1:12">
      <c r="A91" s="11">
        <f>A89+1</f>
        <v>409</v>
      </c>
      <c r="B91" s="11"/>
      <c r="C91" t="s">
        <v>707</v>
      </c>
      <c r="D91"/>
      <c r="E91" s="556"/>
      <c r="F91"/>
      <c r="G91"/>
      <c r="H91" s="556"/>
      <c r="I91" s="556"/>
      <c r="J91" s="556"/>
      <c r="K91"/>
      <c r="L91" s="4">
        <f>A91</f>
        <v>409</v>
      </c>
    </row>
    <row r="92" spans="1:12">
      <c r="C92"/>
      <c r="D92"/>
      <c r="E92" s="556"/>
      <c r="F92"/>
      <c r="G92"/>
      <c r="H92" s="556"/>
      <c r="I92" s="556"/>
      <c r="J92" s="556"/>
      <c r="K92"/>
      <c r="L92" s="24"/>
    </row>
    <row r="93" spans="1:12">
      <c r="C93" t="s">
        <v>46</v>
      </c>
      <c r="D93"/>
      <c r="E93" s="556"/>
      <c r="F93"/>
      <c r="G93"/>
      <c r="H93" s="556"/>
      <c r="I93" s="556"/>
      <c r="J93" s="556"/>
      <c r="K93"/>
      <c r="L93" s="24"/>
    </row>
    <row r="94" spans="1:12">
      <c r="A94" s="4">
        <f>A91+1</f>
        <v>410</v>
      </c>
      <c r="C94" s="679" t="s">
        <v>47</v>
      </c>
      <c r="D94" s="679"/>
      <c r="E94" s="18">
        <f>+E29</f>
        <v>19124972023.763714</v>
      </c>
      <c r="F94" t="str">
        <f>"Line "&amp;$A$29&amp;", col 1"</f>
        <v>Line 113, col 1</v>
      </c>
      <c r="G94" s="17"/>
      <c r="H94" s="18">
        <f t="shared" ref="H94:H98" si="27">I94+J94</f>
        <v>17704612745.274529</v>
      </c>
      <c r="I94" s="18">
        <f>+I29</f>
        <v>9293408338.0446301</v>
      </c>
      <c r="J94" s="18">
        <f>+J29</f>
        <v>8411204407.2298985</v>
      </c>
      <c r="K94" t="str">
        <f>"Line "&amp;$A$29&amp;", col 3 and col 4"</f>
        <v>Line 113, col 3 and col 4</v>
      </c>
      <c r="L94" s="4">
        <f>A94</f>
        <v>410</v>
      </c>
    </row>
    <row r="95" spans="1:12">
      <c r="A95" s="4">
        <f>A94+1</f>
        <v>411</v>
      </c>
      <c r="C95" s="144" t="s">
        <v>48</v>
      </c>
      <c r="D95" s="144"/>
      <c r="E95" s="578">
        <f>+E50</f>
        <v>5.1269807947588814E-2</v>
      </c>
      <c r="F95" t="str">
        <f>"Line "&amp;$A$50&amp;", col 1"</f>
        <v>Line 210, col 1</v>
      </c>
      <c r="G95"/>
      <c r="H95" s="676">
        <f>E95</f>
        <v>5.1269807947588814E-2</v>
      </c>
      <c r="I95" s="578">
        <f t="shared" ref="I95:J95" si="28">+I50</f>
        <v>5.1269807947588814E-2</v>
      </c>
      <c r="J95" s="578">
        <f t="shared" si="28"/>
        <v>5.1269807947588814E-2</v>
      </c>
      <c r="K95" t="str">
        <f>"Line "&amp;$A$50&amp;", col 3 and col 4"</f>
        <v>Line 210, col 3 and col 4</v>
      </c>
      <c r="L95" s="4">
        <f>A95</f>
        <v>411</v>
      </c>
    </row>
    <row r="96" spans="1:12">
      <c r="A96" s="4">
        <f t="shared" ref="A96:A98" si="29">A95+1</f>
        <v>412</v>
      </c>
      <c r="C96" s="679" t="s">
        <v>49</v>
      </c>
      <c r="D96" s="679"/>
      <c r="E96" s="123">
        <f>+E78</f>
        <v>0.27983599999999997</v>
      </c>
      <c r="F96" t="str">
        <f>"Line "&amp;$A$78&amp;", col 1"</f>
        <v>Line 402, col 1</v>
      </c>
      <c r="G96"/>
      <c r="H96" s="676">
        <f>E96</f>
        <v>0.27983599999999997</v>
      </c>
      <c r="I96" s="123">
        <f t="shared" ref="I96:J96" si="30">+I78</f>
        <v>0.27983599999999997</v>
      </c>
      <c r="J96" s="123">
        <f t="shared" si="30"/>
        <v>0.27983599999999997</v>
      </c>
      <c r="K96" t="str">
        <f>"Line "&amp;$A$78&amp;", col 3 and col 4"</f>
        <v>Line 402, col 3 and col 4</v>
      </c>
      <c r="L96" s="4">
        <f>A96</f>
        <v>412</v>
      </c>
    </row>
    <row r="97" spans="1:17">
      <c r="A97" s="4">
        <f t="shared" si="29"/>
        <v>413</v>
      </c>
      <c r="C97" s="679" t="s">
        <v>50</v>
      </c>
      <c r="D97" s="679"/>
      <c r="E97" s="18">
        <f>+E87</f>
        <v>-36694203.888277099</v>
      </c>
      <c r="F97" t="str">
        <f>"Line "&amp;$A$87&amp;", col 1"</f>
        <v>Line 407, col 1</v>
      </c>
      <c r="G97"/>
      <c r="H97" s="18">
        <f t="shared" si="27"/>
        <v>-34989475.831753403</v>
      </c>
      <c r="I97" s="18">
        <f t="shared" ref="I97:J97" si="31">+I87</f>
        <v>-17920312.581720188</v>
      </c>
      <c r="J97" s="18">
        <f t="shared" si="31"/>
        <v>-17069163.250033211</v>
      </c>
      <c r="K97" t="str">
        <f>"Line "&amp;$A$87&amp;", col 3 and col 4"</f>
        <v>Line 407, col 3 and col 4</v>
      </c>
      <c r="L97" s="4">
        <f>A97</f>
        <v>413</v>
      </c>
    </row>
    <row r="98" spans="1:17">
      <c r="A98" s="4">
        <f t="shared" si="29"/>
        <v>414</v>
      </c>
      <c r="C98" s="679" t="s">
        <v>97</v>
      </c>
      <c r="D98" s="679"/>
      <c r="E98" s="18">
        <f>+E82</f>
        <v>15167110.241921386</v>
      </c>
      <c r="F98" t="str">
        <f>"Line "&amp;$A$82&amp;", col 1"</f>
        <v>Line 404, col 1</v>
      </c>
      <c r="G98"/>
      <c r="H98" s="18">
        <f t="shared" si="27"/>
        <v>14462481.291678604</v>
      </c>
      <c r="I98" s="18">
        <f t="shared" ref="I98:J98" si="32">+I82</f>
        <v>7407146.843250474</v>
      </c>
      <c r="J98" s="18">
        <f t="shared" si="32"/>
        <v>7055334.4484281307</v>
      </c>
      <c r="K98" t="str">
        <f>"Line "&amp;$A$82&amp;", col 3 and col 4"</f>
        <v>Line 404, col 3 and col 4</v>
      </c>
      <c r="L98" s="4">
        <f>A98</f>
        <v>414</v>
      </c>
    </row>
    <row r="99" spans="1:17">
      <c r="A99" s="425"/>
      <c r="C99" s="679"/>
      <c r="D99" s="679"/>
      <c r="E99" s="18"/>
      <c r="F99"/>
      <c r="G99"/>
      <c r="H99" s="18"/>
      <c r="I99" s="18"/>
      <c r="J99" s="18"/>
      <c r="K99"/>
      <c r="L99" s="426"/>
    </row>
    <row r="100" spans="1:17">
      <c r="C100"/>
      <c r="D100"/>
      <c r="E100"/>
      <c r="F100"/>
      <c r="G100"/>
      <c r="H100"/>
      <c r="I100"/>
      <c r="J100"/>
      <c r="K100"/>
      <c r="L100" s="426"/>
    </row>
    <row r="101" spans="1:17">
      <c r="C101" s="60" t="s">
        <v>1405</v>
      </c>
      <c r="D101" s="551"/>
      <c r="E101" s="551"/>
      <c r="F101" s="551"/>
      <c r="G101" s="551"/>
      <c r="H101" s="551"/>
      <c r="I101" s="551"/>
      <c r="J101" s="551"/>
      <c r="K101" s="551"/>
    </row>
    <row r="102" spans="1:17" ht="30">
      <c r="A102" s="3" t="s">
        <v>86</v>
      </c>
      <c r="B102" s="3"/>
      <c r="C102" s="178" t="s">
        <v>91</v>
      </c>
      <c r="D102" s="338"/>
      <c r="E102" s="178" t="s">
        <v>1362</v>
      </c>
      <c r="F102" s="178" t="s">
        <v>38</v>
      </c>
      <c r="G102" s="178" t="s">
        <v>8</v>
      </c>
      <c r="H102" s="178" t="s">
        <v>1296</v>
      </c>
      <c r="I102" s="178" t="s">
        <v>1023</v>
      </c>
      <c r="J102" s="178" t="s">
        <v>1024</v>
      </c>
      <c r="K102" s="178" t="s">
        <v>38</v>
      </c>
      <c r="L102" s="3" t="str">
        <f>A102</f>
        <v>Line</v>
      </c>
    </row>
    <row r="103" spans="1:17">
      <c r="C103" s="1" t="s">
        <v>1406</v>
      </c>
      <c r="D103" s="1"/>
      <c r="E103"/>
      <c r="F103"/>
      <c r="G103"/>
      <c r="H103"/>
      <c r="I103"/>
      <c r="J103"/>
      <c r="K103"/>
    </row>
    <row r="104" spans="1:17">
      <c r="A104" s="4">
        <v>500</v>
      </c>
      <c r="C104" t="s">
        <v>51</v>
      </c>
      <c r="D104"/>
      <c r="E104" s="18">
        <f>'18-OandM'!L11</f>
        <v>3087054872.4997315</v>
      </c>
      <c r="F104" t="s">
        <v>1264</v>
      </c>
      <c r="G104"/>
      <c r="H104" s="18">
        <f t="shared" ref="H104:H113" si="33">I104+J104</f>
        <v>3031021929.0419021</v>
      </c>
      <c r="I104" s="18">
        <f>'18-OandM'!M11</f>
        <v>2235722150.0976667</v>
      </c>
      <c r="J104" s="18">
        <f>'18-OandM'!N11</f>
        <v>795299778.94423544</v>
      </c>
      <c r="K104" t="s">
        <v>1265</v>
      </c>
      <c r="L104" s="4">
        <f t="shared" ref="L104:L113" si="34">A104</f>
        <v>500</v>
      </c>
      <c r="Q104" s="32"/>
    </row>
    <row r="105" spans="1:17">
      <c r="A105" s="4">
        <f>A104+1</f>
        <v>501</v>
      </c>
      <c r="C105" t="s">
        <v>52</v>
      </c>
      <c r="D105"/>
      <c r="E105" s="18">
        <f>'19-AandG'!F45</f>
        <v>787626334.20073271</v>
      </c>
      <c r="F105" s="163" t="s">
        <v>1591</v>
      </c>
      <c r="G105"/>
      <c r="H105" s="18">
        <f t="shared" si="33"/>
        <v>751035031.8234694</v>
      </c>
      <c r="I105" s="18">
        <f>E105*$I$4</f>
        <v>384652305.01923448</v>
      </c>
      <c r="J105" s="18">
        <f>E105*$J$4</f>
        <v>366382726.80423498</v>
      </c>
      <c r="K105" t="s">
        <v>1313</v>
      </c>
      <c r="L105" s="4">
        <f t="shared" si="34"/>
        <v>501</v>
      </c>
      <c r="Q105" s="32"/>
    </row>
    <row r="106" spans="1:17" s="24" customFormat="1">
      <c r="A106" s="4">
        <f>A105+1</f>
        <v>502</v>
      </c>
      <c r="B106" s="435"/>
      <c r="C106" t="s">
        <v>1018</v>
      </c>
      <c r="D106"/>
      <c r="E106" s="18">
        <f>'11-Depreciation'!AC13</f>
        <v>1407258088.55</v>
      </c>
      <c r="F106" t="s">
        <v>1185</v>
      </c>
      <c r="G106"/>
      <c r="H106" s="18">
        <f t="shared" si="33"/>
        <v>1305760496.5500002</v>
      </c>
      <c r="I106" s="18">
        <f>'11-Depreciation'!AC14</f>
        <v>707882511.60975552</v>
      </c>
      <c r="J106" s="18">
        <f>'11-Depreciation'!AC15</f>
        <v>597877984.94024456</v>
      </c>
      <c r="K106" t="s">
        <v>1266</v>
      </c>
      <c r="L106" s="4">
        <f t="shared" si="34"/>
        <v>502</v>
      </c>
      <c r="Q106" s="32"/>
    </row>
    <row r="107" spans="1:17" s="46" customFormat="1">
      <c r="A107" s="580">
        <f t="shared" ref="A107:A113" si="35">A106+1</f>
        <v>503</v>
      </c>
      <c r="B107" s="580"/>
      <c r="C107" t="s">
        <v>1019</v>
      </c>
      <c r="D107"/>
      <c r="E107" s="59">
        <v>187565445.87686914</v>
      </c>
      <c r="F107" t="s">
        <v>1398</v>
      </c>
      <c r="G107"/>
      <c r="H107" s="18">
        <f t="shared" si="33"/>
        <v>132053265.14053684</v>
      </c>
      <c r="I107" s="18">
        <f>'11-Depreciation'!C61</f>
        <v>67632787.64546749</v>
      </c>
      <c r="J107" s="18">
        <f>'11-Depreciation'!D61</f>
        <v>64420477.495069362</v>
      </c>
      <c r="K107" t="s">
        <v>1397</v>
      </c>
      <c r="L107" s="668">
        <f t="shared" si="34"/>
        <v>503</v>
      </c>
      <c r="Q107" s="32"/>
    </row>
    <row r="108" spans="1:17">
      <c r="A108" s="580">
        <f>A107+1</f>
        <v>504</v>
      </c>
      <c r="C108" t="s">
        <v>54</v>
      </c>
      <c r="D108"/>
      <c r="E108" s="18">
        <f>E52</f>
        <v>1316401620.0997066</v>
      </c>
      <c r="F108" t="str">
        <f>"Line "&amp;$A$52&amp;", col 1"</f>
        <v>Line 211, col 1</v>
      </c>
      <c r="G108"/>
      <c r="H108" s="18">
        <f t="shared" si="33"/>
        <v>1218636078.115983</v>
      </c>
      <c r="I108" s="18">
        <f t="shared" ref="I108:J108" si="36">I52</f>
        <v>639679774.55072391</v>
      </c>
      <c r="J108" s="18">
        <f t="shared" si="36"/>
        <v>578956303.5652591</v>
      </c>
      <c r="K108" t="str">
        <f>"Line "&amp;$A$52&amp;", col 3 and col 4"</f>
        <v>Line 211, col 3 and col 4</v>
      </c>
      <c r="L108" s="4">
        <f t="shared" si="34"/>
        <v>504</v>
      </c>
      <c r="Q108" s="32"/>
    </row>
    <row r="109" spans="1:17">
      <c r="A109" s="580">
        <f t="shared" si="35"/>
        <v>505</v>
      </c>
      <c r="C109" t="s">
        <v>14</v>
      </c>
      <c r="D109"/>
      <c r="E109" s="18">
        <f>E72</f>
        <v>284620544.68418437</v>
      </c>
      <c r="F109" t="str">
        <f>"Line "&amp;$A$72&amp;", col 1"</f>
        <v>Line 311, col 1</v>
      </c>
      <c r="G109"/>
      <c r="H109" s="18">
        <f t="shared" si="33"/>
        <v>271397730.81789976</v>
      </c>
      <c r="I109" s="18">
        <f>I72</f>
        <v>138999857.94621706</v>
      </c>
      <c r="J109" s="18">
        <f>J72</f>
        <v>132397872.87168269</v>
      </c>
      <c r="K109" t="str">
        <f>"Line "&amp;$A$72&amp;", col 3 and col 4"</f>
        <v>Line 311, col 3 and col 4</v>
      </c>
      <c r="L109" s="4">
        <f t="shared" si="34"/>
        <v>505</v>
      </c>
      <c r="Q109" s="32"/>
    </row>
    <row r="110" spans="1:17">
      <c r="A110" s="4">
        <f t="shared" si="35"/>
        <v>506</v>
      </c>
      <c r="C110" t="s">
        <v>39</v>
      </c>
      <c r="D110"/>
      <c r="E110" s="18">
        <f>E89</f>
        <v>335949467.06745905</v>
      </c>
      <c r="F110" t="str">
        <f>"Line "&amp;$A$89&amp;", col 1"</f>
        <v>Line 408, col 1</v>
      </c>
      <c r="G110"/>
      <c r="H110" s="18">
        <f t="shared" si="33"/>
        <v>309746348.00632942</v>
      </c>
      <c r="I110" s="18">
        <f t="shared" ref="I110:J110" si="37">I89</f>
        <v>163138237.21149209</v>
      </c>
      <c r="J110" s="18">
        <f t="shared" si="37"/>
        <v>146608110.79483733</v>
      </c>
      <c r="K110" t="str">
        <f>"Line "&amp;$A$89&amp;", col 3 and col 4"</f>
        <v>Line 408, col 3 and col 4</v>
      </c>
      <c r="L110" s="4">
        <f t="shared" si="34"/>
        <v>506</v>
      </c>
      <c r="Q110" s="32"/>
    </row>
    <row r="111" spans="1:17">
      <c r="A111" s="4">
        <f t="shared" si="35"/>
        <v>507</v>
      </c>
      <c r="C111" t="s">
        <v>53</v>
      </c>
      <c r="D111"/>
      <c r="E111" s="18">
        <f>-'20-RevenueCredits'!F10</f>
        <v>-245369132.92999998</v>
      </c>
      <c r="F111" s="163" t="s">
        <v>1592</v>
      </c>
      <c r="G111" t="s">
        <v>119</v>
      </c>
      <c r="H111" s="18">
        <f t="shared" si="33"/>
        <v>-233969849.09802955</v>
      </c>
      <c r="I111" s="18">
        <f>E111*$I$4</f>
        <v>-119830684.25190759</v>
      </c>
      <c r="J111" s="18">
        <f>E111*$J$4</f>
        <v>-114139164.84612198</v>
      </c>
      <c r="K111" t="s">
        <v>1314</v>
      </c>
      <c r="L111" s="4">
        <f t="shared" si="34"/>
        <v>507</v>
      </c>
      <c r="Q111" s="32"/>
    </row>
    <row r="112" spans="1:17" s="24" customFormat="1">
      <c r="A112" s="4">
        <f>A111+1</f>
        <v>508</v>
      </c>
      <c r="B112" s="435"/>
      <c r="C112" t="s">
        <v>55</v>
      </c>
      <c r="D112"/>
      <c r="E112" s="19">
        <f>'17-RegAssets-1'!E27</f>
        <v>0</v>
      </c>
      <c r="F112" t="s">
        <v>880</v>
      </c>
      <c r="G112"/>
      <c r="H112" s="19">
        <f t="shared" si="33"/>
        <v>0</v>
      </c>
      <c r="I112" s="19">
        <f>E112*$I$4</f>
        <v>0</v>
      </c>
      <c r="J112" s="19">
        <f>E112*$J$4</f>
        <v>0</v>
      </c>
      <c r="K112" t="s">
        <v>1315</v>
      </c>
      <c r="L112" s="4">
        <f t="shared" si="34"/>
        <v>508</v>
      </c>
      <c r="Q112" s="32"/>
    </row>
    <row r="113" spans="1:13" s="24" customFormat="1">
      <c r="A113" s="4">
        <f t="shared" si="35"/>
        <v>509</v>
      </c>
      <c r="B113" s="435"/>
      <c r="C113" s="2" t="s">
        <v>1410</v>
      </c>
      <c r="D113" s="2"/>
      <c r="E113" s="20">
        <f>SUM(E104:E112)</f>
        <v>7161107240.0486832</v>
      </c>
      <c r="F113" t="str">
        <f>"Sum of Lines "&amp;$A$104&amp;" to Line "&amp;$A$112&amp;""</f>
        <v>Sum of Lines 500 to Line 508</v>
      </c>
      <c r="G113"/>
      <c r="H113" s="20">
        <f t="shared" si="33"/>
        <v>6785681030.3980923</v>
      </c>
      <c r="I113" s="20">
        <f>SUM(I104:I112)</f>
        <v>4217876939.8286505</v>
      </c>
      <c r="J113" s="20">
        <f>SUM(J104:J112)</f>
        <v>2567804090.5694418</v>
      </c>
      <c r="K113" t="str">
        <f>"Sum of Lines "&amp;$A$104&amp;" to Line "&amp;$A$112&amp;""</f>
        <v>Sum of Lines 500 to Line 508</v>
      </c>
      <c r="L113" s="4">
        <f t="shared" si="34"/>
        <v>509</v>
      </c>
    </row>
    <row r="114" spans="1:13">
      <c r="C114"/>
      <c r="D114"/>
      <c r="E114"/>
      <c r="F114"/>
      <c r="G114"/>
      <c r="H114"/>
      <c r="I114"/>
      <c r="J114"/>
      <c r="K114"/>
      <c r="L114" s="4"/>
    </row>
    <row r="115" spans="1:13">
      <c r="C115" s="1" t="s">
        <v>56</v>
      </c>
      <c r="D115" s="1"/>
      <c r="E115"/>
      <c r="F115"/>
      <c r="G115"/>
      <c r="H115"/>
      <c r="I115"/>
      <c r="J115"/>
      <c r="K115"/>
      <c r="L115" s="4"/>
    </row>
    <row r="116" spans="1:13">
      <c r="A116" s="4">
        <f>+A113+1</f>
        <v>510</v>
      </c>
      <c r="C116" t="s">
        <v>103</v>
      </c>
      <c r="D116"/>
      <c r="E116" s="15">
        <f>'25-RevenueFeeFactors'!$E$16</f>
        <v>7.4569999999999992E-3</v>
      </c>
      <c r="F116" t="s">
        <v>1402</v>
      </c>
      <c r="G116"/>
      <c r="H116" s="15">
        <f>E116</f>
        <v>7.4569999999999992E-3</v>
      </c>
      <c r="I116" s="15">
        <f>'25-RevenueFeeFactors'!$E$16</f>
        <v>7.4569999999999992E-3</v>
      </c>
      <c r="J116" s="15">
        <f>'25-RevenueFeeFactors'!$E$16</f>
        <v>7.4569999999999992E-3</v>
      </c>
      <c r="K116" t="s">
        <v>1267</v>
      </c>
      <c r="L116" s="4">
        <f>A116</f>
        <v>510</v>
      </c>
    </row>
    <row r="117" spans="1:13">
      <c r="A117" s="4">
        <f>A116+1</f>
        <v>511</v>
      </c>
      <c r="C117" t="s">
        <v>99</v>
      </c>
      <c r="D117" s="2"/>
      <c r="E117" s="42">
        <f>'25-RevenueFeeFactors'!$E$17</f>
        <v>2.7300000000000002E-4</v>
      </c>
      <c r="F117" t="s">
        <v>1403</v>
      </c>
      <c r="G117"/>
      <c r="H117" s="42">
        <f>E117</f>
        <v>2.7300000000000002E-4</v>
      </c>
      <c r="I117" s="42">
        <f>'25-RevenueFeeFactors'!$E$17</f>
        <v>2.7300000000000002E-4</v>
      </c>
      <c r="J117" s="42">
        <f>'25-RevenueFeeFactors'!$E$17</f>
        <v>2.7300000000000002E-4</v>
      </c>
      <c r="K117" t="s">
        <v>1268</v>
      </c>
      <c r="L117" s="4">
        <f>A117</f>
        <v>511</v>
      </c>
    </row>
    <row r="118" spans="1:13">
      <c r="A118" s="4">
        <f>A117+1</f>
        <v>512</v>
      </c>
      <c r="C118" s="2" t="s">
        <v>104</v>
      </c>
      <c r="D118" s="2"/>
      <c r="E118" s="20">
        <f>(E116+E117)*E113</f>
        <v>55355358.965576313</v>
      </c>
      <c r="F118" s="317" t="str">
        <f>"Line "&amp;$A$113&amp;" * (Line "&amp;$A$116&amp;" + Line "&amp;$A$117&amp;")"</f>
        <v>Line 509 * (Line 510 + Line 511)</v>
      </c>
      <c r="G118"/>
      <c r="H118" s="20">
        <f>I118+J118</f>
        <v>52453314.364977248</v>
      </c>
      <c r="I118" s="20">
        <f t="shared" ref="I118:J118" si="38">(I116+I117)*I113</f>
        <v>32604188.744875465</v>
      </c>
      <c r="J118" s="20">
        <f t="shared" si="38"/>
        <v>19849125.620101783</v>
      </c>
      <c r="K118" s="317" t="str">
        <f>"Line "&amp;$A$113&amp;" * (Line "&amp;$A$116&amp;" + Line "&amp;$A$117&amp;")"</f>
        <v>Line 509 * (Line 510 + Line 511)</v>
      </c>
      <c r="L118" s="4">
        <f>A118</f>
        <v>512</v>
      </c>
    </row>
    <row r="119" spans="1:13" s="45" customFormat="1">
      <c r="A119" s="583"/>
      <c r="B119" s="583"/>
      <c r="C119" s="2"/>
      <c r="D119" s="2"/>
      <c r="E119" s="20"/>
      <c r="F119" s="317"/>
      <c r="G119"/>
      <c r="H119" s="20"/>
      <c r="I119" s="20"/>
      <c r="J119" s="20"/>
      <c r="K119"/>
      <c r="L119" s="583"/>
      <c r="M119" s="46"/>
    </row>
    <row r="120" spans="1:13">
      <c r="A120" s="11">
        <f>A118+1</f>
        <v>513</v>
      </c>
      <c r="C120" s="2" t="s">
        <v>1058</v>
      </c>
      <c r="D120" s="2"/>
      <c r="E120" s="20">
        <f>E118+E113</f>
        <v>7216462599.0142593</v>
      </c>
      <c r="F120" s="163" t="str">
        <f>"Line "&amp;$A$113&amp;" + Line "&amp;$A$118&amp;""</f>
        <v>Line 509 + Line 512</v>
      </c>
      <c r="G120" s="724"/>
      <c r="H120" s="20">
        <f t="shared" ref="H120:J120" si="39">H118+H113</f>
        <v>6838134344.7630692</v>
      </c>
      <c r="I120" s="20">
        <f t="shared" si="39"/>
        <v>4250481128.5735259</v>
      </c>
      <c r="J120" s="20">
        <f t="shared" si="39"/>
        <v>2587653216.1895437</v>
      </c>
      <c r="K120" s="163" t="str">
        <f>"Line "&amp;$A$113&amp;" + Line "&amp;$A$118&amp;""</f>
        <v>Line 509 + Line 512</v>
      </c>
      <c r="L120" s="4">
        <f>A120</f>
        <v>513</v>
      </c>
    </row>
    <row r="121" spans="1:13">
      <c r="E121" s="43"/>
      <c r="F121" s="43"/>
      <c r="G121" s="12"/>
      <c r="I121" s="43"/>
      <c r="J121" s="43"/>
    </row>
    <row r="123" spans="1:13">
      <c r="E123" s="32"/>
    </row>
    <row r="124" spans="1:13">
      <c r="I124" s="17"/>
      <c r="J124" s="17"/>
    </row>
    <row r="125" spans="1:13">
      <c r="I125" s="123"/>
      <c r="J125" s="17"/>
    </row>
  </sheetData>
  <protectedRanges>
    <protectedRange password="F1C4" sqref="F85" name="AAReport1_23_1_1_2_1"/>
  </protectedRanges>
  <phoneticPr fontId="104" type="noConversion"/>
  <printOptions horizontalCentered="1"/>
  <pageMargins left="1" right="1" top="1" bottom="1" header="0.5" footer="0.5"/>
  <pageSetup scale="48" fitToHeight="0" orientation="landscape" r:id="rId1"/>
  <headerFooter>
    <oddHeader>&amp;C&amp;"-,Bold"&amp;12Pacific Gas and Electric Company
Formula Rate Model
Schedule 1-DRR</oddHeader>
    <oddFooter>&amp;C&amp;1#&amp;"Calibri"&amp;12&amp;K000000Internal</oddFooter>
  </headerFooter>
  <rowBreaks count="2" manualBreakCount="2">
    <brk id="53" max="12" man="1"/>
    <brk id="100" max="12" man="1"/>
  </rowBreaks>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P94"/>
  <sheetViews>
    <sheetView view="pageBreakPreview" zoomScale="90" zoomScaleNormal="85" zoomScaleSheetLayoutView="90" zoomScalePageLayoutView="70" workbookViewId="0">
      <selection activeCell="G13" sqref="G13"/>
    </sheetView>
  </sheetViews>
  <sheetFormatPr defaultColWidth="9.140625" defaultRowHeight="15"/>
  <cols>
    <col min="1" max="1" width="6" style="4" bestFit="1" customWidth="1"/>
    <col min="2" max="2" width="2.140625" style="435" bestFit="1" customWidth="1"/>
    <col min="3" max="3" width="73.42578125" style="12" bestFit="1" customWidth="1"/>
    <col min="4" max="4" width="4.5703125" style="12" customWidth="1"/>
    <col min="5" max="5" width="22.5703125" style="12" bestFit="1" customWidth="1"/>
    <col min="6" max="6" width="45.28515625" style="45" bestFit="1" customWidth="1"/>
    <col min="7" max="7" width="22.28515625" style="45" bestFit="1" customWidth="1"/>
    <col min="8" max="8" width="22.28515625" style="45" customWidth="1"/>
    <col min="9" max="10" width="22.140625" style="12" bestFit="1" customWidth="1"/>
    <col min="11" max="11" width="38.28515625" style="45" bestFit="1" customWidth="1"/>
    <col min="12" max="12" width="4.5703125" style="12" bestFit="1" customWidth="1"/>
    <col min="13" max="13" width="2.140625" style="24" customWidth="1"/>
    <col min="14" max="14" width="9.140625" style="24"/>
    <col min="15" max="15" width="15.28515625" style="24" bestFit="1" customWidth="1"/>
    <col min="16" max="16" width="9.140625" style="24"/>
    <col min="17" max="16384" width="9.140625" style="12"/>
  </cols>
  <sheetData>
    <row r="1" spans="1:16">
      <c r="C1" s="5" t="s">
        <v>1036</v>
      </c>
      <c r="I1" s="6"/>
      <c r="K1" s="8" t="str">
        <f>CONCATENATE("Prior Year: ",'1-DRR'!$K$2)</f>
        <v>Prior Year: 2021</v>
      </c>
    </row>
    <row r="2" spans="1:16">
      <c r="A2" s="69"/>
      <c r="C2" s="54" t="s">
        <v>122</v>
      </c>
      <c r="I2" s="6"/>
    </row>
    <row r="3" spans="1:16" s="45" customFormat="1">
      <c r="A3" s="3" t="s">
        <v>86</v>
      </c>
      <c r="B3" s="3"/>
      <c r="E3" s="3" t="s">
        <v>62</v>
      </c>
      <c r="H3" s="3" t="s">
        <v>63</v>
      </c>
      <c r="I3" s="3" t="s">
        <v>64</v>
      </c>
      <c r="J3" s="3" t="s">
        <v>65</v>
      </c>
      <c r="K3" s="3" t="s">
        <v>38</v>
      </c>
      <c r="L3" s="10"/>
      <c r="M3" s="46"/>
    </row>
    <row r="4" spans="1:16" s="45" customFormat="1">
      <c r="A4" s="656">
        <v>1</v>
      </c>
      <c r="B4" s="3"/>
      <c r="E4" s="3"/>
      <c r="H4" s="695" t="s">
        <v>1295</v>
      </c>
      <c r="I4" s="660">
        <f>'6-PlantJurisdiction'!E85</f>
        <v>0.4883690251540051</v>
      </c>
      <c r="J4" s="660">
        <f>'6-PlantJurisdiction'!F85</f>
        <v>0.46517328191677687</v>
      </c>
      <c r="K4" s="658" t="s">
        <v>1235</v>
      </c>
      <c r="L4" s="10">
        <f>A4</f>
        <v>1</v>
      </c>
      <c r="M4" s="46"/>
    </row>
    <row r="5" spans="1:16">
      <c r="C5" s="60" t="s">
        <v>114</v>
      </c>
      <c r="D5" s="61"/>
      <c r="E5" s="62"/>
      <c r="F5" s="62"/>
      <c r="G5" s="62"/>
      <c r="H5" s="307"/>
      <c r="I5" s="307"/>
      <c r="J5" s="307"/>
      <c r="K5" s="307"/>
      <c r="L5" s="24"/>
      <c r="P5" s="12"/>
    </row>
    <row r="6" spans="1:16" ht="30">
      <c r="A6" s="3" t="s">
        <v>86</v>
      </c>
      <c r="B6" s="3"/>
      <c r="C6" s="178" t="s">
        <v>91</v>
      </c>
      <c r="D6" s="669"/>
      <c r="E6" s="178" t="s">
        <v>1109</v>
      </c>
      <c r="F6" s="178" t="s">
        <v>38</v>
      </c>
      <c r="G6" s="178" t="s">
        <v>8</v>
      </c>
      <c r="H6" s="178" t="s">
        <v>1296</v>
      </c>
      <c r="I6" s="178" t="s">
        <v>1023</v>
      </c>
      <c r="J6" s="178" t="s">
        <v>1024</v>
      </c>
      <c r="K6" s="178" t="s">
        <v>38</v>
      </c>
      <c r="L6" s="10" t="str">
        <f>A6</f>
        <v>Line</v>
      </c>
      <c r="P6" s="12"/>
    </row>
    <row r="7" spans="1:16">
      <c r="A7" s="12"/>
      <c r="B7" s="45"/>
      <c r="C7" s="1" t="s">
        <v>2</v>
      </c>
      <c r="D7" s="1"/>
      <c r="E7" s="45"/>
      <c r="F7" s="12"/>
      <c r="G7" s="12"/>
      <c r="I7" s="45"/>
      <c r="J7" s="45"/>
      <c r="P7" s="12"/>
    </row>
    <row r="8" spans="1:16">
      <c r="A8" s="4">
        <v>100</v>
      </c>
      <c r="C8" s="12" t="s">
        <v>928</v>
      </c>
      <c r="E8" s="31">
        <f>'7-PlantInService'!AC26</f>
        <v>36082140825.14077</v>
      </c>
      <c r="F8" s="46" t="s">
        <v>1186</v>
      </c>
      <c r="G8" s="12" t="s">
        <v>105</v>
      </c>
      <c r="H8" s="18">
        <f>I8+J8</f>
        <v>34422039214.931541</v>
      </c>
      <c r="I8" s="31">
        <f>'7-PlantInService'!AC51</f>
        <v>17736613836.474236</v>
      </c>
      <c r="J8" s="31">
        <f>'7-PlantInService'!AC76</f>
        <v>16685425378.457308</v>
      </c>
      <c r="K8" t="s">
        <v>1337</v>
      </c>
      <c r="L8" s="4">
        <f>A8</f>
        <v>100</v>
      </c>
      <c r="P8" s="12"/>
    </row>
    <row r="9" spans="1:16">
      <c r="A9" s="4">
        <f>A8+1</f>
        <v>101</v>
      </c>
      <c r="C9" s="12" t="s">
        <v>1</v>
      </c>
      <c r="E9" s="59">
        <v>2889991282.3299999</v>
      </c>
      <c r="F9" s="711" t="s">
        <v>1396</v>
      </c>
      <c r="G9" s="45" t="s">
        <v>133</v>
      </c>
      <c r="H9" s="18">
        <f t="shared" ref="H9:H10" si="0">I9+J9</f>
        <v>2054428702.2544446</v>
      </c>
      <c r="I9" s="31">
        <f>'7-PlantInService'!D130</f>
        <v>1052202230.7017931</v>
      </c>
      <c r="J9" s="31">
        <f>'7-PlantInService'!E130</f>
        <v>1002226471.5526516</v>
      </c>
      <c r="K9" s="163" t="s">
        <v>1594</v>
      </c>
      <c r="L9" s="4">
        <f>A9</f>
        <v>101</v>
      </c>
      <c r="P9" s="12"/>
    </row>
    <row r="10" spans="1:16">
      <c r="A10" s="580">
        <f>A9+1</f>
        <v>102</v>
      </c>
      <c r="C10" s="2" t="s">
        <v>9</v>
      </c>
      <c r="D10" s="2"/>
      <c r="E10" s="430">
        <f>SUM(E8:E9)</f>
        <v>38972132107.470772</v>
      </c>
      <c r="F10" s="581" t="str">
        <f>"Line "&amp;A8&amp;" + Line "&amp;A9&amp;""</f>
        <v>Line 100 + Line 101</v>
      </c>
      <c r="G10" s="12"/>
      <c r="H10" s="674">
        <f t="shared" si="0"/>
        <v>36476467917.185989</v>
      </c>
      <c r="I10" s="430">
        <f t="shared" ref="I10:J10" si="1">SUM(I8:I9)</f>
        <v>18788816067.176029</v>
      </c>
      <c r="J10" s="430">
        <f t="shared" si="1"/>
        <v>17687651850.00996</v>
      </c>
      <c r="K10" s="671"/>
      <c r="L10" s="4">
        <f>A10</f>
        <v>102</v>
      </c>
      <c r="P10" s="12"/>
    </row>
    <row r="11" spans="1:16">
      <c r="E11" s="45"/>
      <c r="F11" s="12"/>
      <c r="G11" s="12"/>
      <c r="H11" s="556"/>
      <c r="I11" s="45"/>
      <c r="J11" s="45"/>
      <c r="L11" s="24"/>
      <c r="P11" s="12"/>
    </row>
    <row r="12" spans="1:16">
      <c r="C12" s="1" t="s">
        <v>3</v>
      </c>
      <c r="D12" s="1"/>
      <c r="E12" s="45"/>
      <c r="F12" s="12"/>
      <c r="G12" s="12"/>
      <c r="H12" s="556"/>
      <c r="I12" s="45"/>
      <c r="J12" s="45"/>
      <c r="L12" s="24"/>
      <c r="P12" s="12"/>
    </row>
    <row r="13" spans="1:16">
      <c r="A13" s="4">
        <f>A10+1</f>
        <v>103</v>
      </c>
      <c r="C13" s="12" t="s">
        <v>4</v>
      </c>
      <c r="E13" s="31">
        <f>'13-WorkCap'!E26</f>
        <v>237891080.13564813</v>
      </c>
      <c r="F13" s="46" t="s">
        <v>607</v>
      </c>
      <c r="G13" s="12" t="s">
        <v>105</v>
      </c>
      <c r="H13" s="18">
        <f t="shared" ref="H13:H16" si="2">I13+J13</f>
        <v>226839209.38410619</v>
      </c>
      <c r="I13" s="31">
        <f>E13*$I$4</f>
        <v>116178634.89867978</v>
      </c>
      <c r="J13" s="31">
        <f>E13*$J$4</f>
        <v>110660574.48542641</v>
      </c>
      <c r="K13" t="s">
        <v>1297</v>
      </c>
      <c r="L13" s="4">
        <f>A13</f>
        <v>103</v>
      </c>
      <c r="P13" s="12"/>
    </row>
    <row r="14" spans="1:16">
      <c r="A14" s="4">
        <f>A13+1</f>
        <v>104</v>
      </c>
      <c r="C14" s="24" t="s">
        <v>101</v>
      </c>
      <c r="D14" s="24"/>
      <c r="E14" s="31">
        <f>'13-WorkCap'!F57</f>
        <v>210294289</v>
      </c>
      <c r="F14" s="46" t="s">
        <v>608</v>
      </c>
      <c r="G14" s="12" t="s">
        <v>105</v>
      </c>
      <c r="H14" s="18">
        <f t="shared" si="2"/>
        <v>200524501.49686977</v>
      </c>
      <c r="I14" s="31">
        <f>E14*$I$4</f>
        <v>102701216.91438462</v>
      </c>
      <c r="J14" s="31">
        <f>E14*$J$4</f>
        <v>97823284.582485154</v>
      </c>
      <c r="K14" t="s">
        <v>1298</v>
      </c>
      <c r="L14" s="4">
        <f>A14</f>
        <v>104</v>
      </c>
      <c r="P14" s="12"/>
    </row>
    <row r="15" spans="1:16">
      <c r="A15" s="11">
        <f t="shared" ref="A15:A16" si="3">A14+1</f>
        <v>105</v>
      </c>
      <c r="B15" s="11"/>
      <c r="C15" s="12" t="s">
        <v>5</v>
      </c>
      <c r="E15" s="22">
        <f>(E74+E75)/8</f>
        <v>484335150.83755803</v>
      </c>
      <c r="F15" s="12" t="str">
        <f>"(Line "&amp;A74&amp;" + Line "&amp;A75&amp;") / 8"</f>
        <v>(Line 400 + Line 401) / 8</v>
      </c>
      <c r="G15" s="12"/>
      <c r="H15" s="19">
        <f t="shared" si="2"/>
        <v>461834057.12512028</v>
      </c>
      <c r="I15" s="22">
        <f>E15*$I$4</f>
        <v>236534285.46235624</v>
      </c>
      <c r="J15" s="22">
        <f>E15*$J$4</f>
        <v>225299771.66276404</v>
      </c>
      <c r="K15" t="s">
        <v>1299</v>
      </c>
      <c r="L15" s="4">
        <f>A15</f>
        <v>105</v>
      </c>
      <c r="P15" s="12"/>
    </row>
    <row r="16" spans="1:16">
      <c r="A16" s="4">
        <f t="shared" si="3"/>
        <v>106</v>
      </c>
      <c r="C16" s="2" t="s">
        <v>10</v>
      </c>
      <c r="D16" s="2"/>
      <c r="E16" s="73">
        <f>SUM(E13:E15)</f>
        <v>932520519.97320616</v>
      </c>
      <c r="F16" s="44" t="str">
        <f>"Sum of Lines "&amp;A13&amp;" to "&amp;A15&amp;""</f>
        <v>Sum of Lines 103 to 105</v>
      </c>
      <c r="G16" s="12"/>
      <c r="H16" s="20">
        <f t="shared" si="2"/>
        <v>889197768.00609624</v>
      </c>
      <c r="I16" s="73">
        <f t="shared" ref="I16:J16" si="4">SUM(I13:I15)</f>
        <v>455414137.27542067</v>
      </c>
      <c r="J16" s="73">
        <f t="shared" si="4"/>
        <v>433783630.73067558</v>
      </c>
      <c r="K16" s="473" t="str">
        <f>"Sum of Lines "&amp;$A$13&amp;" to "&amp;$A$15&amp;""</f>
        <v>Sum of Lines 103 to 105</v>
      </c>
      <c r="L16" s="4">
        <f>A16</f>
        <v>106</v>
      </c>
      <c r="P16" s="12"/>
    </row>
    <row r="17" spans="1:16">
      <c r="E17" s="45"/>
      <c r="F17" s="12"/>
      <c r="G17" s="12"/>
      <c r="H17" s="556"/>
      <c r="I17" s="45"/>
      <c r="J17" s="45"/>
      <c r="K17"/>
      <c r="L17" s="24"/>
      <c r="P17" s="12"/>
    </row>
    <row r="18" spans="1:16">
      <c r="C18" s="1" t="s">
        <v>6</v>
      </c>
      <c r="D18" s="1"/>
      <c r="E18" s="45"/>
      <c r="F18" s="12"/>
      <c r="G18" s="12"/>
      <c r="H18" s="556"/>
      <c r="I18" s="45"/>
      <c r="J18" s="45"/>
      <c r="K18"/>
      <c r="L18" s="24"/>
      <c r="P18" s="12"/>
    </row>
    <row r="19" spans="1:16">
      <c r="A19" s="4">
        <f>A16+1</f>
        <v>107</v>
      </c>
      <c r="C19" s="12" t="s">
        <v>929</v>
      </c>
      <c r="E19" s="31">
        <f>-'10-AccDep'!AC26</f>
        <v>-15635284930.61692</v>
      </c>
      <c r="F19" s="46" t="s">
        <v>1187</v>
      </c>
      <c r="G19" s="45" t="s">
        <v>598</v>
      </c>
      <c r="H19" s="18">
        <f t="shared" ref="H19:H21" si="5">I19+J19</f>
        <v>-15044938512.662308</v>
      </c>
      <c r="I19" s="31">
        <f>-'10-AccDep'!AC51</f>
        <v>-7482562988.0022888</v>
      </c>
      <c r="J19" s="31">
        <f>-'10-AccDep'!AC76</f>
        <v>-7562375524.6600189</v>
      </c>
      <c r="K19" t="s">
        <v>1338</v>
      </c>
      <c r="L19" s="4">
        <f>A19</f>
        <v>107</v>
      </c>
      <c r="P19" s="12"/>
    </row>
    <row r="20" spans="1:16">
      <c r="A20" s="4">
        <f>A19+1</f>
        <v>108</v>
      </c>
      <c r="C20" s="12" t="s">
        <v>13</v>
      </c>
      <c r="E20" s="59">
        <v>-1102476559</v>
      </c>
      <c r="F20" s="711" t="s">
        <v>1395</v>
      </c>
      <c r="G20" s="45" t="s">
        <v>599</v>
      </c>
      <c r="H20" s="18">
        <f t="shared" si="5"/>
        <v>-755789339.14520204</v>
      </c>
      <c r="I20" s="385">
        <f>-'10-AccDep'!D130</f>
        <v>-387087285.00363564</v>
      </c>
      <c r="J20" s="385">
        <f>-'10-AccDep'!E130</f>
        <v>-368702054.1415664</v>
      </c>
      <c r="K20" s="163" t="s">
        <v>1595</v>
      </c>
      <c r="L20" s="4">
        <f>A20</f>
        <v>108</v>
      </c>
      <c r="P20" s="12"/>
    </row>
    <row r="21" spans="1:16">
      <c r="A21" s="580">
        <f>A20+1</f>
        <v>109</v>
      </c>
      <c r="C21" s="2" t="s">
        <v>11</v>
      </c>
      <c r="D21" s="2"/>
      <c r="E21" s="430">
        <f>E19+E20</f>
        <v>-16737761489.61692</v>
      </c>
      <c r="F21" s="581" t="str">
        <f>"Line "&amp;A19&amp;" + Line "&amp;A20&amp;""</f>
        <v>Line 107 + Line 108</v>
      </c>
      <c r="G21" s="12"/>
      <c r="H21" s="674">
        <f t="shared" si="5"/>
        <v>-15800727851.80751</v>
      </c>
      <c r="I21" s="430">
        <f t="shared" ref="I21:J21" si="6">I19+I20</f>
        <v>-7869650273.0059242</v>
      </c>
      <c r="J21" s="430">
        <f t="shared" si="6"/>
        <v>-7931077578.8015852</v>
      </c>
      <c r="K21" t="str">
        <f>"Line "&amp;$A$19&amp;" + Line "&amp;$A$20&amp;""</f>
        <v>Line 107 + Line 108</v>
      </c>
      <c r="L21" s="547">
        <f>A21</f>
        <v>109</v>
      </c>
      <c r="P21" s="12"/>
    </row>
    <row r="22" spans="1:16">
      <c r="E22" s="45"/>
      <c r="F22" s="12"/>
      <c r="G22" s="12"/>
      <c r="H22" s="556"/>
      <c r="I22" s="45"/>
      <c r="J22" s="45"/>
      <c r="K22"/>
      <c r="L22" s="24"/>
      <c r="P22" s="12"/>
    </row>
    <row r="23" spans="1:16">
      <c r="A23" s="4">
        <f>A21+1</f>
        <v>110</v>
      </c>
      <c r="B23" s="435" t="s">
        <v>792</v>
      </c>
      <c r="C23" s="23" t="s">
        <v>7</v>
      </c>
      <c r="D23" s="5"/>
      <c r="E23" s="31">
        <f>'14-ADIT'!D21</f>
        <v>-2902758429.1305637</v>
      </c>
      <c r="F23" s="46" t="s">
        <v>602</v>
      </c>
      <c r="G23" s="45" t="s">
        <v>134</v>
      </c>
      <c r="H23" s="18">
        <f t="shared" ref="H23:H27" si="7">I23+J23</f>
        <v>-2767902969.3823166</v>
      </c>
      <c r="I23" s="31">
        <f>E23*$I$4</f>
        <v>-1417617304.2920647</v>
      </c>
      <c r="J23" s="31">
        <f>E23*$J$4</f>
        <v>-1350285665.0902522</v>
      </c>
      <c r="K23" t="s">
        <v>1300</v>
      </c>
      <c r="L23" s="4">
        <f>A23</f>
        <v>110</v>
      </c>
      <c r="M23" s="24" t="s">
        <v>792</v>
      </c>
      <c r="P23" s="12"/>
    </row>
    <row r="24" spans="1:16" s="45" customFormat="1">
      <c r="A24" s="435">
        <f>A23</f>
        <v>110</v>
      </c>
      <c r="B24" s="435" t="s">
        <v>793</v>
      </c>
      <c r="C24" s="23" t="s">
        <v>795</v>
      </c>
      <c r="D24" s="23"/>
      <c r="E24" s="22">
        <f>+'17-RegAssets-1'!C48</f>
        <v>-1460895743.2049639</v>
      </c>
      <c r="F24" s="46" t="s">
        <v>879</v>
      </c>
      <c r="G24" s="45" t="s">
        <v>134</v>
      </c>
      <c r="H24" s="19">
        <f t="shared" si="7"/>
        <v>-1393025897.365546</v>
      </c>
      <c r="I24" s="22">
        <f>E24*$I$4</f>
        <v>-713456229.96064401</v>
      </c>
      <c r="J24" s="22">
        <f>E24*$J$4</f>
        <v>-679569667.40490198</v>
      </c>
      <c r="K24" t="s">
        <v>1301</v>
      </c>
      <c r="L24" s="435">
        <f>A24</f>
        <v>110</v>
      </c>
      <c r="M24" s="46" t="s">
        <v>793</v>
      </c>
      <c r="N24" s="46"/>
      <c r="O24" s="46"/>
    </row>
    <row r="25" spans="1:16" s="45" customFormat="1">
      <c r="A25" s="435">
        <f>A24</f>
        <v>110</v>
      </c>
      <c r="B25" s="435" t="s">
        <v>794</v>
      </c>
      <c r="C25" s="23" t="s">
        <v>796</v>
      </c>
      <c r="D25" s="23"/>
      <c r="E25" s="73">
        <f>+E23+E24</f>
        <v>-4363654172.3355274</v>
      </c>
      <c r="F25" s="46" t="str">
        <f>"Line "&amp;A23&amp;"a + Line "&amp;A24&amp;"b"</f>
        <v>Line 110a + Line 110b</v>
      </c>
      <c r="G25" s="45" t="s">
        <v>134</v>
      </c>
      <c r="H25" s="20">
        <f t="shared" si="7"/>
        <v>-4160928866.7478628</v>
      </c>
      <c r="I25" s="73">
        <f t="shared" ref="I25:J25" si="8">+I23+I24</f>
        <v>-2131073534.2527087</v>
      </c>
      <c r="J25" s="73">
        <f t="shared" si="8"/>
        <v>-2029855332.4951541</v>
      </c>
      <c r="K25" t="str">
        <f>"Line "&amp;$A$23&amp;"a + Line "&amp;$A$24&amp;"b"</f>
        <v>Line 110a + Line 110b</v>
      </c>
      <c r="L25" s="435">
        <f>A25</f>
        <v>110</v>
      </c>
      <c r="M25" s="46" t="s">
        <v>794</v>
      </c>
      <c r="N25" s="46"/>
      <c r="O25" s="46"/>
    </row>
    <row r="26" spans="1:16" s="24" customFormat="1">
      <c r="A26" s="11">
        <f>A25+1</f>
        <v>111</v>
      </c>
      <c r="B26" s="11"/>
      <c r="C26" s="168" t="str">
        <f>+'1-DRR'!C26</f>
        <v>Unfunded Reserves</v>
      </c>
      <c r="D26" s="7"/>
      <c r="E26" s="31">
        <f>'16-UnfundedReserves'!E12</f>
        <v>-124034270.15149625</v>
      </c>
      <c r="F26" s="317" t="s">
        <v>1617</v>
      </c>
      <c r="G26" s="45" t="s">
        <v>105</v>
      </c>
      <c r="H26" s="18">
        <f t="shared" si="7"/>
        <v>-118271924.11609837</v>
      </c>
      <c r="I26" s="31">
        <f>E26*$I$4</f>
        <v>-60574495.599574737</v>
      </c>
      <c r="J26" s="31">
        <f>E26*$J$4</f>
        <v>-57697428.516523629</v>
      </c>
      <c r="K26" t="s">
        <v>1302</v>
      </c>
      <c r="L26" s="11">
        <f>A26</f>
        <v>111</v>
      </c>
    </row>
    <row r="27" spans="1:16">
      <c r="A27" s="4">
        <f>A26+1</f>
        <v>112</v>
      </c>
      <c r="C27" s="7" t="s">
        <v>12</v>
      </c>
      <c r="D27" s="7"/>
      <c r="E27" s="22">
        <f>'17-RegAssets-1'!E26</f>
        <v>0</v>
      </c>
      <c r="F27" s="46" t="s">
        <v>609</v>
      </c>
      <c r="G27" s="45" t="s">
        <v>133</v>
      </c>
      <c r="H27" s="19">
        <f t="shared" si="7"/>
        <v>0</v>
      </c>
      <c r="I27" s="22">
        <f>E27*$I$4</f>
        <v>0</v>
      </c>
      <c r="J27" s="22">
        <f>E27*$J$4</f>
        <v>0</v>
      </c>
      <c r="K27" t="s">
        <v>1303</v>
      </c>
      <c r="L27" s="4">
        <f>A27</f>
        <v>112</v>
      </c>
      <c r="P27" s="12"/>
    </row>
    <row r="28" spans="1:16">
      <c r="A28" s="11"/>
      <c r="B28" s="11"/>
      <c r="E28" s="73"/>
      <c r="F28" s="12"/>
      <c r="G28" s="12"/>
      <c r="H28" s="18"/>
      <c r="I28" s="73"/>
      <c r="J28" s="73"/>
      <c r="K28"/>
      <c r="L28" s="4"/>
      <c r="P28" s="12"/>
    </row>
    <row r="29" spans="1:16" ht="30">
      <c r="A29" s="4">
        <f>A27+1</f>
        <v>113</v>
      </c>
      <c r="C29" s="2" t="s">
        <v>0</v>
      </c>
      <c r="D29" s="2"/>
      <c r="E29" s="73">
        <f>+E10+E16+E21+E25+E27+E26</f>
        <v>18679202695.340034</v>
      </c>
      <c r="F29" s="12" t="str">
        <f>"Sum of Lines "&amp;A10&amp;", "&amp;A16&amp;", "&amp;A21&amp;" and Lines "&amp;A25&amp;B25&amp;" to "&amp;A27&amp;""</f>
        <v>Sum of Lines 102, 106, 109 and Lines 110c to 112</v>
      </c>
      <c r="G29" s="12"/>
      <c r="H29" s="20">
        <f>I29+J29</f>
        <v>17285737042.520615</v>
      </c>
      <c r="I29" s="73">
        <f t="shared" ref="I29:J29" si="9">+I10+I16+I21+I25+I27+I26</f>
        <v>9182931901.5932426</v>
      </c>
      <c r="J29" s="73">
        <f t="shared" si="9"/>
        <v>8102805140.927371</v>
      </c>
      <c r="K29" s="338" t="str">
        <f>"Sum of Lines "&amp;$A$10&amp;", "&amp;$A$16&amp;", "&amp;$A$21&amp;" and Lines "&amp;$A$25&amp;$B$25&amp;" to "&amp;$A$27&amp;""</f>
        <v>Sum of Lines 102, 106, 109 and Lines 110c to 112</v>
      </c>
      <c r="L29" s="4">
        <f>A29</f>
        <v>113</v>
      </c>
      <c r="P29" s="12"/>
    </row>
    <row r="30" spans="1:16">
      <c r="E30" s="25"/>
      <c r="F30" s="12"/>
      <c r="G30" s="12"/>
      <c r="I30" s="317"/>
      <c r="J30" s="317"/>
      <c r="K30" s="317"/>
      <c r="L30" s="4"/>
      <c r="P30" s="12"/>
    </row>
    <row r="31" spans="1:16">
      <c r="C31" s="60" t="s">
        <v>115</v>
      </c>
      <c r="D31" s="62"/>
      <c r="E31" s="62"/>
      <c r="F31" s="62"/>
      <c r="G31" s="62"/>
      <c r="H31" s="307"/>
      <c r="I31" s="307"/>
      <c r="J31" s="307"/>
      <c r="K31" s="307"/>
      <c r="L31" s="24"/>
      <c r="P31" s="12"/>
    </row>
    <row r="32" spans="1:16" s="24" customFormat="1">
      <c r="A32" s="11"/>
      <c r="B32" s="11"/>
      <c r="C32" s="53" t="s">
        <v>93</v>
      </c>
      <c r="H32" s="46"/>
      <c r="I32" s="46"/>
      <c r="J32" s="46"/>
      <c r="K32" s="46"/>
    </row>
    <row r="33" spans="1:16" s="24" customFormat="1">
      <c r="A33" s="11"/>
      <c r="B33" s="11"/>
      <c r="C33" s="171" t="s">
        <v>750</v>
      </c>
      <c r="D33" s="171"/>
      <c r="E33" s="3"/>
      <c r="F33" s="171"/>
      <c r="G33" s="171"/>
      <c r="H33" s="3"/>
      <c r="I33" s="3"/>
      <c r="J33" s="3"/>
      <c r="K33" s="171"/>
    </row>
    <row r="34" spans="1:16" s="24" customFormat="1">
      <c r="A34" s="11"/>
      <c r="B34" s="11"/>
      <c r="C34" s="23"/>
      <c r="H34" s="695"/>
      <c r="I34" s="660"/>
      <c r="J34" s="660"/>
      <c r="K34" s="46"/>
    </row>
    <row r="35" spans="1:16" s="24" customFormat="1" ht="30">
      <c r="A35" s="3" t="s">
        <v>86</v>
      </c>
      <c r="B35" s="3"/>
      <c r="C35" s="178" t="s">
        <v>91</v>
      </c>
      <c r="D35" s="696"/>
      <c r="E35" s="178" t="s">
        <v>1109</v>
      </c>
      <c r="F35" s="178" t="s">
        <v>38</v>
      </c>
      <c r="G35" s="178" t="s">
        <v>8</v>
      </c>
      <c r="H35" s="178" t="s">
        <v>1296</v>
      </c>
      <c r="I35" s="178" t="s">
        <v>1023</v>
      </c>
      <c r="J35" s="178" t="s">
        <v>1024</v>
      </c>
      <c r="K35" s="178" t="s">
        <v>38</v>
      </c>
      <c r="L35" s="10" t="str">
        <f>A35</f>
        <v>Line</v>
      </c>
    </row>
    <row r="36" spans="1:16" s="24" customFormat="1" ht="77.25" customHeight="1">
      <c r="A36" s="11">
        <v>200</v>
      </c>
      <c r="B36" s="11"/>
      <c r="C36" s="45" t="s">
        <v>751</v>
      </c>
      <c r="E36" s="58">
        <f>'1-DRR'!E42</f>
        <v>0.10249999999999999</v>
      </c>
      <c r="F36" s="57" t="str">
        <f>CONCATENATE("1-DRR, L. ",'1-DRR'!A42)</f>
        <v>1-DRR, L. 205</v>
      </c>
      <c r="G36" s="51" t="s">
        <v>768</v>
      </c>
      <c r="H36" s="704">
        <f>E36</f>
        <v>0.10249999999999999</v>
      </c>
      <c r="I36" s="28">
        <f>E36</f>
        <v>0.10249999999999999</v>
      </c>
      <c r="J36" s="28">
        <f>I36</f>
        <v>0.10249999999999999</v>
      </c>
      <c r="K36" s="28" t="s">
        <v>1339</v>
      </c>
      <c r="L36" s="4">
        <f>A36</f>
        <v>200</v>
      </c>
    </row>
    <row r="37" spans="1:16" s="24" customFormat="1">
      <c r="A37" s="11"/>
      <c r="B37" s="11"/>
      <c r="C37" s="23"/>
      <c r="H37" s="46"/>
      <c r="I37" s="46"/>
      <c r="J37" s="46"/>
      <c r="K37" s="46"/>
    </row>
    <row r="38" spans="1:16">
      <c r="C38" s="1" t="s">
        <v>32</v>
      </c>
      <c r="D38" s="1"/>
      <c r="F38" s="12"/>
      <c r="G38" s="12"/>
      <c r="I38" s="45"/>
      <c r="J38" s="45"/>
      <c r="L38" s="24"/>
      <c r="P38" s="12"/>
    </row>
    <row r="39" spans="1:16">
      <c r="A39" s="4">
        <f>A36+1</f>
        <v>201</v>
      </c>
      <c r="C39" s="24" t="s">
        <v>33</v>
      </c>
      <c r="D39" s="24"/>
      <c r="E39" s="28">
        <f>'1-DRR'!E45</f>
        <v>1.7561749999999998E-2</v>
      </c>
      <c r="F39" s="24" t="str">
        <f>CONCATENATE("1-DRR, L. ",'1-DRR'!A45)</f>
        <v>1-DRR, L. 206</v>
      </c>
      <c r="G39" s="12"/>
      <c r="H39" s="28">
        <f>E39</f>
        <v>1.7561749999999998E-2</v>
      </c>
      <c r="I39" s="28">
        <f>E39</f>
        <v>1.7561749999999998E-2</v>
      </c>
      <c r="J39" s="28">
        <f>E39</f>
        <v>1.7561749999999998E-2</v>
      </c>
      <c r="K39" s="28" t="s">
        <v>1340</v>
      </c>
      <c r="L39" s="4">
        <f>A39</f>
        <v>201</v>
      </c>
      <c r="P39" s="12"/>
    </row>
    <row r="40" spans="1:16">
      <c r="A40" s="4">
        <f>A39+1</f>
        <v>202</v>
      </c>
      <c r="C40" s="24" t="s">
        <v>34</v>
      </c>
      <c r="D40" s="24"/>
      <c r="E40" s="28">
        <f>'1-DRR'!E46</f>
        <v>2.7605794758881429E-4</v>
      </c>
      <c r="F40" s="24" t="str">
        <f>CONCATENATE("1-DRR, L. ",'1-DRR'!A46)</f>
        <v>1-DRR, L. 207</v>
      </c>
      <c r="G40" s="12"/>
      <c r="H40" s="28">
        <f t="shared" ref="H40:H42" si="10">E40</f>
        <v>2.7605794758881429E-4</v>
      </c>
      <c r="I40" s="28">
        <f>E40</f>
        <v>2.7605794758881429E-4</v>
      </c>
      <c r="J40" s="28">
        <f>E40</f>
        <v>2.7605794758881429E-4</v>
      </c>
      <c r="K40" s="28" t="s">
        <v>1341</v>
      </c>
      <c r="L40" s="4">
        <f>A40</f>
        <v>202</v>
      </c>
      <c r="P40" s="12"/>
    </row>
    <row r="41" spans="1:16">
      <c r="A41" s="4">
        <f>A40+1</f>
        <v>203</v>
      </c>
      <c r="C41" s="24" t="s">
        <v>35</v>
      </c>
      <c r="D41" s="24"/>
      <c r="E41" s="330">
        <f>E36*'1-DRR'!E36</f>
        <v>5.0993749999999997E-2</v>
      </c>
      <c r="F41" s="24" t="str">
        <f>CONCATENATE("Line ",A36," * ","1-DRR, L. ",'1-DRR'!A36)</f>
        <v>Line 200 * 1-DRR, L. 202</v>
      </c>
      <c r="G41" s="12"/>
      <c r="H41" s="330">
        <f t="shared" si="10"/>
        <v>5.0993749999999997E-2</v>
      </c>
      <c r="I41" s="330">
        <f>E41</f>
        <v>5.0993749999999997E-2</v>
      </c>
      <c r="J41" s="330">
        <f>E41</f>
        <v>5.0993749999999997E-2</v>
      </c>
      <c r="K41" s="28" t="s">
        <v>1342</v>
      </c>
      <c r="L41" s="4">
        <f>A41</f>
        <v>203</v>
      </c>
      <c r="O41" s="39"/>
      <c r="P41" s="12"/>
    </row>
    <row r="42" spans="1:16">
      <c r="A42" s="4">
        <f>A41+1</f>
        <v>204</v>
      </c>
      <c r="C42" s="7" t="s">
        <v>36</v>
      </c>
      <c r="D42" s="7"/>
      <c r="E42" s="416">
        <f>SUM(E39:E41)</f>
        <v>6.8831557947588801E-2</v>
      </c>
      <c r="F42" s="44" t="str">
        <f>"Sum of Lines "&amp;A39&amp;" to "&amp;A41&amp;""</f>
        <v>Sum of Lines 201 to 203</v>
      </c>
      <c r="G42" s="12"/>
      <c r="H42" s="416">
        <f t="shared" si="10"/>
        <v>6.8831557947588801E-2</v>
      </c>
      <c r="I42" s="416">
        <f t="shared" ref="I42:J42" si="11">SUM(I39:I41)</f>
        <v>6.8831557947588801E-2</v>
      </c>
      <c r="J42" s="416">
        <f t="shared" si="11"/>
        <v>6.8831557947588801E-2</v>
      </c>
      <c r="K42" s="28" t="s">
        <v>1343</v>
      </c>
      <c r="L42" s="4">
        <f>A42</f>
        <v>204</v>
      </c>
      <c r="O42" s="39"/>
      <c r="P42" s="12"/>
    </row>
    <row r="43" spans="1:16">
      <c r="F43" s="12"/>
      <c r="G43" s="12"/>
      <c r="I43" s="45"/>
      <c r="J43" s="45"/>
      <c r="L43" s="24"/>
      <c r="O43" s="39"/>
      <c r="P43" s="12"/>
    </row>
    <row r="44" spans="1:16">
      <c r="A44" s="4">
        <f>A42+1</f>
        <v>205</v>
      </c>
      <c r="C44" s="2" t="s">
        <v>37</v>
      </c>
      <c r="D44" s="2"/>
      <c r="E44" s="416">
        <f>E40+E41</f>
        <v>5.1269807947588814E-2</v>
      </c>
      <c r="F44" s="12" t="str">
        <f>"Line "&amp;A40&amp;" + Line "&amp;A41&amp;""</f>
        <v>Line 202 + Line 203</v>
      </c>
      <c r="G44" s="13"/>
      <c r="H44" s="416">
        <f>E44</f>
        <v>5.1269807947588814E-2</v>
      </c>
      <c r="I44" s="416">
        <f t="shared" ref="I44:J44" si="12">I40+I41</f>
        <v>5.1269807947588814E-2</v>
      </c>
      <c r="J44" s="416">
        <f t="shared" si="12"/>
        <v>5.1269807947588814E-2</v>
      </c>
      <c r="K44" s="28" t="s">
        <v>1344</v>
      </c>
      <c r="L44" s="4">
        <f>A44</f>
        <v>205</v>
      </c>
      <c r="O44" s="39"/>
      <c r="P44" s="12"/>
    </row>
    <row r="45" spans="1:16">
      <c r="F45" s="12"/>
      <c r="G45" s="12"/>
      <c r="I45" s="45"/>
      <c r="J45" s="45"/>
      <c r="L45" s="4"/>
      <c r="P45" s="12"/>
    </row>
    <row r="46" spans="1:16">
      <c r="A46" s="425">
        <f>A44+1</f>
        <v>206</v>
      </c>
      <c r="C46" s="2" t="s">
        <v>777</v>
      </c>
      <c r="D46" s="2"/>
      <c r="E46" s="73">
        <f>E42*E29</f>
        <v>1285718622.7390544</v>
      </c>
      <c r="F46" s="45" t="str">
        <f>"Line "&amp;A29&amp;" * Line "&amp;A42&amp;""</f>
        <v>Line 113 * Line 204</v>
      </c>
      <c r="G46" s="12"/>
      <c r="H46" s="20">
        <f>I46+J46</f>
        <v>1189804210.90904</v>
      </c>
      <c r="I46" s="73">
        <f t="shared" ref="I46:J46" si="13">I42*I29</f>
        <v>632075509.31327713</v>
      </c>
      <c r="J46" s="73">
        <f t="shared" si="13"/>
        <v>557728701.59576273</v>
      </c>
      <c r="K46" s="73" t="str">
        <f>"Line "&amp;A29&amp;" * Line "&amp;A42&amp;""</f>
        <v>Line 113 * Line 204</v>
      </c>
      <c r="L46" s="656">
        <f>A46</f>
        <v>206</v>
      </c>
      <c r="P46" s="12"/>
    </row>
    <row r="47" spans="1:16">
      <c r="F47" s="12"/>
      <c r="G47" s="12"/>
      <c r="I47" s="45"/>
      <c r="J47" s="45"/>
      <c r="L47" s="24"/>
      <c r="P47" s="12"/>
    </row>
    <row r="48" spans="1:16">
      <c r="C48" s="60" t="s">
        <v>118</v>
      </c>
      <c r="D48" s="62"/>
      <c r="E48" s="62"/>
      <c r="F48" s="62"/>
      <c r="G48" s="62"/>
      <c r="H48" s="307"/>
      <c r="I48" s="307"/>
      <c r="J48" s="307"/>
      <c r="K48" s="307"/>
      <c r="L48" s="24"/>
      <c r="P48" s="12"/>
    </row>
    <row r="49" spans="1:16">
      <c r="A49" s="427"/>
      <c r="C49" s="23"/>
      <c r="D49" s="24"/>
      <c r="E49" s="24"/>
      <c r="F49" s="24"/>
      <c r="G49" s="24"/>
      <c r="H49" s="46"/>
      <c r="I49" s="46"/>
      <c r="J49" s="46"/>
      <c r="K49" s="46"/>
      <c r="L49" s="24"/>
      <c r="P49" s="12"/>
    </row>
    <row r="50" spans="1:16" s="24" customFormat="1" ht="30">
      <c r="A50" s="3" t="s">
        <v>86</v>
      </c>
      <c r="B50" s="3"/>
      <c r="C50" s="178" t="s">
        <v>91</v>
      </c>
      <c r="D50" s="696"/>
      <c r="E50" s="178" t="s">
        <v>1109</v>
      </c>
      <c r="F50" s="178" t="s">
        <v>38</v>
      </c>
      <c r="G50" s="178" t="s">
        <v>8</v>
      </c>
      <c r="H50" s="178" t="s">
        <v>1296</v>
      </c>
      <c r="I50" s="178" t="s">
        <v>1023</v>
      </c>
      <c r="J50" s="178" t="s">
        <v>1024</v>
      </c>
      <c r="K50" s="178" t="s">
        <v>38</v>
      </c>
      <c r="L50" s="10" t="str">
        <f>A50</f>
        <v>Line</v>
      </c>
    </row>
    <row r="51" spans="1:16">
      <c r="A51" s="4">
        <v>300</v>
      </c>
      <c r="C51" s="12" t="s">
        <v>40</v>
      </c>
      <c r="E51" s="30">
        <f>'22-TaxRates'!C13</f>
        <v>0.21</v>
      </c>
      <c r="F51" s="46" t="s">
        <v>786</v>
      </c>
      <c r="G51" s="12"/>
      <c r="H51" s="30">
        <f>E51</f>
        <v>0.21</v>
      </c>
      <c r="I51" s="30">
        <f>E51</f>
        <v>0.21</v>
      </c>
      <c r="J51" s="30">
        <f>E51</f>
        <v>0.21</v>
      </c>
      <c r="K51" s="28" t="s">
        <v>1345</v>
      </c>
      <c r="L51" s="4">
        <f>A51</f>
        <v>300</v>
      </c>
      <c r="P51" s="12"/>
    </row>
    <row r="52" spans="1:16">
      <c r="A52" s="4">
        <f>A51+1</f>
        <v>301</v>
      </c>
      <c r="C52" s="12" t="s">
        <v>41</v>
      </c>
      <c r="E52" s="330">
        <f>'22-TaxRates'!C14</f>
        <v>8.8400000000000006E-2</v>
      </c>
      <c r="F52" s="46" t="s">
        <v>787</v>
      </c>
      <c r="G52" s="12"/>
      <c r="H52" s="665">
        <f t="shared" ref="H52:H53" si="14">E52</f>
        <v>8.8400000000000006E-2</v>
      </c>
      <c r="I52" s="665">
        <f>E52</f>
        <v>8.8400000000000006E-2</v>
      </c>
      <c r="J52" s="665">
        <f>E52</f>
        <v>8.8400000000000006E-2</v>
      </c>
      <c r="K52" s="28" t="s">
        <v>1346</v>
      </c>
      <c r="L52" s="4">
        <f>A52</f>
        <v>301</v>
      </c>
      <c r="P52" s="12"/>
    </row>
    <row r="53" spans="1:16">
      <c r="A53" s="4">
        <f>A52+1</f>
        <v>302</v>
      </c>
      <c r="C53" s="2" t="s">
        <v>42</v>
      </c>
      <c r="D53" s="2"/>
      <c r="E53" s="311">
        <f>'22-TaxRates'!C16</f>
        <v>0.27983599999999997</v>
      </c>
      <c r="F53" s="46" t="s">
        <v>1351</v>
      </c>
      <c r="G53" s="12"/>
      <c r="H53" s="311">
        <f t="shared" si="14"/>
        <v>0.27983599999999997</v>
      </c>
      <c r="I53" s="311">
        <f t="shared" ref="I53:J53" si="15">(I51+I52)-(I51*I52)</f>
        <v>0.27983599999999997</v>
      </c>
      <c r="J53" s="311">
        <f t="shared" si="15"/>
        <v>0.27983599999999997</v>
      </c>
      <c r="K53" s="28" t="s">
        <v>1347</v>
      </c>
      <c r="L53" s="4">
        <f>A53</f>
        <v>302</v>
      </c>
      <c r="P53" s="12"/>
    </row>
    <row r="54" spans="1:16">
      <c r="F54" s="12"/>
      <c r="G54" s="12"/>
      <c r="I54" s="45"/>
      <c r="J54" s="45"/>
      <c r="L54" s="24"/>
      <c r="P54" s="12"/>
    </row>
    <row r="55" spans="1:16">
      <c r="A55" s="4">
        <f>A53+1</f>
        <v>303</v>
      </c>
      <c r="C55" s="2" t="s">
        <v>45</v>
      </c>
      <c r="E55" s="20">
        <f>(((E60*E61)+E64)*(E62/(1-E62)))+E63/(1-E62)</f>
        <v>327068831.46122277</v>
      </c>
      <c r="F55" s="12" t="str">
        <f>"Line "&amp;A57</f>
        <v>Line 304</v>
      </c>
      <c r="G55" s="12"/>
      <c r="H55" s="392">
        <f>I55+J55</f>
        <v>301401488.35970938</v>
      </c>
      <c r="I55" s="20">
        <f t="shared" ref="I55:J55" si="16">(((I60*I61)+I64)*(I62/(1-I62)))+I63/(1-I62)</f>
        <v>160937320.92443022</v>
      </c>
      <c r="J55" s="20">
        <f t="shared" si="16"/>
        <v>140464167.43527916</v>
      </c>
      <c r="K55" s="45" t="str">
        <f>"Line "&amp;A57</f>
        <v>Line 304</v>
      </c>
      <c r="L55" s="4">
        <f>A55</f>
        <v>303</v>
      </c>
      <c r="P55" s="12"/>
    </row>
    <row r="56" spans="1:16">
      <c r="F56" s="12"/>
      <c r="G56" s="12"/>
      <c r="I56" s="45"/>
      <c r="J56" s="45"/>
      <c r="L56" s="24"/>
      <c r="P56" s="12"/>
    </row>
    <row r="57" spans="1:16">
      <c r="A57" s="11">
        <f>A55+1</f>
        <v>304</v>
      </c>
      <c r="B57" s="11"/>
      <c r="C57" s="46" t="s">
        <v>1020</v>
      </c>
      <c r="D57" s="24"/>
      <c r="E57" s="24"/>
      <c r="F57" s="24"/>
      <c r="G57" s="24"/>
      <c r="H57" s="46"/>
      <c r="I57" s="46"/>
      <c r="J57" s="46"/>
      <c r="K57" s="46"/>
      <c r="L57" s="4">
        <f>A57</f>
        <v>304</v>
      </c>
      <c r="P57" s="12"/>
    </row>
    <row r="58" spans="1:16">
      <c r="F58" s="12"/>
      <c r="G58" s="12"/>
      <c r="I58" s="45"/>
      <c r="J58" s="45"/>
      <c r="L58" s="24"/>
      <c r="P58" s="12"/>
    </row>
    <row r="59" spans="1:16">
      <c r="C59" s="12" t="s">
        <v>46</v>
      </c>
      <c r="F59" s="12"/>
      <c r="G59" s="12"/>
      <c r="I59" s="45"/>
      <c r="J59" s="45"/>
      <c r="L59" s="24"/>
      <c r="P59" s="12"/>
    </row>
    <row r="60" spans="1:16">
      <c r="A60" s="4">
        <f>A57+1</f>
        <v>305</v>
      </c>
      <c r="C60" s="35" t="s">
        <v>47</v>
      </c>
      <c r="D60" s="35"/>
      <c r="E60" s="18">
        <f>+E29</f>
        <v>18679202695.340034</v>
      </c>
      <c r="F60" s="12" t="str">
        <f>"Line "&amp;A29&amp;" col 1"</f>
        <v>Line 113 col 1</v>
      </c>
      <c r="G60" s="17"/>
      <c r="H60" s="32">
        <f>I60+J60</f>
        <v>17285737042.520615</v>
      </c>
      <c r="I60" s="705">
        <f>+I29</f>
        <v>9182931901.5932426</v>
      </c>
      <c r="J60" s="705">
        <f>+J29</f>
        <v>8102805140.927371</v>
      </c>
      <c r="K60" s="18" t="str">
        <f>"Line "&amp;A29</f>
        <v>Line 113</v>
      </c>
      <c r="L60" s="4">
        <f>A60</f>
        <v>305</v>
      </c>
      <c r="P60" s="12"/>
    </row>
    <row r="61" spans="1:16">
      <c r="A61" s="4">
        <f>A60+1</f>
        <v>306</v>
      </c>
      <c r="C61" s="14" t="s">
        <v>48</v>
      </c>
      <c r="D61" s="14"/>
      <c r="E61" s="33">
        <f>E44</f>
        <v>5.1269807947588814E-2</v>
      </c>
      <c r="F61" s="12" t="str">
        <f>"Line "&amp;A44</f>
        <v>Line 205</v>
      </c>
      <c r="G61" s="12"/>
      <c r="H61" s="322">
        <f>E61</f>
        <v>5.1269807947588814E-2</v>
      </c>
      <c r="I61" s="322">
        <f>I44</f>
        <v>5.1269807947588814E-2</v>
      </c>
      <c r="J61" s="322">
        <f>J44</f>
        <v>5.1269807947588814E-2</v>
      </c>
      <c r="K61" s="322" t="str">
        <f>"Line "&amp;A44</f>
        <v>Line 205</v>
      </c>
      <c r="L61" s="4">
        <f>A61</f>
        <v>306</v>
      </c>
      <c r="P61" s="12"/>
    </row>
    <row r="62" spans="1:16">
      <c r="A62" s="4">
        <f t="shared" ref="A62:A63" si="17">A61+1</f>
        <v>307</v>
      </c>
      <c r="C62" s="35" t="s">
        <v>49</v>
      </c>
      <c r="D62" s="35"/>
      <c r="E62" s="27">
        <f>E53</f>
        <v>0.27983599999999997</v>
      </c>
      <c r="F62" s="12" t="str">
        <f>"Line "&amp;A53</f>
        <v>Line 302</v>
      </c>
      <c r="G62" s="12"/>
      <c r="H62" s="322">
        <f>E62</f>
        <v>0.27983599999999997</v>
      </c>
      <c r="I62" s="670">
        <f t="shared" ref="I62:J62" si="18">I53</f>
        <v>0.27983599999999997</v>
      </c>
      <c r="J62" s="670">
        <f t="shared" si="18"/>
        <v>0.27983599999999997</v>
      </c>
      <c r="K62" s="123" t="str">
        <f>"Line "&amp;A53</f>
        <v>Line 302</v>
      </c>
      <c r="L62" s="4">
        <f>A62</f>
        <v>307</v>
      </c>
      <c r="P62" s="12"/>
    </row>
    <row r="63" spans="1:16">
      <c r="A63" s="4">
        <f t="shared" si="17"/>
        <v>308</v>
      </c>
      <c r="C63" s="35" t="s">
        <v>50</v>
      </c>
      <c r="D63" s="35"/>
      <c r="E63" s="18">
        <f>'1-DRR'!E87</f>
        <v>-36694203.888277099</v>
      </c>
      <c r="F63" s="12" t="str">
        <f>CONCATENATE("1-DRR, L. ",'1-DRR'!A87,", col 1")</f>
        <v>1-DRR, L. 407, col 1</v>
      </c>
      <c r="G63" s="12"/>
      <c r="H63" s="32">
        <f>I63+J63</f>
        <v>-34989475.831753403</v>
      </c>
      <c r="I63" s="705">
        <f>'1-DRR'!I87</f>
        <v>-17920312.581720188</v>
      </c>
      <c r="J63" s="705">
        <f>'1-DRR'!J87</f>
        <v>-17069163.250033211</v>
      </c>
      <c r="K63" t="str">
        <f>CONCATENATE("1-DRR, L. ",'1-DRR'!A87,", col 3 and col 4")</f>
        <v>1-DRR, L. 407, col 3 and col 4</v>
      </c>
      <c r="L63" s="4">
        <f>A63</f>
        <v>308</v>
      </c>
      <c r="P63" s="12"/>
    </row>
    <row r="64" spans="1:16">
      <c r="A64" s="4">
        <f>A63+1</f>
        <v>309</v>
      </c>
      <c r="C64" s="35" t="s">
        <v>97</v>
      </c>
      <c r="D64" s="35"/>
      <c r="E64" s="18">
        <f>'1-DRR'!E82</f>
        <v>15167110.241921386</v>
      </c>
      <c r="F64" s="12" t="str">
        <f>CONCATENATE("1-DRR, L. ",'1-DRR'!A82,", col 1")</f>
        <v>1-DRR, L. 404, col 1</v>
      </c>
      <c r="G64" s="24"/>
      <c r="H64" s="32">
        <f>I64+J64</f>
        <v>14462481.291678604</v>
      </c>
      <c r="I64" s="705">
        <f>'1-DRR'!I82</f>
        <v>7407146.843250474</v>
      </c>
      <c r="J64" s="705">
        <f>'1-DRR'!J82</f>
        <v>7055334.4484281307</v>
      </c>
      <c r="K64" t="str">
        <f>CONCATENATE("1-DRR, L. ",'1-DRR'!A82,", col 3 and col 4")</f>
        <v>1-DRR, L. 404, col 3 and col 4</v>
      </c>
      <c r="L64" s="4">
        <f>A64</f>
        <v>309</v>
      </c>
      <c r="P64" s="12"/>
    </row>
    <row r="65" spans="1:16">
      <c r="A65" s="425"/>
      <c r="C65" s="221"/>
      <c r="D65" s="35"/>
      <c r="E65" s="31"/>
      <c r="F65" s="12"/>
      <c r="G65" s="24"/>
      <c r="H65" s="46"/>
      <c r="I65" s="31"/>
      <c r="J65" s="31"/>
      <c r="K65" s="31"/>
      <c r="L65" s="425"/>
      <c r="P65" s="12"/>
    </row>
    <row r="66" spans="1:16">
      <c r="F66" s="12"/>
      <c r="G66" s="12"/>
      <c r="I66" s="45"/>
      <c r="J66" s="45"/>
      <c r="L66" s="24"/>
      <c r="P66" s="12"/>
    </row>
    <row r="67" spans="1:16">
      <c r="C67" s="60" t="s">
        <v>1035</v>
      </c>
      <c r="D67" s="62"/>
      <c r="E67" s="62"/>
      <c r="F67" s="62"/>
      <c r="G67" s="62"/>
      <c r="H67" s="307"/>
      <c r="I67" s="307"/>
      <c r="J67" s="307"/>
      <c r="K67" s="307"/>
      <c r="L67" s="24"/>
      <c r="P67" s="12"/>
    </row>
    <row r="68" spans="1:16" s="24" customFormat="1">
      <c r="A68" s="11"/>
      <c r="B68" s="11"/>
      <c r="C68" s="53" t="s">
        <v>93</v>
      </c>
      <c r="H68" s="46"/>
      <c r="I68" s="46"/>
      <c r="J68" s="46"/>
      <c r="K68" s="46"/>
    </row>
    <row r="69" spans="1:16" s="24" customFormat="1" ht="15" customHeight="1">
      <c r="A69" s="11"/>
      <c r="B69" s="11"/>
      <c r="C69" s="266" t="str">
        <f>"1) Input the Annual True-up Adjustment that was included in the Prior Year's rates on Line "&amp;" and input the Rate Year the ATA trued-up. (For example,  if the Prior Year is 2021, then the ATA that was included in the 2021 rates was the ATA for 2019.)"</f>
        <v>1) Input the Annual True-up Adjustment that was included in the Prior Year's rates on Line  and input the Rate Year the ATA trued-up. (For example,  if the Prior Year is 2021, then the ATA that was included in the 2021 rates was the ATA for 2019.)</v>
      </c>
      <c r="D69" s="266"/>
      <c r="E69" s="266"/>
      <c r="F69" s="266"/>
      <c r="G69" s="266"/>
      <c r="H69" s="266"/>
      <c r="I69" s="266"/>
      <c r="J69" s="266"/>
      <c r="K69" s="266"/>
    </row>
    <row r="70" spans="1:16" s="24" customFormat="1">
      <c r="A70" s="11"/>
      <c r="B70" s="11"/>
      <c r="C70" s="266"/>
      <c r="D70" s="266"/>
      <c r="E70" s="266"/>
      <c r="F70" s="266"/>
      <c r="G70" s="266"/>
      <c r="H70" s="266"/>
      <c r="I70" s="266"/>
      <c r="J70" s="266"/>
      <c r="K70" s="266"/>
    </row>
    <row r="71" spans="1:16" s="24" customFormat="1">
      <c r="A71" s="11"/>
      <c r="B71" s="11"/>
      <c r="C71" s="48"/>
      <c r="H71" s="46"/>
      <c r="I71" s="46"/>
      <c r="J71" s="46"/>
      <c r="K71" s="46"/>
    </row>
    <row r="72" spans="1:16" s="24" customFormat="1" ht="30">
      <c r="A72" s="3" t="s">
        <v>86</v>
      </c>
      <c r="B72" s="3"/>
      <c r="C72" s="178" t="s">
        <v>91</v>
      </c>
      <c r="D72" s="696"/>
      <c r="E72" s="178" t="s">
        <v>1109</v>
      </c>
      <c r="F72" s="178" t="s">
        <v>38</v>
      </c>
      <c r="G72" s="178" t="s">
        <v>8</v>
      </c>
      <c r="H72" s="178" t="s">
        <v>1296</v>
      </c>
      <c r="I72" s="178" t="s">
        <v>1023</v>
      </c>
      <c r="J72" s="178" t="s">
        <v>1024</v>
      </c>
      <c r="K72" s="178" t="s">
        <v>38</v>
      </c>
      <c r="L72" s="10" t="str">
        <f>A72</f>
        <v>Line</v>
      </c>
    </row>
    <row r="73" spans="1:16">
      <c r="C73" s="1" t="s">
        <v>1406</v>
      </c>
      <c r="D73" s="1"/>
      <c r="F73" s="12"/>
      <c r="G73" s="12"/>
      <c r="I73" s="45"/>
      <c r="J73" s="45"/>
      <c r="L73" s="24"/>
      <c r="P73" s="12"/>
    </row>
    <row r="74" spans="1:16">
      <c r="A74" s="4">
        <v>400</v>
      </c>
      <c r="C74" s="12" t="s">
        <v>51</v>
      </c>
      <c r="E74" s="18">
        <f>'1-DRR'!E104</f>
        <v>3087054872.4997315</v>
      </c>
      <c r="F74" s="12" t="str">
        <f>CONCATENATE("1-DRR, L. ",'1-DRR'!A104,", col 1")</f>
        <v>1-DRR, L. 500, col 1</v>
      </c>
      <c r="G74" s="12"/>
      <c r="H74" s="31">
        <f t="shared" ref="H74:H83" si="19">I74+J74</f>
        <v>3031021929.0419021</v>
      </c>
      <c r="I74" s="31">
        <f>'18-OandM'!M11</f>
        <v>2235722150.0976667</v>
      </c>
      <c r="J74" s="31">
        <f>'18-OandM'!N11</f>
        <v>795299778.94423544</v>
      </c>
      <c r="K74" s="732" t="s">
        <v>1265</v>
      </c>
      <c r="L74" s="4">
        <f t="shared" ref="L74:L83" si="20">A74</f>
        <v>400</v>
      </c>
      <c r="P74" s="12"/>
    </row>
    <row r="75" spans="1:16">
      <c r="A75" s="4">
        <f>A74+1</f>
        <v>401</v>
      </c>
      <c r="C75" s="12" t="s">
        <v>52</v>
      </c>
      <c r="E75" s="18">
        <f>'1-DRR'!E105</f>
        <v>787626334.20073271</v>
      </c>
      <c r="F75" s="12" t="str">
        <f>CONCATENATE("1-DRR, L. ",'1-DRR'!A105,", col 1")</f>
        <v>1-DRR, L. 501, col 1</v>
      </c>
      <c r="G75" s="12"/>
      <c r="H75" s="18">
        <f t="shared" si="19"/>
        <v>751035031.8234694</v>
      </c>
      <c r="I75" s="31">
        <f>E75*$I$4</f>
        <v>384652305.01923448</v>
      </c>
      <c r="J75" s="31">
        <f>E75*$J$4</f>
        <v>366382726.80423498</v>
      </c>
      <c r="K75" s="732" t="s">
        <v>1313</v>
      </c>
      <c r="L75" s="4">
        <f t="shared" si="20"/>
        <v>401</v>
      </c>
      <c r="P75" s="12"/>
    </row>
    <row r="76" spans="1:16" s="24" customFormat="1">
      <c r="A76" s="637">
        <f t="shared" ref="A76:A83" si="21">A75+1</f>
        <v>402</v>
      </c>
      <c r="B76" s="435"/>
      <c r="C76" s="45" t="s">
        <v>1018</v>
      </c>
      <c r="D76" s="12"/>
      <c r="E76" s="18">
        <f>'1-DRR'!E106</f>
        <v>1407258088.55</v>
      </c>
      <c r="F76" s="12" t="str">
        <f>CONCATENATE("1-DRR, L. ",'1-DRR'!A106,", col 1")</f>
        <v>1-DRR, L. 502, col 1</v>
      </c>
      <c r="G76" s="12"/>
      <c r="H76" s="18">
        <f t="shared" si="19"/>
        <v>1305760496.5500002</v>
      </c>
      <c r="I76" s="18">
        <f>'1-DRR'!I106</f>
        <v>707882511.60975552</v>
      </c>
      <c r="J76" s="18">
        <f>'1-DRR'!J106</f>
        <v>597877984.94024456</v>
      </c>
      <c r="K76" s="18" t="str">
        <f>CONCATENATE("1-DRR, L. ",'1-DRR'!A106,", col 3 and col 4")</f>
        <v>1-DRR, L. 502, col 3 and col 4</v>
      </c>
      <c r="L76" s="4">
        <f t="shared" si="20"/>
        <v>402</v>
      </c>
    </row>
    <row r="77" spans="1:16">
      <c r="A77" s="637">
        <f t="shared" si="21"/>
        <v>403</v>
      </c>
      <c r="C77" s="45" t="s">
        <v>1019</v>
      </c>
      <c r="E77" s="18">
        <f>'1-DRR'!E107</f>
        <v>187565445.87686914</v>
      </c>
      <c r="F77" s="45" t="str">
        <f>CONCATENATE("1-DRR, L. ",'1-DRR'!A107,", col 1")</f>
        <v>1-DRR, L. 503, col 1</v>
      </c>
      <c r="G77" s="12"/>
      <c r="H77" s="18">
        <f t="shared" si="19"/>
        <v>132053265.14053684</v>
      </c>
      <c r="I77" s="18">
        <f>'1-DRR'!I107</f>
        <v>67632787.64546749</v>
      </c>
      <c r="J77" s="18">
        <f>'1-DRR'!J107</f>
        <v>64420477.495069362</v>
      </c>
      <c r="K77" s="18" t="str">
        <f>CONCATENATE("1-DRR, L. ",'1-DRR'!A107,", col 3 and col 4")</f>
        <v>1-DRR, L. 503, col 3 and col 4</v>
      </c>
      <c r="L77" s="4">
        <f t="shared" si="20"/>
        <v>403</v>
      </c>
      <c r="P77" s="12"/>
    </row>
    <row r="78" spans="1:16">
      <c r="A78" s="637">
        <f t="shared" si="21"/>
        <v>404</v>
      </c>
      <c r="C78" s="12" t="s">
        <v>54</v>
      </c>
      <c r="E78" s="18">
        <f>E46</f>
        <v>1285718622.7390544</v>
      </c>
      <c r="F78" s="12" t="str">
        <f>"Line "&amp;A46&amp;", col 1"</f>
        <v>Line 206, col 1</v>
      </c>
      <c r="G78" s="12"/>
      <c r="H78" s="18">
        <f t="shared" si="19"/>
        <v>1189804210.90904</v>
      </c>
      <c r="I78" s="18">
        <f>I46</f>
        <v>632075509.31327713</v>
      </c>
      <c r="J78" s="18">
        <f>J46</f>
        <v>557728701.59576273</v>
      </c>
      <c r="K78" s="18" t="str">
        <f>"Line "&amp;A46&amp;", col 3 and col 4"</f>
        <v>Line 206, col 3 and col 4</v>
      </c>
      <c r="L78" s="4">
        <f t="shared" si="20"/>
        <v>404</v>
      </c>
      <c r="P78" s="12"/>
    </row>
    <row r="79" spans="1:16">
      <c r="A79" s="637">
        <f t="shared" si="21"/>
        <v>405</v>
      </c>
      <c r="C79" s="12" t="s">
        <v>14</v>
      </c>
      <c r="E79" s="18">
        <f>'1-DRR'!E109</f>
        <v>284620544.68418437</v>
      </c>
      <c r="F79" s="12" t="str">
        <f>CONCATENATE("1-DRR, L. ",'1-DRR'!A109,", col 1")</f>
        <v>1-DRR, L. 505, col 1</v>
      </c>
      <c r="G79" s="12"/>
      <c r="H79" s="18">
        <f t="shared" si="19"/>
        <v>271397730.81789976</v>
      </c>
      <c r="I79" s="18">
        <f>'1-DRR'!I109</f>
        <v>138999857.94621706</v>
      </c>
      <c r="J79" s="18">
        <f>'1-DRR'!J109</f>
        <v>132397872.87168269</v>
      </c>
      <c r="K79" s="18" t="str">
        <f>CONCATENATE("1-DRR, L. ",'1-DRR'!A109,", col 3 and col 4")</f>
        <v>1-DRR, L. 505, col 3 and col 4</v>
      </c>
      <c r="L79" s="4">
        <f t="shared" si="20"/>
        <v>405</v>
      </c>
      <c r="P79" s="12"/>
    </row>
    <row r="80" spans="1:16">
      <c r="A80" s="637">
        <f t="shared" si="21"/>
        <v>406</v>
      </c>
      <c r="C80" s="12" t="s">
        <v>39</v>
      </c>
      <c r="E80" s="18">
        <f>E55</f>
        <v>327068831.46122277</v>
      </c>
      <c r="F80" s="12" t="str">
        <f>"Line "&amp;A55&amp;", col 1"</f>
        <v>Line 303, col 1</v>
      </c>
      <c r="G80" s="12"/>
      <c r="H80" s="18">
        <f t="shared" si="19"/>
        <v>301401488.35970938</v>
      </c>
      <c r="I80" s="18">
        <f t="shared" ref="I80:J80" si="22">I55</f>
        <v>160937320.92443022</v>
      </c>
      <c r="J80" s="18">
        <f t="shared" si="22"/>
        <v>140464167.43527916</v>
      </c>
      <c r="K80" s="18" t="str">
        <f>"Line "&amp;A55&amp;", col 3 and col 4"</f>
        <v>Line 303, col 3 and col 4</v>
      </c>
      <c r="L80" s="4">
        <f t="shared" si="20"/>
        <v>406</v>
      </c>
      <c r="P80" s="12"/>
    </row>
    <row r="81" spans="1:16">
      <c r="A81" s="637">
        <f t="shared" si="21"/>
        <v>407</v>
      </c>
      <c r="C81" s="12" t="s">
        <v>53</v>
      </c>
      <c r="E81" s="18">
        <f>'1-DRR'!E111</f>
        <v>-245369132.92999998</v>
      </c>
      <c r="F81" s="12" t="str">
        <f>CONCATENATE("1-DRR, L. ",'1-DRR'!A111,", col 1")</f>
        <v>1-DRR, L. 507, col 1</v>
      </c>
      <c r="G81" s="45" t="s">
        <v>119</v>
      </c>
      <c r="H81" s="18">
        <f t="shared" si="19"/>
        <v>-233969849.09802955</v>
      </c>
      <c r="I81" s="18">
        <f>'1-DRR'!I111</f>
        <v>-119830684.25190759</v>
      </c>
      <c r="J81" s="18">
        <f>'1-DRR'!J111</f>
        <v>-114139164.84612198</v>
      </c>
      <c r="K81" s="18" t="str">
        <f>CONCATENATE("1-DRR, L. ",'1-DRR'!A111,", col 3 and col 4")</f>
        <v>1-DRR, L. 507, col 3 and col 4</v>
      </c>
      <c r="L81" s="4">
        <f t="shared" si="20"/>
        <v>407</v>
      </c>
      <c r="P81" s="12"/>
    </row>
    <row r="82" spans="1:16" s="24" customFormat="1">
      <c r="A82" s="637">
        <f t="shared" si="21"/>
        <v>408</v>
      </c>
      <c r="B82" s="435"/>
      <c r="C82" s="24" t="s">
        <v>55</v>
      </c>
      <c r="E82" s="19">
        <f>'1-DRR'!E112</f>
        <v>0</v>
      </c>
      <c r="F82" s="12" t="str">
        <f>CONCATENATE("1-DRR, L. ",'1-DRR'!A112,", col 1")</f>
        <v>1-DRR, L. 508, col 1</v>
      </c>
      <c r="G82" s="12"/>
      <c r="H82" s="19">
        <f t="shared" si="19"/>
        <v>0</v>
      </c>
      <c r="I82" s="19">
        <f>'1-DRR'!I112</f>
        <v>0</v>
      </c>
      <c r="J82" s="19">
        <f>'1-DRR'!J112</f>
        <v>0</v>
      </c>
      <c r="K82" s="18" t="str">
        <f>CONCATENATE("1-DRR, L. ",'1-DRR'!A112,", col 3 and col 4")</f>
        <v>1-DRR, L. 508, col 3 and col 4</v>
      </c>
      <c r="L82" s="4">
        <f t="shared" si="20"/>
        <v>408</v>
      </c>
    </row>
    <row r="83" spans="1:16" s="24" customFormat="1">
      <c r="A83" s="637">
        <f t="shared" si="21"/>
        <v>409</v>
      </c>
      <c r="B83" s="11"/>
      <c r="C83" s="7" t="s">
        <v>1021</v>
      </c>
      <c r="D83" s="7"/>
      <c r="E83" s="20">
        <f>SUM(E74:E82)</f>
        <v>7121543607.0817947</v>
      </c>
      <c r="F83" s="24" t="str">
        <f>"Sum Lines "&amp;A74&amp;" to "&amp;A82&amp;""</f>
        <v>Sum Lines 400 to 408</v>
      </c>
      <c r="H83" s="20">
        <f t="shared" si="19"/>
        <v>6748504303.544528</v>
      </c>
      <c r="I83" s="20">
        <f t="shared" ref="I83:J83" si="23">SUM(I74:I82)</f>
        <v>4208071758.304141</v>
      </c>
      <c r="J83" s="20">
        <f t="shared" si="23"/>
        <v>2540432545.240387</v>
      </c>
      <c r="K83" s="46" t="str">
        <f>"Sum Lines "&amp;A74&amp;" to "&amp;A82&amp;""</f>
        <v>Sum Lines 400 to 408</v>
      </c>
      <c r="L83" s="11">
        <f t="shared" si="20"/>
        <v>409</v>
      </c>
    </row>
    <row r="84" spans="1:16">
      <c r="F84" s="12"/>
      <c r="G84" s="12"/>
      <c r="I84" s="45"/>
      <c r="J84" s="45"/>
      <c r="L84" s="4"/>
      <c r="P84" s="12"/>
    </row>
    <row r="85" spans="1:16">
      <c r="C85" s="1" t="s">
        <v>56</v>
      </c>
      <c r="D85" s="1"/>
      <c r="F85" s="12"/>
      <c r="G85" s="12"/>
      <c r="I85" s="45"/>
      <c r="J85" s="45"/>
      <c r="L85" s="24"/>
      <c r="P85" s="12"/>
    </row>
    <row r="86" spans="1:16">
      <c r="A86" s="4">
        <f>A83+1</f>
        <v>410</v>
      </c>
      <c r="C86" s="12" t="s">
        <v>103</v>
      </c>
      <c r="E86" s="15">
        <f>'1-DRR'!E116</f>
        <v>7.4569999999999992E-3</v>
      </c>
      <c r="F86" s="12" t="str">
        <f>CONCATENATE("1-DRR, L. ",'1-DRR'!A116)</f>
        <v>1-DRR, L. 510</v>
      </c>
      <c r="G86" s="12"/>
      <c r="H86" s="15">
        <f>E86</f>
        <v>7.4569999999999992E-3</v>
      </c>
      <c r="I86" s="15">
        <f>E86</f>
        <v>7.4569999999999992E-3</v>
      </c>
      <c r="J86" s="15">
        <f>E86</f>
        <v>7.4569999999999992E-3</v>
      </c>
      <c r="K86" s="28" t="s">
        <v>1348</v>
      </c>
      <c r="L86" s="11">
        <f>A86</f>
        <v>410</v>
      </c>
      <c r="P86" s="12"/>
    </row>
    <row r="87" spans="1:16">
      <c r="A87" s="4">
        <f>A86+1</f>
        <v>411</v>
      </c>
      <c r="C87" s="12" t="s">
        <v>99</v>
      </c>
      <c r="D87" s="2"/>
      <c r="E87" s="42">
        <f>'1-DRR'!E117</f>
        <v>2.7300000000000002E-4</v>
      </c>
      <c r="F87" s="12" t="str">
        <f>CONCATENATE("1-DRR, L. ",'1-DRR'!A117)</f>
        <v>1-DRR, L. 511</v>
      </c>
      <c r="G87" s="12"/>
      <c r="H87" s="42">
        <f>E87</f>
        <v>2.7300000000000002E-4</v>
      </c>
      <c r="I87" s="42">
        <f>E87</f>
        <v>2.7300000000000002E-4</v>
      </c>
      <c r="J87" s="42">
        <f>E87</f>
        <v>2.7300000000000002E-4</v>
      </c>
      <c r="K87" s="28" t="s">
        <v>1349</v>
      </c>
      <c r="L87" s="4">
        <f>A87</f>
        <v>411</v>
      </c>
      <c r="P87" s="12"/>
    </row>
    <row r="88" spans="1:16">
      <c r="A88" s="4">
        <f>A87+1</f>
        <v>412</v>
      </c>
      <c r="C88" s="2" t="s">
        <v>104</v>
      </c>
      <c r="D88" s="2"/>
      <c r="E88" s="20">
        <f>(E86+E87)*E83</f>
        <v>55049532.082742266</v>
      </c>
      <c r="F88" s="13" t="str">
        <f>"Line "&amp;A83&amp;" * ( Line "&amp;A86&amp;" + Line "&amp;A87&amp;")"</f>
        <v>Line 409 * ( Line 410 + Line 411)</v>
      </c>
      <c r="G88" s="12"/>
      <c r="H88" s="20">
        <f>I88+J88</f>
        <v>52165938.266399197</v>
      </c>
      <c r="I88" s="20">
        <f t="shared" ref="I88:J88" si="24">(I86+I87)*I83</f>
        <v>32528394.691691007</v>
      </c>
      <c r="J88" s="20">
        <f t="shared" si="24"/>
        <v>19637543.57470819</v>
      </c>
      <c r="K88" s="705" t="str">
        <f>"Line "&amp;A83&amp;" * ( Line "&amp;A86&amp;" + Line "&amp;A87&amp;")"</f>
        <v>Line 409 * ( Line 410 + Line 411)</v>
      </c>
      <c r="L88" s="4">
        <f>A88</f>
        <v>412</v>
      </c>
      <c r="P88" s="12"/>
    </row>
    <row r="89" spans="1:16">
      <c r="C89" s="2"/>
      <c r="D89" s="2"/>
      <c r="E89" s="18"/>
      <c r="F89" s="12"/>
      <c r="G89" s="12"/>
      <c r="H89" s="18"/>
      <c r="I89" s="18"/>
      <c r="J89" s="18"/>
      <c r="K89" s="18"/>
      <c r="L89" s="4"/>
      <c r="P89" s="12"/>
    </row>
    <row r="90" spans="1:16">
      <c r="A90" s="4">
        <f>A88+1</f>
        <v>413</v>
      </c>
      <c r="C90" s="2" t="s">
        <v>1022</v>
      </c>
      <c r="D90" s="2"/>
      <c r="E90" s="20">
        <f>E88+E83</f>
        <v>7176593139.1645374</v>
      </c>
      <c r="F90" s="12" t="str">
        <f>"Line "&amp;A83&amp;" + Line "&amp;A88&amp;""</f>
        <v>Line 409 + Line 412</v>
      </c>
      <c r="G90" s="12"/>
      <c r="H90" s="20">
        <f>I90+J90</f>
        <v>6800670241.8109264</v>
      </c>
      <c r="I90" s="20">
        <f t="shared" ref="I90:J90" si="25">I88+I83</f>
        <v>4240600152.995832</v>
      </c>
      <c r="J90" s="20">
        <f t="shared" si="25"/>
        <v>2560070088.8150949</v>
      </c>
      <c r="K90" s="705" t="str">
        <f>"Line "&amp;A83&amp;" + Line "&amp;A88&amp;""</f>
        <v>Line 409 + Line 412</v>
      </c>
      <c r="L90" s="11">
        <f t="shared" ref="L90" si="26">A90</f>
        <v>413</v>
      </c>
      <c r="P90" s="12"/>
    </row>
    <row r="91" spans="1:16">
      <c r="C91" s="9"/>
      <c r="P91" s="12"/>
    </row>
    <row r="92" spans="1:16">
      <c r="E92" s="43"/>
      <c r="F92" s="43"/>
      <c r="G92" s="43"/>
      <c r="H92" s="43"/>
    </row>
    <row r="94" spans="1:16">
      <c r="E94" s="37"/>
      <c r="F94" s="37"/>
      <c r="G94" s="37"/>
      <c r="H94" s="37"/>
    </row>
  </sheetData>
  <phoneticPr fontId="104" type="noConversion"/>
  <printOptions horizontalCentered="1"/>
  <pageMargins left="1" right="1" top="1" bottom="1" header="0.5" footer="0.5"/>
  <pageSetup scale="39" fitToHeight="0" orientation="landscape" r:id="rId1"/>
  <headerFooter>
    <oddHeader>&amp;C&amp;"-,Bold"&amp;12Pacific Gas and Electric Company
Formula Rate Model
Schedule 2-True-upDRR</oddHeader>
    <oddFooter>&amp;C&amp;1#&amp;"Calibri"&amp;12&amp;K000000Internal</oddFooter>
  </headerFooter>
  <rowBreaks count="1" manualBreakCount="1">
    <brk id="47" max="12" man="1"/>
  </row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9E3FC-EF12-4E05-9D1F-60A9E2D29340}">
  <sheetPr codeName="Sheet6">
    <pageSetUpPr fitToPage="1"/>
  </sheetPr>
  <dimension ref="A1:Q361"/>
  <sheetViews>
    <sheetView view="pageBreakPreview" topLeftCell="A44" zoomScale="85" zoomScaleNormal="100" zoomScaleSheetLayoutView="85" zoomScalePageLayoutView="70" workbookViewId="0">
      <selection activeCell="G13" sqref="G13"/>
    </sheetView>
  </sheetViews>
  <sheetFormatPr defaultRowHeight="15"/>
  <cols>
    <col min="2" max="2" width="38.140625" customWidth="1"/>
    <col min="3" max="3" width="20.28515625" customWidth="1"/>
    <col min="4" max="4" width="23.140625" customWidth="1"/>
    <col min="5" max="5" width="17.140625" customWidth="1"/>
    <col min="6" max="6" width="18" customWidth="1"/>
    <col min="7" max="7" width="18.42578125" customWidth="1"/>
    <col min="8" max="8" width="14.5703125" customWidth="1"/>
    <col min="9" max="9" width="11.85546875" customWidth="1"/>
    <col min="10" max="10" width="23.85546875" customWidth="1"/>
    <col min="11" max="11" width="20.140625" customWidth="1"/>
  </cols>
  <sheetData>
    <row r="1" spans="1:12">
      <c r="B1" s="2" t="s">
        <v>1056</v>
      </c>
      <c r="K1" s="8" t="str">
        <f>CONCATENATE("Prior Year: ",'1-DRR'!$K$2)</f>
        <v>Prior Year: 2021</v>
      </c>
    </row>
    <row r="2" spans="1:12">
      <c r="B2" s="54" t="s">
        <v>122</v>
      </c>
    </row>
    <row r="3" spans="1:12" s="163" customFormat="1">
      <c r="B3" s="7"/>
    </row>
    <row r="4" spans="1:12">
      <c r="B4" s="60" t="s">
        <v>1352</v>
      </c>
      <c r="C4" s="60"/>
      <c r="D4" s="60"/>
      <c r="E4" s="60"/>
      <c r="F4" s="60"/>
      <c r="G4" s="60"/>
      <c r="H4" s="60"/>
      <c r="I4" s="60"/>
      <c r="J4" s="60"/>
      <c r="K4" s="60"/>
    </row>
    <row r="5" spans="1:12">
      <c r="B5" s="23" t="s">
        <v>1422</v>
      </c>
      <c r="C5" s="23"/>
      <c r="D5" s="23"/>
      <c r="E5" s="23"/>
      <c r="F5" s="23"/>
      <c r="G5" s="23"/>
      <c r="H5" s="23"/>
      <c r="I5" s="23"/>
      <c r="J5" s="23"/>
      <c r="K5" s="23"/>
    </row>
    <row r="6" spans="1:12">
      <c r="A6" s="3" t="s">
        <v>86</v>
      </c>
      <c r="L6" s="3" t="str">
        <f t="shared" ref="L6:L49" si="0">A6</f>
        <v>Line</v>
      </c>
    </row>
    <row r="7" spans="1:12" ht="30">
      <c r="A7" s="480">
        <v>100</v>
      </c>
      <c r="B7" s="413"/>
      <c r="C7" s="586" t="s">
        <v>1674</v>
      </c>
      <c r="D7" s="586" t="s">
        <v>1675</v>
      </c>
      <c r="E7" s="586" t="s">
        <v>1676</v>
      </c>
      <c r="F7" s="586" t="s">
        <v>1677</v>
      </c>
      <c r="G7" s="586" t="s">
        <v>1678</v>
      </c>
      <c r="H7" s="586" t="s">
        <v>1679</v>
      </c>
      <c r="I7" s="587" t="s">
        <v>370</v>
      </c>
      <c r="J7" s="714" t="s">
        <v>38</v>
      </c>
      <c r="L7" s="600">
        <f t="shared" si="0"/>
        <v>100</v>
      </c>
    </row>
    <row r="8" spans="1:12">
      <c r="A8" s="480">
        <v>101</v>
      </c>
      <c r="B8" s="6" t="s">
        <v>918</v>
      </c>
      <c r="C8" s="541">
        <f>'8-DemandForAllocation'!F35/'8-DemandForAllocation'!$C$35</f>
        <v>5.0557938413394532E-3</v>
      </c>
      <c r="D8" s="541">
        <f>'8-DemandForAllocation'!H35/'8-DemandForAllocation'!$C$35</f>
        <v>6.21401234191422E-5</v>
      </c>
      <c r="E8" s="541">
        <f>'8-DemandForAllocation'!I35/'8-DemandForAllocation'!$C$35</f>
        <v>1.9127423380396348E-4</v>
      </c>
      <c r="F8" s="541">
        <f>'8-DemandForAllocation'!J35/'8-DemandForAllocation'!$C$35</f>
        <v>4.3411099644308858E-5</v>
      </c>
      <c r="G8" s="541">
        <f>'8-DemandForAllocation'!K35/'8-DemandForAllocation'!$C$35</f>
        <v>6.947094035506491E-3</v>
      </c>
      <c r="H8" s="541">
        <f>'8-DemandForAllocation'!L35/'8-DemandForAllocation'!$C$35</f>
        <v>4.217890685964507E-6</v>
      </c>
      <c r="I8" s="541">
        <f>'8-DemandForAllocation'!M35/'8-DemandForAllocation'!$C$35</f>
        <v>0</v>
      </c>
      <c r="J8" s="740" t="s">
        <v>1467</v>
      </c>
      <c r="L8" s="600">
        <f t="shared" si="0"/>
        <v>101</v>
      </c>
    </row>
    <row r="9" spans="1:12">
      <c r="A9" s="505"/>
      <c r="B9" s="2"/>
      <c r="L9" s="600"/>
    </row>
    <row r="10" spans="1:12" ht="30">
      <c r="A10" s="505">
        <f>A8+1</f>
        <v>102</v>
      </c>
      <c r="B10" s="520"/>
      <c r="C10" s="586" t="s">
        <v>1674</v>
      </c>
      <c r="D10" s="586" t="s">
        <v>1675</v>
      </c>
      <c r="E10" s="586" t="s">
        <v>1678</v>
      </c>
      <c r="F10" s="472" t="s">
        <v>38</v>
      </c>
      <c r="L10" s="600"/>
    </row>
    <row r="11" spans="1:12">
      <c r="A11" s="480">
        <f>A10+1</f>
        <v>103</v>
      </c>
      <c r="B11" s="6" t="s">
        <v>919</v>
      </c>
      <c r="C11" s="541">
        <f>'8-DemandForAllocation'!F38/'8-DemandForAllocation'!$C$38</f>
        <v>2.1303495221553716E-3</v>
      </c>
      <c r="D11" s="541">
        <f>'8-DemandForAllocation'!H38/'8-DemandForAllocation'!$C$38</f>
        <v>2.6895070733283996E-5</v>
      </c>
      <c r="E11" s="541">
        <f>'8-DemandForAllocation'!K38/'8-DemandForAllocation'!$C$38</f>
        <v>1.6305419124263789E-3</v>
      </c>
      <c r="F11" s="163" t="s">
        <v>1468</v>
      </c>
      <c r="L11" s="600">
        <f t="shared" si="0"/>
        <v>103</v>
      </c>
    </row>
    <row r="12" spans="1:12">
      <c r="A12" s="480"/>
      <c r="L12" s="600"/>
    </row>
    <row r="13" spans="1:12">
      <c r="A13" s="480"/>
      <c r="B13" s="60" t="s">
        <v>892</v>
      </c>
      <c r="C13" s="60"/>
      <c r="D13" s="60"/>
      <c r="E13" s="60"/>
      <c r="F13" s="60"/>
      <c r="G13" s="60"/>
      <c r="H13" s="60"/>
      <c r="I13" s="60"/>
      <c r="J13" s="60"/>
      <c r="K13" s="60"/>
      <c r="L13" s="600"/>
    </row>
    <row r="14" spans="1:12">
      <c r="A14" s="723"/>
      <c r="B14" s="23" t="s">
        <v>1448</v>
      </c>
      <c r="C14" s="23"/>
      <c r="D14" s="23"/>
      <c r="E14" s="23"/>
      <c r="F14" s="23"/>
      <c r="G14" s="23"/>
      <c r="H14" s="23"/>
      <c r="I14" s="23"/>
      <c r="J14" s="23"/>
      <c r="K14" s="23"/>
      <c r="L14" s="723"/>
    </row>
    <row r="15" spans="1:12">
      <c r="A15" s="723"/>
      <c r="B15" s="23"/>
      <c r="C15" s="23"/>
      <c r="D15" s="23"/>
      <c r="E15" s="23"/>
      <c r="F15" s="23"/>
      <c r="G15" s="23"/>
      <c r="H15" s="23"/>
      <c r="I15" s="23"/>
      <c r="J15" s="23"/>
      <c r="K15" s="23"/>
      <c r="L15" s="723"/>
    </row>
    <row r="16" spans="1:12" ht="30">
      <c r="A16" s="3" t="s">
        <v>86</v>
      </c>
      <c r="C16" s="178" t="s">
        <v>1424</v>
      </c>
      <c r="D16" s="3" t="s">
        <v>38</v>
      </c>
      <c r="L16" s="3" t="str">
        <f t="shared" si="0"/>
        <v>Line</v>
      </c>
    </row>
    <row r="17" spans="1:12">
      <c r="A17" s="480">
        <v>200</v>
      </c>
      <c r="C17" s="727">
        <f>'2-True-upDRR'!I90</f>
        <v>4240600152.995832</v>
      </c>
      <c r="D17" s="741" t="s">
        <v>1245</v>
      </c>
      <c r="L17" s="600">
        <f t="shared" si="0"/>
        <v>200</v>
      </c>
    </row>
    <row r="18" spans="1:12" s="732" customFormat="1">
      <c r="A18" s="782"/>
      <c r="C18" s="727"/>
      <c r="D18" s="467"/>
      <c r="L18" s="782"/>
    </row>
    <row r="19" spans="1:12" s="116" customFormat="1" ht="30">
      <c r="A19" s="320"/>
      <c r="B19" s="317"/>
      <c r="C19" s="193" t="s">
        <v>1502</v>
      </c>
      <c r="D19" s="324" t="s">
        <v>38</v>
      </c>
      <c r="L19" s="789"/>
    </row>
    <row r="20" spans="1:12" s="116" customFormat="1">
      <c r="A20" s="320" t="s">
        <v>1503</v>
      </c>
      <c r="B20" s="317"/>
      <c r="C20" s="841">
        <v>-3500000</v>
      </c>
      <c r="D20" s="318" t="s">
        <v>129</v>
      </c>
      <c r="L20" s="321" t="str">
        <f>A20</f>
        <v>200a</v>
      </c>
    </row>
    <row r="21" spans="1:12">
      <c r="A21" s="723"/>
      <c r="C21" s="556"/>
      <c r="L21" s="723"/>
    </row>
    <row r="22" spans="1:12" ht="30">
      <c r="A22" s="480">
        <f>A17+1</f>
        <v>201</v>
      </c>
      <c r="B22" s="413"/>
      <c r="C22" s="477" t="str">
        <f>$C$7</f>
        <v>CCSF
(SA No. 275)</v>
      </c>
      <c r="D22" s="477" t="str">
        <f>$D$7</f>
        <v>PWRPA 1 
(SA No. 30)</v>
      </c>
      <c r="E22" s="477" t="str">
        <f>$E$7</f>
        <v>PWRPA 2
(SA No. 56)</v>
      </c>
      <c r="F22" s="477" t="str">
        <f>$F$7</f>
        <v>Shelter Cove
(SA No. 40)</v>
      </c>
      <c r="G22" s="477" t="str">
        <f>$G$7</f>
        <v>WAPA
(SA No. 17)</v>
      </c>
      <c r="H22" s="477" t="str">
        <f>$H$7</f>
        <v>Westside
(SA No. 15)</v>
      </c>
      <c r="I22" s="586" t="str">
        <f>I7</f>
        <v>…</v>
      </c>
      <c r="J22" s="714" t="s">
        <v>38</v>
      </c>
      <c r="L22" s="600">
        <f t="shared" si="0"/>
        <v>201</v>
      </c>
    </row>
    <row r="23" spans="1:12">
      <c r="A23" s="480">
        <f>A22+1</f>
        <v>202</v>
      </c>
      <c r="B23" s="6" t="s">
        <v>1436</v>
      </c>
      <c r="C23" s="513">
        <f t="shared" ref="C23:I23" si="1">C8*$C$17</f>
        <v>21439600.137099471</v>
      </c>
      <c r="D23" s="513">
        <f t="shared" si="1"/>
        <v>263511.41687839432</v>
      </c>
      <c r="E23" s="513">
        <f t="shared" si="1"/>
        <v>811117.54513324809</v>
      </c>
      <c r="F23" s="513">
        <f t="shared" si="1"/>
        <v>184089.11579337344</v>
      </c>
      <c r="G23" s="513">
        <f t="shared" si="1"/>
        <v>29459848.029845256</v>
      </c>
      <c r="H23" s="513">
        <f t="shared" si="1"/>
        <v>17886.387888220783</v>
      </c>
      <c r="I23" s="513">
        <f t="shared" si="1"/>
        <v>0</v>
      </c>
      <c r="J23" t="s">
        <v>1353</v>
      </c>
      <c r="L23" s="600">
        <f t="shared" si="0"/>
        <v>202</v>
      </c>
    </row>
    <row r="24" spans="1:12" s="116" customFormat="1">
      <c r="A24" s="320" t="s">
        <v>1505</v>
      </c>
      <c r="B24" s="327" t="s">
        <v>1504</v>
      </c>
      <c r="C24" s="842">
        <f>C23/SUM($C$23:$H$23)*$C$20</f>
        <v>-1438180.8644701662</v>
      </c>
      <c r="D24" s="842">
        <f t="shared" ref="D24:H24" si="2">D23/SUM($C$23:$H$23)*$C$20</f>
        <v>-17676.499323704207</v>
      </c>
      <c r="E24" s="842">
        <f t="shared" si="2"/>
        <v>-54410.237354569996</v>
      </c>
      <c r="F24" s="842">
        <f t="shared" si="2"/>
        <v>-12348.805108222525</v>
      </c>
      <c r="G24" s="842">
        <f t="shared" si="2"/>
        <v>-1976183.7644260535</v>
      </c>
      <c r="H24" s="842">
        <f t="shared" si="2"/>
        <v>-1199.8293172836297</v>
      </c>
      <c r="I24" s="842">
        <v>0</v>
      </c>
      <c r="J24" s="317" t="s">
        <v>130</v>
      </c>
      <c r="L24" s="810" t="str">
        <f t="shared" si="0"/>
        <v>202a</v>
      </c>
    </row>
    <row r="25" spans="1:12" ht="30">
      <c r="A25" s="505">
        <f>A23+1</f>
        <v>203</v>
      </c>
      <c r="B25" s="603" t="s">
        <v>1437</v>
      </c>
      <c r="C25" s="518">
        <v>0</v>
      </c>
      <c r="D25" s="518">
        <v>0</v>
      </c>
      <c r="E25" s="518">
        <v>0</v>
      </c>
      <c r="F25" s="518">
        <v>0</v>
      </c>
      <c r="G25" s="518">
        <v>0</v>
      </c>
      <c r="H25" s="518">
        <v>0</v>
      </c>
      <c r="I25" s="518"/>
      <c r="J25" s="515"/>
      <c r="L25" s="600">
        <f t="shared" si="0"/>
        <v>203</v>
      </c>
    </row>
    <row r="26" spans="1:12">
      <c r="A26" s="505">
        <f t="shared" ref="A26" si="3">A25+1</f>
        <v>204</v>
      </c>
      <c r="B26" s="6" t="s">
        <v>1438</v>
      </c>
      <c r="C26" s="516">
        <f>SUM(C23:C25)</f>
        <v>20001419.272629306</v>
      </c>
      <c r="D26" s="516">
        <f t="shared" ref="D26:I26" si="4">SUM(D23:D25)</f>
        <v>245834.9175546901</v>
      </c>
      <c r="E26" s="516">
        <f t="shared" si="4"/>
        <v>756707.30777867814</v>
      </c>
      <c r="F26" s="516">
        <f t="shared" si="4"/>
        <v>171740.31068515091</v>
      </c>
      <c r="G26" s="516">
        <f t="shared" si="4"/>
        <v>27483664.265419204</v>
      </c>
      <c r="H26" s="516">
        <f t="shared" si="4"/>
        <v>16686.558570937152</v>
      </c>
      <c r="I26" s="516">
        <f t="shared" si="4"/>
        <v>0</v>
      </c>
      <c r="J26" s="317" t="s">
        <v>1665</v>
      </c>
      <c r="L26" s="600">
        <f t="shared" si="0"/>
        <v>204</v>
      </c>
    </row>
    <row r="27" spans="1:12">
      <c r="A27" s="505"/>
      <c r="B27" s="517"/>
      <c r="C27" s="516"/>
      <c r="D27" s="516"/>
      <c r="E27" s="516"/>
      <c r="F27" s="516"/>
      <c r="G27" s="516"/>
      <c r="H27" s="516"/>
      <c r="I27" s="516"/>
      <c r="L27" s="600"/>
    </row>
    <row r="28" spans="1:12" ht="30">
      <c r="A28" s="505"/>
      <c r="B28" s="514"/>
      <c r="C28" s="178" t="s">
        <v>1423</v>
      </c>
      <c r="D28" s="3" t="s">
        <v>38</v>
      </c>
      <c r="E28" s="516"/>
      <c r="F28" s="516"/>
      <c r="G28" s="516"/>
      <c r="L28" s="600"/>
    </row>
    <row r="29" spans="1:12">
      <c r="A29" s="480">
        <f>A26+1</f>
        <v>205</v>
      </c>
      <c r="C29" s="556">
        <f>'2-True-upDRR'!J90</f>
        <v>2560070088.8150949</v>
      </c>
      <c r="D29" s="163" t="s">
        <v>1597</v>
      </c>
      <c r="L29" s="600">
        <f t="shared" si="0"/>
        <v>205</v>
      </c>
    </row>
    <row r="30" spans="1:12">
      <c r="A30" s="723"/>
      <c r="C30" s="556"/>
      <c r="L30" s="723"/>
    </row>
    <row r="31" spans="1:12" ht="30">
      <c r="A31" s="505">
        <f>A29+1</f>
        <v>206</v>
      </c>
      <c r="B31" s="519"/>
      <c r="C31" s="585" t="str">
        <f>C22</f>
        <v>CCSF
(SA No. 275)</v>
      </c>
      <c r="D31" s="585" t="str">
        <f>D22</f>
        <v>PWRPA 1 
(SA No. 30)</v>
      </c>
      <c r="E31" s="585" t="str">
        <f>G22</f>
        <v>WAPA
(SA No. 17)</v>
      </c>
      <c r="F31" s="707" t="s">
        <v>38</v>
      </c>
      <c r="L31" s="600">
        <f t="shared" si="0"/>
        <v>206</v>
      </c>
    </row>
    <row r="32" spans="1:12">
      <c r="A32" s="480">
        <f>A31+1</f>
        <v>207</v>
      </c>
      <c r="B32" s="6" t="s">
        <v>1441</v>
      </c>
      <c r="C32" s="513">
        <f>C11*$C$29</f>
        <v>5453844.0903914971</v>
      </c>
      <c r="D32" s="513">
        <f>D11*$C$29</f>
        <v>68853.266120846616</v>
      </c>
      <c r="E32" s="513">
        <f>E11*$C$29</f>
        <v>4174301.5785621349</v>
      </c>
      <c r="F32" t="s">
        <v>1354</v>
      </c>
      <c r="L32" s="600">
        <f t="shared" si="0"/>
        <v>207</v>
      </c>
    </row>
    <row r="33" spans="1:12" ht="30">
      <c r="A33" s="505">
        <f t="shared" ref="A33:A34" si="5">A32+1</f>
        <v>208</v>
      </c>
      <c r="B33" s="603" t="s">
        <v>1440</v>
      </c>
      <c r="C33" s="478">
        <v>0</v>
      </c>
      <c r="D33" s="478">
        <v>0</v>
      </c>
      <c r="E33" s="478">
        <v>0</v>
      </c>
      <c r="F33" s="515"/>
      <c r="L33" s="600">
        <f t="shared" si="0"/>
        <v>208</v>
      </c>
    </row>
    <row r="34" spans="1:12">
      <c r="A34" s="505">
        <f t="shared" si="5"/>
        <v>209</v>
      </c>
      <c r="B34" s="6" t="s">
        <v>1439</v>
      </c>
      <c r="C34" s="516">
        <f>C32+C33</f>
        <v>5453844.0903914971</v>
      </c>
      <c r="D34" s="516">
        <f t="shared" ref="D34:E34" si="6">D32+D33</f>
        <v>68853.266120846616</v>
      </c>
      <c r="E34" s="516">
        <f t="shared" si="6"/>
        <v>4174301.5785621349</v>
      </c>
      <c r="F34" t="s">
        <v>1355</v>
      </c>
      <c r="L34" s="600">
        <f t="shared" si="0"/>
        <v>209</v>
      </c>
    </row>
    <row r="35" spans="1:12">
      <c r="A35" s="505"/>
      <c r="B35" s="514"/>
      <c r="L35" s="600"/>
    </row>
    <row r="36" spans="1:12">
      <c r="A36" s="480"/>
      <c r="B36" s="60" t="s">
        <v>936</v>
      </c>
      <c r="C36" s="60"/>
      <c r="D36" s="60"/>
      <c r="E36" s="60"/>
      <c r="F36" s="60"/>
      <c r="G36" s="60"/>
      <c r="H36" s="60"/>
      <c r="I36" s="60"/>
      <c r="J36" s="60"/>
      <c r="K36" s="60"/>
      <c r="L36" s="600"/>
    </row>
    <row r="37" spans="1:12" s="163" customFormat="1">
      <c r="A37" s="11"/>
      <c r="B37" s="23" t="s">
        <v>1598</v>
      </c>
      <c r="C37" s="23"/>
      <c r="D37" s="23"/>
      <c r="E37" s="23"/>
      <c r="F37" s="23"/>
      <c r="G37" s="23"/>
      <c r="H37" s="23"/>
      <c r="I37" s="23"/>
      <c r="J37" s="23"/>
      <c r="K37" s="23"/>
      <c r="L37" s="11"/>
    </row>
    <row r="38" spans="1:12">
      <c r="A38" s="3" t="s">
        <v>86</v>
      </c>
      <c r="L38" s="3" t="str">
        <f t="shared" si="0"/>
        <v>Line</v>
      </c>
    </row>
    <row r="39" spans="1:12" s="163" customFormat="1" ht="30">
      <c r="A39" s="11">
        <v>300</v>
      </c>
      <c r="B39" s="182" t="s">
        <v>937</v>
      </c>
      <c r="C39" s="407" t="str">
        <f t="shared" ref="C39:I39" si="7">C22</f>
        <v>CCSF
(SA No. 275)</v>
      </c>
      <c r="D39" s="407" t="str">
        <f t="shared" si="7"/>
        <v>PWRPA 1 
(SA No. 30)</v>
      </c>
      <c r="E39" s="407" t="str">
        <f t="shared" si="7"/>
        <v>PWRPA 2
(SA No. 56)</v>
      </c>
      <c r="F39" s="407" t="str">
        <f t="shared" si="7"/>
        <v>Shelter Cove
(SA No. 40)</v>
      </c>
      <c r="G39" s="407" t="str">
        <f t="shared" si="7"/>
        <v>WAPA
(SA No. 17)</v>
      </c>
      <c r="H39" s="407" t="str">
        <f t="shared" si="7"/>
        <v>Westside
(SA No. 15)</v>
      </c>
      <c r="I39" s="407" t="str">
        <f t="shared" si="7"/>
        <v>…</v>
      </c>
      <c r="J39" s="811" t="s">
        <v>38</v>
      </c>
      <c r="L39" s="321">
        <f t="shared" si="0"/>
        <v>300</v>
      </c>
    </row>
    <row r="40" spans="1:12" s="163" customFormat="1">
      <c r="A40" s="11">
        <f>A39+1</f>
        <v>301</v>
      </c>
      <c r="B40" s="812" t="s">
        <v>1438</v>
      </c>
      <c r="C40" s="516">
        <f t="shared" ref="C40:I40" si="8">C26</f>
        <v>20001419.272629306</v>
      </c>
      <c r="D40" s="516">
        <f t="shared" si="8"/>
        <v>245834.9175546901</v>
      </c>
      <c r="E40" s="516">
        <f t="shared" si="8"/>
        <v>756707.30777867814</v>
      </c>
      <c r="F40" s="516">
        <f t="shared" si="8"/>
        <v>171740.31068515091</v>
      </c>
      <c r="G40" s="516">
        <f t="shared" si="8"/>
        <v>27483664.265419204</v>
      </c>
      <c r="H40" s="516">
        <f t="shared" si="8"/>
        <v>16686.558570937152</v>
      </c>
      <c r="I40" s="516">
        <f t="shared" si="8"/>
        <v>0</v>
      </c>
      <c r="J40" s="163" t="s">
        <v>762</v>
      </c>
      <c r="L40" s="321">
        <f t="shared" si="0"/>
        <v>301</v>
      </c>
    </row>
    <row r="41" spans="1:12" s="795" customFormat="1">
      <c r="A41" s="321">
        <f>A40+1</f>
        <v>302</v>
      </c>
      <c r="B41" s="843" t="s">
        <v>1580</v>
      </c>
      <c r="C41" s="844">
        <f>'9-WholesaleRevenues'!D26+('9-WholesaleRevenues'!C78*'15-LossFactors'!$C$23/'15-LossFactors'!$C$21)</f>
        <v>1570118.0102010905</v>
      </c>
      <c r="D41" s="844">
        <f>'9-WholesaleRevenues'!E26+('9-WholesaleRevenues'!D78*'15-LossFactors'!$C$23/'15-LossFactors'!$C$21)</f>
        <v>9968.0300519485354</v>
      </c>
      <c r="E41" s="844">
        <f>'9-WholesaleRevenues'!F26</f>
        <v>39641</v>
      </c>
      <c r="F41" s="844">
        <f>'9-WholesaleRevenues'!G26</f>
        <v>9287</v>
      </c>
      <c r="G41" s="844">
        <f>'9-WholesaleRevenues'!H26+('9-WholesaleRevenues'!E78*'15-LossFactors'!$C$23/'15-LossFactors'!$C$21)</f>
        <v>2081081.0312514673</v>
      </c>
      <c r="H41" s="844">
        <f>'9-WholesaleRevenues'!I26</f>
        <v>786</v>
      </c>
      <c r="I41" s="844">
        <f>'8-DemandForAllocation'!M24</f>
        <v>0</v>
      </c>
      <c r="J41" s="319" t="s">
        <v>131</v>
      </c>
      <c r="L41" s="321">
        <f t="shared" si="0"/>
        <v>302</v>
      </c>
    </row>
    <row r="42" spans="1:12" s="163" customFormat="1">
      <c r="A42" s="11">
        <f>A41+1</f>
        <v>303</v>
      </c>
      <c r="B42" s="8" t="s">
        <v>1442</v>
      </c>
      <c r="C42" s="813">
        <f>C40/C41</f>
        <v>12.738799977249897</v>
      </c>
      <c r="D42" s="813">
        <f t="shared" ref="D42:H42" si="9">D40/D41</f>
        <v>24.662337119121613</v>
      </c>
      <c r="E42" s="813">
        <f t="shared" si="9"/>
        <v>19.08900652805626</v>
      </c>
      <c r="F42" s="813">
        <f t="shared" si="9"/>
        <v>18.492549874572081</v>
      </c>
      <c r="G42" s="813">
        <f t="shared" si="9"/>
        <v>13.206436391807282</v>
      </c>
      <c r="H42" s="813">
        <f t="shared" si="9"/>
        <v>21.229718283635052</v>
      </c>
      <c r="I42" s="813">
        <f>IF(I41=0,0,I40/I41)</f>
        <v>0</v>
      </c>
      <c r="J42" s="163" t="s">
        <v>1357</v>
      </c>
      <c r="L42" s="321">
        <f t="shared" si="0"/>
        <v>303</v>
      </c>
    </row>
    <row r="43" spans="1:12">
      <c r="A43" s="480"/>
      <c r="L43" s="320"/>
    </row>
    <row r="44" spans="1:12" ht="30">
      <c r="A44" s="480">
        <f>A42+1</f>
        <v>304</v>
      </c>
      <c r="B44" s="472" t="s">
        <v>938</v>
      </c>
      <c r="C44" s="477" t="str">
        <f>$C$7</f>
        <v>CCSF
(SA No. 275)</v>
      </c>
      <c r="D44" s="477" t="str">
        <f>$D$7</f>
        <v>PWRPA 1 
(SA No. 30)</v>
      </c>
      <c r="E44" s="477" t="str">
        <f>$G$7</f>
        <v>WAPA
(SA No. 17)</v>
      </c>
      <c r="F44" s="715" t="s">
        <v>38</v>
      </c>
      <c r="L44" s="320">
        <f t="shared" si="0"/>
        <v>304</v>
      </c>
    </row>
    <row r="45" spans="1:12">
      <c r="A45" s="480">
        <f>A44+1</f>
        <v>305</v>
      </c>
      <c r="B45" s="110" t="s">
        <v>1439</v>
      </c>
      <c r="C45" s="513">
        <f>C34</f>
        <v>5453844.0903914971</v>
      </c>
      <c r="D45" s="513">
        <f>D34</f>
        <v>68853.266120846616</v>
      </c>
      <c r="E45" s="513">
        <f>E34</f>
        <v>4174301.5785621349</v>
      </c>
      <c r="F45" t="s">
        <v>1356</v>
      </c>
      <c r="L45" s="320">
        <f t="shared" si="0"/>
        <v>305</v>
      </c>
    </row>
    <row r="46" spans="1:12">
      <c r="A46" s="505">
        <f t="shared" ref="A46:A49" si="10">A45+1</f>
        <v>306</v>
      </c>
      <c r="B46" s="110" t="s">
        <v>1443</v>
      </c>
      <c r="C46" s="513">
        <f>C40-(C42*'9-WholesaleRevenues'!D26)</f>
        <v>9759625.7206464298</v>
      </c>
      <c r="D46" s="513">
        <f>D40-(D42*'9-WholesaleRevenues'!E26)</f>
        <v>157987.67273637891</v>
      </c>
      <c r="E46" s="513">
        <f>G40-(G42*'9-WholesaleRevenues'!H26)</f>
        <v>8996804.2755970173</v>
      </c>
      <c r="F46" t="s">
        <v>1360</v>
      </c>
      <c r="L46" s="320">
        <f t="shared" si="0"/>
        <v>306</v>
      </c>
    </row>
    <row r="47" spans="1:12">
      <c r="A47" s="505">
        <f t="shared" si="10"/>
        <v>307</v>
      </c>
      <c r="B47" s="110" t="s">
        <v>1361</v>
      </c>
      <c r="C47" s="513">
        <f>C46+C45</f>
        <v>15213469.811037928</v>
      </c>
      <c r="D47" s="513">
        <f t="shared" ref="D47:E47" si="11">D46+D45</f>
        <v>226840.93885722553</v>
      </c>
      <c r="E47" s="513">
        <f t="shared" si="11"/>
        <v>13171105.854159152</v>
      </c>
      <c r="F47" s="513" t="s">
        <v>1359</v>
      </c>
      <c r="L47" s="320">
        <f t="shared" si="0"/>
        <v>307</v>
      </c>
    </row>
    <row r="48" spans="1:12" s="116" customFormat="1">
      <c r="A48" s="320">
        <f t="shared" si="10"/>
        <v>308</v>
      </c>
      <c r="B48" s="845" t="s">
        <v>1581</v>
      </c>
      <c r="C48" s="800">
        <f>'9-WholesaleRevenues'!C78</f>
        <v>722836.58998429461</v>
      </c>
      <c r="D48" s="800">
        <f>'9-WholesaleRevenues'!D78</f>
        <v>6044</v>
      </c>
      <c r="E48" s="800">
        <f>'9-WholesaleRevenues'!E78</f>
        <v>642744.12044000009</v>
      </c>
      <c r="F48" s="801" t="s">
        <v>1657</v>
      </c>
      <c r="G48" s="317"/>
      <c r="L48" s="320">
        <f t="shared" si="0"/>
        <v>308</v>
      </c>
    </row>
    <row r="49" spans="1:12">
      <c r="A49" s="505">
        <f t="shared" si="10"/>
        <v>309</v>
      </c>
      <c r="B49" s="6" t="s">
        <v>1444</v>
      </c>
      <c r="C49" s="513">
        <f>C47/C48</f>
        <v>21.04690053303538</v>
      </c>
      <c r="D49" s="513">
        <f t="shared" ref="D49:E49" si="12">D47/D48</f>
        <v>37.531591472075696</v>
      </c>
      <c r="E49" s="513">
        <f t="shared" si="12"/>
        <v>20.491989635226339</v>
      </c>
      <c r="F49" t="s">
        <v>1358</v>
      </c>
      <c r="L49" s="600">
        <f t="shared" si="0"/>
        <v>309</v>
      </c>
    </row>
    <row r="50" spans="1:12" s="732" customFormat="1">
      <c r="A50" s="934"/>
      <c r="B50" s="6"/>
      <c r="C50" s="513"/>
      <c r="D50" s="513"/>
      <c r="E50" s="513"/>
      <c r="L50" s="934"/>
    </row>
    <row r="51" spans="1:12" s="732" customFormat="1">
      <c r="A51" s="934"/>
      <c r="B51" s="6"/>
      <c r="C51" s="513"/>
      <c r="D51" s="513"/>
      <c r="E51" s="513"/>
      <c r="L51" s="934"/>
    </row>
    <row r="52" spans="1:12" s="732" customFormat="1">
      <c r="A52" s="934"/>
      <c r="B52" s="6"/>
      <c r="C52" s="513"/>
      <c r="D52" s="513"/>
      <c r="E52" s="513"/>
      <c r="L52" s="934"/>
    </row>
    <row r="53" spans="1:12">
      <c r="L53" s="600"/>
    </row>
    <row r="54" spans="1:12">
      <c r="A54" s="2"/>
      <c r="B54" s="60" t="s">
        <v>939</v>
      </c>
      <c r="C54" s="60"/>
      <c r="D54" s="60"/>
      <c r="E54" s="60"/>
      <c r="F54" s="60"/>
      <c r="G54" s="60"/>
      <c r="H54" s="60"/>
      <c r="I54" s="60"/>
      <c r="J54" s="60"/>
      <c r="K54" s="60"/>
      <c r="L54" s="600"/>
    </row>
    <row r="55" spans="1:12">
      <c r="A55" s="2"/>
      <c r="B55" s="963" t="s">
        <v>1451</v>
      </c>
      <c r="C55" s="963"/>
      <c r="D55" s="963"/>
      <c r="E55" s="963"/>
      <c r="F55" s="963"/>
      <c r="G55" s="963"/>
      <c r="H55" s="963"/>
      <c r="I55" s="963"/>
      <c r="J55" s="963"/>
      <c r="K55" s="963"/>
      <c r="L55" s="723"/>
    </row>
    <row r="56" spans="1:12">
      <c r="A56" s="2"/>
      <c r="B56" s="963"/>
      <c r="C56" s="963"/>
      <c r="D56" s="963"/>
      <c r="E56" s="963"/>
      <c r="F56" s="963"/>
      <c r="G56" s="963"/>
      <c r="H56" s="963"/>
      <c r="I56" s="963"/>
      <c r="J56" s="963"/>
      <c r="K56" s="963"/>
      <c r="L56" s="600"/>
    </row>
    <row r="57" spans="1:12">
      <c r="A57" s="3" t="s">
        <v>86</v>
      </c>
      <c r="B57" s="964" t="s">
        <v>1068</v>
      </c>
      <c r="C57" s="964"/>
      <c r="D57" s="964"/>
      <c r="E57" s="964"/>
      <c r="F57" s="964"/>
      <c r="G57" s="964"/>
      <c r="H57" s="964"/>
      <c r="I57" s="964"/>
      <c r="L57" s="3" t="str">
        <f>A57</f>
        <v>Line</v>
      </c>
    </row>
    <row r="58" spans="1:12" ht="30">
      <c r="A58" s="723">
        <v>400</v>
      </c>
      <c r="B58" s="604"/>
      <c r="C58" s="611" t="str">
        <f>$C$7</f>
        <v>CCSF
(SA No. 275)</v>
      </c>
      <c r="D58" s="611" t="str">
        <f>$D$7</f>
        <v>PWRPA 1 
(SA No. 30)</v>
      </c>
      <c r="E58" s="611" t="str">
        <f>$E$7</f>
        <v>PWRPA 2
(SA No. 56)</v>
      </c>
      <c r="F58" s="611" t="str">
        <f>$F$7</f>
        <v>Shelter Cove
(SA No. 40)</v>
      </c>
      <c r="G58" s="611" t="str">
        <f>$G$7</f>
        <v>WAPA
(SA No. 17)</v>
      </c>
      <c r="H58" s="611" t="str">
        <f>$H$7</f>
        <v>Westside
(SA No. 15)</v>
      </c>
      <c r="I58" s="718" t="s">
        <v>370</v>
      </c>
      <c r="L58" s="723">
        <f>A58</f>
        <v>400</v>
      </c>
    </row>
    <row r="59" spans="1:12">
      <c r="A59" s="723">
        <f>A58+1</f>
        <v>401</v>
      </c>
      <c r="B59" s="605" t="s">
        <v>1445</v>
      </c>
      <c r="C59" s="606">
        <f>K96</f>
        <v>533224.43999999994</v>
      </c>
      <c r="D59" s="606">
        <f>K158</f>
        <v>17771.55</v>
      </c>
      <c r="E59" s="606">
        <f>K220</f>
        <v>229305.31</v>
      </c>
      <c r="F59" s="606">
        <f>K252</f>
        <v>38651.65</v>
      </c>
      <c r="G59" s="606">
        <f>K284</f>
        <v>5009325.58</v>
      </c>
      <c r="H59" s="606">
        <f>K346</f>
        <v>3122.65</v>
      </c>
      <c r="I59" s="607"/>
      <c r="L59" s="723">
        <f t="shared" ref="L59:L64" si="13">A59</f>
        <v>401</v>
      </c>
    </row>
    <row r="60" spans="1:12">
      <c r="A60" s="723">
        <f>A59+1</f>
        <v>402</v>
      </c>
      <c r="B60" s="608" t="s">
        <v>1446</v>
      </c>
      <c r="C60" s="609" t="s">
        <v>1413</v>
      </c>
      <c r="D60" s="609" t="s">
        <v>1415</v>
      </c>
      <c r="E60" s="609" t="s">
        <v>1417</v>
      </c>
      <c r="F60" s="609" t="s">
        <v>1418</v>
      </c>
      <c r="G60" s="609" t="s">
        <v>1419</v>
      </c>
      <c r="H60" s="609" t="s">
        <v>1421</v>
      </c>
      <c r="I60" s="610"/>
      <c r="L60" s="723">
        <f t="shared" si="13"/>
        <v>402</v>
      </c>
    </row>
    <row r="61" spans="1:12">
      <c r="A61" s="600"/>
      <c r="B61" s="6"/>
      <c r="L61" s="723"/>
    </row>
    <row r="62" spans="1:12" ht="30">
      <c r="A62" s="600">
        <f>A60+1</f>
        <v>403</v>
      </c>
      <c r="B62" s="604"/>
      <c r="C62" s="611" t="str">
        <f>$C$7</f>
        <v>CCSF
(SA No. 275)</v>
      </c>
      <c r="D62" s="611" t="str">
        <f>$D$7</f>
        <v>PWRPA 1 
(SA No. 30)</v>
      </c>
      <c r="E62" s="612" t="str">
        <f>$G$7</f>
        <v>WAPA
(SA No. 17)</v>
      </c>
      <c r="L62" s="723">
        <f t="shared" si="13"/>
        <v>403</v>
      </c>
    </row>
    <row r="63" spans="1:12">
      <c r="A63" s="600">
        <f>A62+1</f>
        <v>404</v>
      </c>
      <c r="B63" s="605" t="s">
        <v>1447</v>
      </c>
      <c r="C63" s="606">
        <f>K126</f>
        <v>3035268.41</v>
      </c>
      <c r="D63" s="606">
        <f>K188</f>
        <v>38214.83</v>
      </c>
      <c r="E63" s="725">
        <f>K314</f>
        <v>4130710.63</v>
      </c>
      <c r="L63" s="723">
        <f t="shared" si="13"/>
        <v>404</v>
      </c>
    </row>
    <row r="64" spans="1:12">
      <c r="A64" s="600">
        <f>A63+1</f>
        <v>405</v>
      </c>
      <c r="B64" s="608" t="s">
        <v>1446</v>
      </c>
      <c r="C64" s="609" t="s">
        <v>1414</v>
      </c>
      <c r="D64" s="609" t="s">
        <v>1416</v>
      </c>
      <c r="E64" s="726" t="s">
        <v>1420</v>
      </c>
      <c r="L64" s="723">
        <f t="shared" si="13"/>
        <v>405</v>
      </c>
    </row>
    <row r="65" spans="1:17">
      <c r="A65" s="3"/>
      <c r="B65" s="2"/>
    </row>
    <row r="66" spans="1:17" s="45" customFormat="1">
      <c r="A66" s="3" t="s">
        <v>86</v>
      </c>
      <c r="B66" s="613" t="s">
        <v>882</v>
      </c>
      <c r="C66" s="614" t="s">
        <v>62</v>
      </c>
      <c r="D66" s="614" t="s">
        <v>63</v>
      </c>
      <c r="E66" s="614" t="s">
        <v>64</v>
      </c>
      <c r="F66" s="615" t="s">
        <v>65</v>
      </c>
      <c r="G66" s="614" t="s">
        <v>66</v>
      </c>
      <c r="H66" s="614" t="s">
        <v>67</v>
      </c>
      <c r="I66" s="614" t="s">
        <v>68</v>
      </c>
      <c r="J66" s="614" t="s">
        <v>69</v>
      </c>
      <c r="K66" s="616" t="s">
        <v>70</v>
      </c>
      <c r="L66" s="3" t="str">
        <f>A66</f>
        <v>Line</v>
      </c>
      <c r="M66" s="46"/>
      <c r="N66" s="46"/>
      <c r="O66" s="46"/>
      <c r="P66" s="46"/>
      <c r="Q66" s="46"/>
    </row>
    <row r="67" spans="1:17" s="45" customFormat="1">
      <c r="A67" s="600">
        <v>500</v>
      </c>
      <c r="B67" s="617" t="s">
        <v>1063</v>
      </c>
      <c r="C67" s="545"/>
      <c r="D67" s="618" t="s">
        <v>87</v>
      </c>
      <c r="E67" s="618" t="s">
        <v>88</v>
      </c>
      <c r="F67" s="619" t="str">
        <f>""&amp;D66&amp;" - "&amp;E66&amp;""</f>
        <v>Col 2 - Col 3</v>
      </c>
      <c r="G67" s="619" t="s">
        <v>112</v>
      </c>
      <c r="H67" s="619" t="s">
        <v>127</v>
      </c>
      <c r="I67" s="619" t="s">
        <v>128</v>
      </c>
      <c r="J67" s="619" t="s">
        <v>113</v>
      </c>
      <c r="K67" s="620" t="str">
        <f>""&amp;G66&amp;" + "&amp;J66&amp;""</f>
        <v>Col 5 + Col 8</v>
      </c>
      <c r="L67" s="600">
        <f>A67</f>
        <v>500</v>
      </c>
      <c r="M67" s="46"/>
      <c r="N67" s="46"/>
      <c r="O67" s="46"/>
      <c r="P67" s="46"/>
      <c r="Q67" s="46"/>
    </row>
    <row r="68" spans="1:17" s="45" customFormat="1">
      <c r="A68" s="600"/>
      <c r="B68" s="621"/>
      <c r="C68" s="545"/>
      <c r="D68" s="545"/>
      <c r="E68" s="545"/>
      <c r="F68" s="176"/>
      <c r="G68" s="545" t="s">
        <v>135</v>
      </c>
      <c r="H68" s="545"/>
      <c r="I68" s="545"/>
      <c r="J68" s="545"/>
      <c r="K68" s="622" t="s">
        <v>135</v>
      </c>
      <c r="L68" s="46"/>
      <c r="M68" s="46"/>
      <c r="N68" s="46"/>
      <c r="O68" s="46"/>
      <c r="P68" s="46"/>
      <c r="Q68" s="46"/>
    </row>
    <row r="69" spans="1:17" s="45" customFormat="1">
      <c r="B69" s="621"/>
      <c r="C69" s="545"/>
      <c r="D69" s="545" t="s">
        <v>71</v>
      </c>
      <c r="E69" s="545" t="s">
        <v>92</v>
      </c>
      <c r="F69" s="176"/>
      <c r="G69" s="545" t="s">
        <v>766</v>
      </c>
      <c r="H69" s="545"/>
      <c r="I69" s="545"/>
      <c r="J69" s="545"/>
      <c r="K69" s="622" t="s">
        <v>766</v>
      </c>
      <c r="L69" s="46"/>
      <c r="M69" s="46"/>
      <c r="N69" s="46"/>
      <c r="O69" s="46"/>
      <c r="P69" s="46"/>
      <c r="Q69" s="46"/>
    </row>
    <row r="70" spans="1:17" s="45" customFormat="1">
      <c r="A70" s="600"/>
      <c r="B70" s="617"/>
      <c r="C70" s="545"/>
      <c r="D70" s="176" t="s">
        <v>926</v>
      </c>
      <c r="E70" s="176" t="s">
        <v>926</v>
      </c>
      <c r="F70" s="545" t="s">
        <v>124</v>
      </c>
      <c r="G70" s="545" t="s">
        <v>767</v>
      </c>
      <c r="H70" s="545" t="s">
        <v>185</v>
      </c>
      <c r="I70" s="545" t="s">
        <v>71</v>
      </c>
      <c r="J70" s="545" t="s">
        <v>132</v>
      </c>
      <c r="K70" s="622" t="s">
        <v>1061</v>
      </c>
      <c r="L70" s="46"/>
      <c r="M70" s="46"/>
      <c r="N70" s="46"/>
      <c r="O70" s="46"/>
      <c r="P70" s="46"/>
      <c r="Q70" s="46"/>
    </row>
    <row r="71" spans="1:17" s="45" customFormat="1">
      <c r="A71" s="600"/>
      <c r="B71" s="623" t="s">
        <v>58</v>
      </c>
      <c r="C71" s="624" t="s">
        <v>73</v>
      </c>
      <c r="D71" s="624" t="s">
        <v>1062</v>
      </c>
      <c r="E71" s="624" t="s">
        <v>121</v>
      </c>
      <c r="F71" s="624" t="s">
        <v>136</v>
      </c>
      <c r="G71" s="624" t="s">
        <v>123</v>
      </c>
      <c r="H71" s="624" t="s">
        <v>111</v>
      </c>
      <c r="I71" s="624" t="s">
        <v>72</v>
      </c>
      <c r="J71" s="624" t="s">
        <v>72</v>
      </c>
      <c r="K71" s="625" t="s">
        <v>74</v>
      </c>
      <c r="L71" s="46"/>
      <c r="M71" s="46"/>
      <c r="N71" s="46"/>
      <c r="O71" s="46"/>
      <c r="P71" s="46"/>
      <c r="Q71" s="46"/>
    </row>
    <row r="72" spans="1:17" s="45" customFormat="1">
      <c r="A72" s="600">
        <f>A67+1</f>
        <v>501</v>
      </c>
      <c r="B72" s="45" t="s">
        <v>75</v>
      </c>
      <c r="C72" s="50">
        <f>C73-1</f>
        <v>2020</v>
      </c>
      <c r="D72" s="110" t="s">
        <v>109</v>
      </c>
      <c r="E72" s="110" t="s">
        <v>109</v>
      </c>
      <c r="F72" s="47" t="s">
        <v>109</v>
      </c>
      <c r="G72" s="59">
        <v>0</v>
      </c>
      <c r="H72" s="47" t="s">
        <v>109</v>
      </c>
      <c r="I72" s="47" t="s">
        <v>109</v>
      </c>
      <c r="J72" s="59">
        <v>0</v>
      </c>
      <c r="K72" s="18">
        <f>ROUND((G72+J72),2)</f>
        <v>0</v>
      </c>
      <c r="L72" s="600">
        <f t="shared" ref="L72:L96" si="14">A72</f>
        <v>501</v>
      </c>
      <c r="M72" s="46"/>
      <c r="N72" s="46"/>
      <c r="O72" s="46"/>
      <c r="P72" s="46"/>
      <c r="Q72" s="46"/>
    </row>
    <row r="73" spans="1:17" s="45" customFormat="1">
      <c r="A73" s="600">
        <f>A72+1</f>
        <v>502</v>
      </c>
      <c r="B73" s="45" t="s">
        <v>76</v>
      </c>
      <c r="C73" s="50">
        <f>'1-DRR'!$K$2</f>
        <v>2021</v>
      </c>
      <c r="D73" s="579" t="str">
        <f>IF(E73="N/A","N/A",($C$42*'9-WholesaleRevenues'!D14))</f>
        <v>N/A</v>
      </c>
      <c r="E73" s="579" t="str">
        <f>IF('9-WholesaleRevenues'!D48="N/A","N/A",'9-WholesaleRevenues'!D48)</f>
        <v>N/A</v>
      </c>
      <c r="F73" s="601">
        <f t="shared" ref="F73:F84" si="15">IF(E73="N/A",0,D73-E73)</f>
        <v>0</v>
      </c>
      <c r="G73" s="601">
        <f>F73+G72</f>
        <v>0</v>
      </c>
      <c r="H73" s="68">
        <v>3.2500000000000001E-2</v>
      </c>
      <c r="I73" s="18">
        <f>IF(E73="N/A",0,ROUND((F73/2+G72+J72)*H73/12,2))</f>
        <v>0</v>
      </c>
      <c r="J73" s="18">
        <f>I73+J72</f>
        <v>0</v>
      </c>
      <c r="K73" s="18">
        <f t="shared" ref="K73:K96" si="16">ROUND((G73+J73),2)</f>
        <v>0</v>
      </c>
      <c r="L73" s="600">
        <f t="shared" si="14"/>
        <v>502</v>
      </c>
      <c r="M73" s="46"/>
      <c r="N73" s="46"/>
      <c r="O73" s="46"/>
      <c r="P73" s="46"/>
      <c r="Q73" s="46"/>
    </row>
    <row r="74" spans="1:17" s="45" customFormat="1">
      <c r="A74" s="600">
        <f t="shared" ref="A74:A96" si="17">A73+1</f>
        <v>503</v>
      </c>
      <c r="B74" s="45" t="s">
        <v>77</v>
      </c>
      <c r="C74" s="50">
        <f>'1-DRR'!$K$2</f>
        <v>2021</v>
      </c>
      <c r="D74" s="579" t="str">
        <f>IF(E74="N/A","N/A",($C$42*'9-WholesaleRevenues'!D15))</f>
        <v>N/A</v>
      </c>
      <c r="E74" s="579" t="str">
        <f>IF('9-WholesaleRevenues'!D49="N/A","N/A",'9-WholesaleRevenues'!D49)</f>
        <v>N/A</v>
      </c>
      <c r="F74" s="601">
        <f t="shared" si="15"/>
        <v>0</v>
      </c>
      <c r="G74" s="601">
        <f t="shared" ref="G74:G96" si="18">F74+G73</f>
        <v>0</v>
      </c>
      <c r="H74" s="68">
        <v>3.2500000000000001E-2</v>
      </c>
      <c r="I74" s="18">
        <f>IF(E74="N/A",0,ROUND((F74/2+G73+J72)*H74/12,2))</f>
        <v>0</v>
      </c>
      <c r="J74" s="18">
        <f>I74+J73</f>
        <v>0</v>
      </c>
      <c r="K74" s="18">
        <f t="shared" si="16"/>
        <v>0</v>
      </c>
      <c r="L74" s="600">
        <f t="shared" si="14"/>
        <v>503</v>
      </c>
      <c r="M74" s="46"/>
      <c r="N74" s="46"/>
      <c r="O74" s="46"/>
      <c r="P74" s="46"/>
      <c r="Q74" s="46"/>
    </row>
    <row r="75" spans="1:17" s="45" customFormat="1">
      <c r="A75" s="600">
        <f t="shared" si="17"/>
        <v>504</v>
      </c>
      <c r="B75" s="45" t="s">
        <v>78</v>
      </c>
      <c r="C75" s="50">
        <f>'1-DRR'!$K$2</f>
        <v>2021</v>
      </c>
      <c r="D75" s="579" t="str">
        <f>IF(E75="N/A","N/A",($C$42*'9-WholesaleRevenues'!D16))</f>
        <v>N/A</v>
      </c>
      <c r="E75" s="579" t="str">
        <f>IF('9-WholesaleRevenues'!D50="N/A","N/A",'9-WholesaleRevenues'!D50)</f>
        <v>N/A</v>
      </c>
      <c r="F75" s="601">
        <f t="shared" si="15"/>
        <v>0</v>
      </c>
      <c r="G75" s="601">
        <f t="shared" si="18"/>
        <v>0</v>
      </c>
      <c r="H75" s="68">
        <v>3.2500000000000001E-2</v>
      </c>
      <c r="I75" s="18">
        <f>IF(E75="N/A",0,ROUND((F75/2+G74+J72)*H75/12,2))</f>
        <v>0</v>
      </c>
      <c r="J75" s="18">
        <f>I75+J74</f>
        <v>0</v>
      </c>
      <c r="K75" s="18">
        <f t="shared" si="16"/>
        <v>0</v>
      </c>
      <c r="L75" s="600">
        <f t="shared" si="14"/>
        <v>504</v>
      </c>
      <c r="M75" s="46"/>
      <c r="N75" s="46"/>
      <c r="O75" s="46"/>
      <c r="P75" s="46"/>
      <c r="Q75" s="46"/>
    </row>
    <row r="76" spans="1:17" s="45" customFormat="1">
      <c r="A76" s="600">
        <f t="shared" si="17"/>
        <v>505</v>
      </c>
      <c r="B76" s="45" t="s">
        <v>79</v>
      </c>
      <c r="C76" s="50">
        <f>'1-DRR'!$K$2</f>
        <v>2021</v>
      </c>
      <c r="D76" s="579" t="str">
        <f>IF(E76="N/A","N/A",($C$42*'9-WholesaleRevenues'!D17))</f>
        <v>N/A</v>
      </c>
      <c r="E76" s="579" t="str">
        <f>IF('9-WholesaleRevenues'!D51="N/A","N/A",'9-WholesaleRevenues'!D51)</f>
        <v>N/A</v>
      </c>
      <c r="F76" s="601">
        <f t="shared" si="15"/>
        <v>0</v>
      </c>
      <c r="G76" s="601">
        <f t="shared" si="18"/>
        <v>0</v>
      </c>
      <c r="H76" s="68">
        <v>3.2500000000000001E-2</v>
      </c>
      <c r="I76" s="18">
        <f>IF(E76="N/A",0,ROUND((F76/2+G75+J75)*H76/12,2))</f>
        <v>0</v>
      </c>
      <c r="J76" s="18">
        <f t="shared" ref="J76:J96" si="19">I76+J75</f>
        <v>0</v>
      </c>
      <c r="K76" s="18">
        <f t="shared" si="16"/>
        <v>0</v>
      </c>
      <c r="L76" s="600">
        <f t="shared" si="14"/>
        <v>505</v>
      </c>
      <c r="M76" s="46"/>
      <c r="N76" s="46"/>
      <c r="O76" s="46"/>
      <c r="P76" s="46"/>
      <c r="Q76" s="46"/>
    </row>
    <row r="77" spans="1:17" s="45" customFormat="1">
      <c r="A77" s="600">
        <f t="shared" si="17"/>
        <v>506</v>
      </c>
      <c r="B77" s="45" t="s">
        <v>61</v>
      </c>
      <c r="C77" s="50">
        <f>'1-DRR'!$K$2</f>
        <v>2021</v>
      </c>
      <c r="D77" s="579" t="str">
        <f>IF(E77="N/A","N/A",($C$42*'9-WholesaleRevenues'!D18))</f>
        <v>N/A</v>
      </c>
      <c r="E77" s="579" t="str">
        <f>IF('9-WholesaleRevenues'!D52="N/A","N/A",'9-WholesaleRevenues'!D52)</f>
        <v>N/A</v>
      </c>
      <c r="F77" s="601">
        <f t="shared" si="15"/>
        <v>0</v>
      </c>
      <c r="G77" s="601">
        <f t="shared" si="18"/>
        <v>0</v>
      </c>
      <c r="H77" s="68">
        <v>3.2500000000000001E-2</v>
      </c>
      <c r="I77" s="18">
        <f>IF(E77="N/A",0,ROUND((F77/2+G76+J75)*H77/12,2))</f>
        <v>0</v>
      </c>
      <c r="J77" s="18">
        <f t="shared" si="19"/>
        <v>0</v>
      </c>
      <c r="K77" s="18">
        <f t="shared" si="16"/>
        <v>0</v>
      </c>
      <c r="L77" s="600">
        <f t="shared" si="14"/>
        <v>506</v>
      </c>
      <c r="M77" s="46"/>
      <c r="N77" s="46"/>
      <c r="O77" s="46"/>
      <c r="P77" s="46"/>
      <c r="Q77" s="46"/>
    </row>
    <row r="78" spans="1:17" s="45" customFormat="1">
      <c r="A78" s="600">
        <f t="shared" si="17"/>
        <v>507</v>
      </c>
      <c r="B78" s="45" t="s">
        <v>80</v>
      </c>
      <c r="C78" s="50">
        <f>'1-DRR'!$K$2</f>
        <v>2021</v>
      </c>
      <c r="D78" s="579">
        <f>IF(E78="N/A","N/A",($C$42*'9-WholesaleRevenues'!D19))</f>
        <v>823738.19486489368</v>
      </c>
      <c r="E78" s="579">
        <f>IF('9-WholesaleRevenues'!D53="N/A","N/A",'9-WholesaleRevenues'!D53)</f>
        <v>869493.94000000006</v>
      </c>
      <c r="F78" s="601">
        <f t="shared" si="15"/>
        <v>-45755.745135106379</v>
      </c>
      <c r="G78" s="601">
        <f t="shared" si="18"/>
        <v>-45755.745135106379</v>
      </c>
      <c r="H78" s="68">
        <v>3.2500000000000001E-2</v>
      </c>
      <c r="I78" s="18">
        <f>IF(E78="N/A",0,ROUND((F78/2+G77+J75)*H78/12,2))</f>
        <v>-61.96</v>
      </c>
      <c r="J78" s="18">
        <f t="shared" si="19"/>
        <v>-61.96</v>
      </c>
      <c r="K78" s="18">
        <f t="shared" si="16"/>
        <v>-45817.71</v>
      </c>
      <c r="L78" s="600">
        <f t="shared" si="14"/>
        <v>507</v>
      </c>
      <c r="M78" s="46"/>
      <c r="N78" s="46"/>
      <c r="O78" s="46"/>
      <c r="P78" s="46"/>
      <c r="Q78" s="46"/>
    </row>
    <row r="79" spans="1:17" s="45" customFormat="1">
      <c r="A79" s="600">
        <f t="shared" si="17"/>
        <v>508</v>
      </c>
      <c r="B79" s="45" t="s">
        <v>81</v>
      </c>
      <c r="C79" s="50">
        <f>'1-DRR'!$K$2</f>
        <v>2021</v>
      </c>
      <c r="D79" s="579">
        <f>IF(E79="N/A","N/A",($C$42*'9-WholesaleRevenues'!D20))</f>
        <v>777581.64995212422</v>
      </c>
      <c r="E79" s="579">
        <f>IF('9-WholesaleRevenues'!D54="N/A","N/A",'9-WholesaleRevenues'!D54)</f>
        <v>869493.94000000006</v>
      </c>
      <c r="F79" s="601">
        <f t="shared" si="15"/>
        <v>-91912.290047875838</v>
      </c>
      <c r="G79" s="601">
        <f t="shared" si="18"/>
        <v>-137668.03518298222</v>
      </c>
      <c r="H79" s="68">
        <v>3.2500000000000001E-2</v>
      </c>
      <c r="I79" s="18">
        <f>IF(E79="N/A",0,ROUND((F79/2+G78+J78)*H79/12,2))</f>
        <v>-248.55</v>
      </c>
      <c r="J79" s="18">
        <f t="shared" si="19"/>
        <v>-310.51</v>
      </c>
      <c r="K79" s="18">
        <f t="shared" si="16"/>
        <v>-137978.54999999999</v>
      </c>
      <c r="L79" s="600">
        <f t="shared" si="14"/>
        <v>508</v>
      </c>
      <c r="M79" s="46"/>
      <c r="N79" s="46"/>
      <c r="O79" s="46"/>
      <c r="P79" s="46"/>
      <c r="Q79" s="46"/>
    </row>
    <row r="80" spans="1:17" s="45" customFormat="1">
      <c r="A80" s="600">
        <f t="shared" si="17"/>
        <v>509</v>
      </c>
      <c r="B80" s="45" t="s">
        <v>82</v>
      </c>
      <c r="C80" s="50">
        <f>'1-DRR'!$K$2</f>
        <v>2021</v>
      </c>
      <c r="D80" s="579">
        <f>IF(E80="N/A","N/A",($C$42*'9-WholesaleRevenues'!D21))</f>
        <v>818364.56139289041</v>
      </c>
      <c r="E80" s="579">
        <f>IF('9-WholesaleRevenues'!D55="N/A","N/A",'9-WholesaleRevenues'!D55)</f>
        <v>869493.94000000006</v>
      </c>
      <c r="F80" s="601">
        <f t="shared" si="15"/>
        <v>-51129.378607109655</v>
      </c>
      <c r="G80" s="601">
        <f t="shared" si="18"/>
        <v>-188797.41379009187</v>
      </c>
      <c r="H80" s="68">
        <v>3.2500000000000001E-2</v>
      </c>
      <c r="I80" s="18">
        <f>IF(E80="N/A",0,ROUND((F80/2+G79+J78)*H80/12,2))</f>
        <v>-442.26</v>
      </c>
      <c r="J80" s="18">
        <f t="shared" si="19"/>
        <v>-752.77</v>
      </c>
      <c r="K80" s="18">
        <f t="shared" si="16"/>
        <v>-189550.18</v>
      </c>
      <c r="L80" s="600">
        <f t="shared" si="14"/>
        <v>509</v>
      </c>
      <c r="M80" s="46"/>
      <c r="N80" s="46"/>
      <c r="O80" s="46"/>
      <c r="P80" s="46"/>
      <c r="Q80" s="46"/>
    </row>
    <row r="81" spans="1:17" s="45" customFormat="1">
      <c r="A81" s="600">
        <f t="shared" si="17"/>
        <v>510</v>
      </c>
      <c r="B81" s="45" t="s">
        <v>83</v>
      </c>
      <c r="C81" s="50">
        <f>'1-DRR'!$K$2</f>
        <v>2021</v>
      </c>
      <c r="D81" s="579">
        <f>IF(E81="N/A","N/A",($C$42*'9-WholesaleRevenues'!D22))</f>
        <v>839625.97524131986</v>
      </c>
      <c r="E81" s="579">
        <f>IF('9-WholesaleRevenues'!D56="N/A","N/A",'9-WholesaleRevenues'!D56)</f>
        <v>869493.94000000006</v>
      </c>
      <c r="F81" s="601">
        <f t="shared" si="15"/>
        <v>-29867.964758680202</v>
      </c>
      <c r="G81" s="601">
        <f t="shared" si="18"/>
        <v>-218665.37854877207</v>
      </c>
      <c r="H81" s="68">
        <v>3.2500000000000001E-2</v>
      </c>
      <c r="I81" s="18">
        <f>IF(E81="N/A",0,ROUND((F81/2+G80+J78)*H81/12,2))</f>
        <v>-551.94000000000005</v>
      </c>
      <c r="J81" s="18">
        <f t="shared" si="19"/>
        <v>-1304.71</v>
      </c>
      <c r="K81" s="18">
        <f t="shared" si="16"/>
        <v>-219970.09</v>
      </c>
      <c r="L81" s="600">
        <f t="shared" si="14"/>
        <v>510</v>
      </c>
      <c r="M81" s="46"/>
      <c r="N81" s="46"/>
      <c r="O81" s="46"/>
      <c r="P81" s="46"/>
      <c r="Q81" s="46"/>
    </row>
    <row r="82" spans="1:17" s="45" customFormat="1">
      <c r="A82" s="600">
        <f t="shared" si="17"/>
        <v>511</v>
      </c>
      <c r="B82" s="45" t="s">
        <v>84</v>
      </c>
      <c r="C82" s="50">
        <f>'1-DRR'!$K$2</f>
        <v>2021</v>
      </c>
      <c r="D82" s="579">
        <f>IF(E82="N/A","N/A",($C$42*'9-WholesaleRevenues'!D23))</f>
        <v>1010818.0202571895</v>
      </c>
      <c r="E82" s="579">
        <f>IF('9-WholesaleRevenues'!D57="N/A","N/A",'9-WholesaleRevenues'!D57)</f>
        <v>627983.43999999959</v>
      </c>
      <c r="F82" s="601">
        <f t="shared" si="15"/>
        <v>382834.58025718993</v>
      </c>
      <c r="G82" s="601">
        <f t="shared" si="18"/>
        <v>164169.20170841785</v>
      </c>
      <c r="H82" s="68">
        <v>3.2500000000000001E-2</v>
      </c>
      <c r="I82" s="18">
        <f>IF(E82="N/A",0,ROUND((F82/2+G81+J81)*H82/12,2))</f>
        <v>-77.33</v>
      </c>
      <c r="J82" s="18">
        <f t="shared" si="19"/>
        <v>-1382.04</v>
      </c>
      <c r="K82" s="18">
        <f t="shared" si="16"/>
        <v>162787.16</v>
      </c>
      <c r="L82" s="600">
        <f t="shared" si="14"/>
        <v>511</v>
      </c>
      <c r="M82" s="46"/>
      <c r="N82" s="46"/>
      <c r="O82" s="46"/>
      <c r="P82" s="46"/>
      <c r="Q82" s="46"/>
    </row>
    <row r="83" spans="1:17" s="45" customFormat="1">
      <c r="A83" s="600">
        <f t="shared" si="17"/>
        <v>512</v>
      </c>
      <c r="B83" s="45" t="s">
        <v>85</v>
      </c>
      <c r="C83" s="50">
        <f>'1-DRR'!$K$2</f>
        <v>2021</v>
      </c>
      <c r="D83" s="579">
        <f>IF(E83="N/A","N/A",($C$42*'9-WholesaleRevenues'!D24))</f>
        <v>981488.41101036919</v>
      </c>
      <c r="E83" s="579">
        <f>IF('9-WholesaleRevenues'!D58="N/A","N/A",'9-WholesaleRevenues'!D58)</f>
        <v>821191.84</v>
      </c>
      <c r="F83" s="601">
        <f t="shared" si="15"/>
        <v>160296.57101036923</v>
      </c>
      <c r="G83" s="601">
        <f t="shared" si="18"/>
        <v>324465.77271878708</v>
      </c>
      <c r="H83" s="68">
        <v>3.2500000000000001E-2</v>
      </c>
      <c r="I83" s="18">
        <f>IF(E83="N/A",0,ROUND((F83/2+G82+J81)*H83/12,2))</f>
        <v>658.16</v>
      </c>
      <c r="J83" s="18">
        <f t="shared" si="19"/>
        <v>-723.88</v>
      </c>
      <c r="K83" s="18">
        <f t="shared" si="16"/>
        <v>323741.89</v>
      </c>
      <c r="L83" s="600">
        <f t="shared" si="14"/>
        <v>512</v>
      </c>
      <c r="M83" s="46"/>
      <c r="N83" s="46"/>
      <c r="O83" s="46"/>
      <c r="P83" s="46"/>
      <c r="Q83" s="46"/>
    </row>
    <row r="84" spans="1:17" s="45" customFormat="1">
      <c r="A84" s="600">
        <f t="shared" si="17"/>
        <v>513</v>
      </c>
      <c r="B84" s="45" t="s">
        <v>75</v>
      </c>
      <c r="C84" s="50">
        <f>'1-DRR'!$K$2</f>
        <v>2021</v>
      </c>
      <c r="D84" s="579">
        <f>IF(E84="N/A","N/A",($C$42*'9-WholesaleRevenues'!D25))</f>
        <v>1009997.7944042545</v>
      </c>
      <c r="E84" s="579">
        <f>IF('9-WholesaleRevenues'!D59="N/A","N/A",'9-WholesaleRevenues'!D59)</f>
        <v>821191.84</v>
      </c>
      <c r="F84" s="601">
        <f t="shared" si="15"/>
        <v>188805.95440425456</v>
      </c>
      <c r="G84" s="601">
        <f t="shared" si="18"/>
        <v>513271.72712304164</v>
      </c>
      <c r="H84" s="68">
        <v>3.2500000000000001E-2</v>
      </c>
      <c r="I84" s="18">
        <f>IF(E84="N/A",0,ROUND((F84/2+G83+J81)*H84/12,2))</f>
        <v>1130.9000000000001</v>
      </c>
      <c r="J84" s="18">
        <f t="shared" si="19"/>
        <v>407.0200000000001</v>
      </c>
      <c r="K84" s="18">
        <f t="shared" si="16"/>
        <v>513678.75</v>
      </c>
      <c r="L84" s="600">
        <f t="shared" si="14"/>
        <v>513</v>
      </c>
      <c r="M84" s="46"/>
      <c r="N84" s="46"/>
      <c r="O84" s="46"/>
      <c r="P84" s="46"/>
      <c r="Q84" s="46"/>
    </row>
    <row r="85" spans="1:17" s="45" customFormat="1">
      <c r="A85" s="600">
        <f t="shared" si="17"/>
        <v>514</v>
      </c>
      <c r="B85" s="45" t="s">
        <v>76</v>
      </c>
      <c r="C85" s="50">
        <f>C84+1</f>
        <v>2022</v>
      </c>
      <c r="D85" s="110" t="s">
        <v>109</v>
      </c>
      <c r="E85" s="110" t="s">
        <v>109</v>
      </c>
      <c r="F85" s="601">
        <v>0</v>
      </c>
      <c r="G85" s="601">
        <f>F85+G84</f>
        <v>513271.72712304164</v>
      </c>
      <c r="H85" s="68">
        <v>3.2500000000000001E-2</v>
      </c>
      <c r="I85" s="18">
        <f t="shared" ref="I85" si="20">ROUND((F85/2+G84+J84)*H85/12,2)</f>
        <v>1391.21</v>
      </c>
      <c r="J85" s="18">
        <f t="shared" si="19"/>
        <v>1798.23</v>
      </c>
      <c r="K85" s="18">
        <f t="shared" si="16"/>
        <v>515069.96</v>
      </c>
      <c r="L85" s="600">
        <f t="shared" si="14"/>
        <v>514</v>
      </c>
      <c r="M85" s="46"/>
      <c r="N85" s="46"/>
      <c r="O85" s="46"/>
      <c r="P85" s="46"/>
      <c r="Q85" s="46"/>
    </row>
    <row r="86" spans="1:17" s="45" customFormat="1">
      <c r="A86" s="600">
        <f t="shared" si="17"/>
        <v>515</v>
      </c>
      <c r="B86" s="45" t="s">
        <v>77</v>
      </c>
      <c r="C86" s="50">
        <f>C85</f>
        <v>2022</v>
      </c>
      <c r="D86" s="110" t="s">
        <v>109</v>
      </c>
      <c r="E86" s="110" t="s">
        <v>109</v>
      </c>
      <c r="F86" s="601">
        <v>0</v>
      </c>
      <c r="G86" s="601">
        <f t="shared" si="18"/>
        <v>513271.72712304164</v>
      </c>
      <c r="H86" s="68">
        <v>3.2500000000000001E-2</v>
      </c>
      <c r="I86" s="18">
        <f t="shared" ref="I86" si="21">ROUND((F86/2+G85+J84)*H86/12,2)</f>
        <v>1391.21</v>
      </c>
      <c r="J86" s="18">
        <f t="shared" si="19"/>
        <v>3189.44</v>
      </c>
      <c r="K86" s="18">
        <f t="shared" si="16"/>
        <v>516461.17</v>
      </c>
      <c r="L86" s="600">
        <f t="shared" si="14"/>
        <v>515</v>
      </c>
      <c r="M86" s="46"/>
      <c r="N86" s="46"/>
      <c r="O86" s="46"/>
      <c r="P86" s="46"/>
      <c r="Q86" s="46"/>
    </row>
    <row r="87" spans="1:17" s="45" customFormat="1">
      <c r="A87" s="600">
        <f t="shared" si="17"/>
        <v>516</v>
      </c>
      <c r="B87" s="45" t="s">
        <v>78</v>
      </c>
      <c r="C87" s="50">
        <f t="shared" ref="C87:C96" si="22">C86</f>
        <v>2022</v>
      </c>
      <c r="D87" s="110" t="s">
        <v>109</v>
      </c>
      <c r="E87" s="110" t="s">
        <v>109</v>
      </c>
      <c r="F87" s="601">
        <v>0</v>
      </c>
      <c r="G87" s="601">
        <f t="shared" si="18"/>
        <v>513271.72712304164</v>
      </c>
      <c r="H87" s="68">
        <v>3.2500000000000001E-2</v>
      </c>
      <c r="I87" s="18">
        <f t="shared" ref="I87" si="23">ROUND((F87/2+G86+J84)*H87/12,2)</f>
        <v>1391.21</v>
      </c>
      <c r="J87" s="18">
        <f t="shared" si="19"/>
        <v>4580.6499999999996</v>
      </c>
      <c r="K87" s="18">
        <f t="shared" si="16"/>
        <v>517852.38</v>
      </c>
      <c r="L87" s="600">
        <f t="shared" si="14"/>
        <v>516</v>
      </c>
      <c r="M87" s="46"/>
      <c r="N87" s="46"/>
      <c r="O87" s="46"/>
      <c r="P87" s="46"/>
      <c r="Q87" s="46"/>
    </row>
    <row r="88" spans="1:17" s="45" customFormat="1">
      <c r="A88" s="600">
        <f t="shared" si="17"/>
        <v>517</v>
      </c>
      <c r="B88" s="45" t="s">
        <v>79</v>
      </c>
      <c r="C88" s="50">
        <f t="shared" si="22"/>
        <v>2022</v>
      </c>
      <c r="D88" s="110" t="s">
        <v>109</v>
      </c>
      <c r="E88" s="110" t="s">
        <v>109</v>
      </c>
      <c r="F88" s="601">
        <v>0</v>
      </c>
      <c r="G88" s="601">
        <f t="shared" si="18"/>
        <v>513271.72712304164</v>
      </c>
      <c r="H88" s="68">
        <v>3.2500000000000001E-2</v>
      </c>
      <c r="I88" s="18">
        <f t="shared" ref="I88" si="24">ROUND((F88/2+G87+J87)*H88/12,2)</f>
        <v>1402.52</v>
      </c>
      <c r="J88" s="18">
        <f t="shared" si="19"/>
        <v>5983.17</v>
      </c>
      <c r="K88" s="18">
        <f t="shared" si="16"/>
        <v>519254.9</v>
      </c>
      <c r="L88" s="600">
        <f t="shared" si="14"/>
        <v>517</v>
      </c>
      <c r="M88" s="46"/>
      <c r="N88" s="46"/>
      <c r="O88" s="46"/>
      <c r="P88" s="46"/>
      <c r="Q88" s="46"/>
    </row>
    <row r="89" spans="1:17" s="45" customFormat="1">
      <c r="A89" s="600">
        <f t="shared" si="17"/>
        <v>518</v>
      </c>
      <c r="B89" s="45" t="s">
        <v>61</v>
      </c>
      <c r="C89" s="50">
        <f t="shared" si="22"/>
        <v>2022</v>
      </c>
      <c r="D89" s="110" t="s">
        <v>109</v>
      </c>
      <c r="E89" s="110" t="s">
        <v>109</v>
      </c>
      <c r="F89" s="601">
        <v>0</v>
      </c>
      <c r="G89" s="601">
        <f t="shared" si="18"/>
        <v>513271.72712304164</v>
      </c>
      <c r="H89" s="68">
        <v>3.2500000000000001E-2</v>
      </c>
      <c r="I89" s="18">
        <f t="shared" ref="I89" si="25">ROUND((F89/2+G88+J87)*H89/12,2)</f>
        <v>1402.52</v>
      </c>
      <c r="J89" s="18">
        <f t="shared" si="19"/>
        <v>7385.6900000000005</v>
      </c>
      <c r="K89" s="18">
        <f t="shared" si="16"/>
        <v>520657.42</v>
      </c>
      <c r="L89" s="600">
        <f t="shared" si="14"/>
        <v>518</v>
      </c>
      <c r="M89" s="46"/>
      <c r="N89" s="46"/>
      <c r="O89" s="46"/>
      <c r="P89" s="46"/>
      <c r="Q89" s="46"/>
    </row>
    <row r="90" spans="1:17" s="45" customFormat="1">
      <c r="A90" s="600">
        <f t="shared" si="17"/>
        <v>519</v>
      </c>
      <c r="B90" s="45" t="s">
        <v>80</v>
      </c>
      <c r="C90" s="50">
        <f t="shared" si="22"/>
        <v>2022</v>
      </c>
      <c r="D90" s="110" t="s">
        <v>109</v>
      </c>
      <c r="E90" s="110" t="s">
        <v>109</v>
      </c>
      <c r="F90" s="601">
        <v>0</v>
      </c>
      <c r="G90" s="601">
        <f t="shared" si="18"/>
        <v>513271.72712304164</v>
      </c>
      <c r="H90" s="68">
        <v>3.2500000000000001E-2</v>
      </c>
      <c r="I90" s="18">
        <f t="shared" ref="I90" si="26">ROUND((F90/2+G89+J87)*H90/12,2)</f>
        <v>1402.52</v>
      </c>
      <c r="J90" s="18">
        <f t="shared" si="19"/>
        <v>8788.2100000000009</v>
      </c>
      <c r="K90" s="18">
        <f t="shared" si="16"/>
        <v>522059.94</v>
      </c>
      <c r="L90" s="600">
        <f t="shared" si="14"/>
        <v>519</v>
      </c>
      <c r="M90" s="46"/>
      <c r="N90" s="46"/>
      <c r="O90" s="46"/>
      <c r="P90" s="46"/>
      <c r="Q90" s="46"/>
    </row>
    <row r="91" spans="1:17" s="45" customFormat="1">
      <c r="A91" s="600">
        <f t="shared" si="17"/>
        <v>520</v>
      </c>
      <c r="B91" s="45" t="s">
        <v>81</v>
      </c>
      <c r="C91" s="50">
        <f t="shared" si="22"/>
        <v>2022</v>
      </c>
      <c r="D91" s="110" t="s">
        <v>109</v>
      </c>
      <c r="E91" s="110" t="s">
        <v>109</v>
      </c>
      <c r="F91" s="601">
        <v>0</v>
      </c>
      <c r="G91" s="601">
        <f t="shared" si="18"/>
        <v>513271.72712304164</v>
      </c>
      <c r="H91" s="68">
        <v>3.5999999999999997E-2</v>
      </c>
      <c r="I91" s="18">
        <f t="shared" ref="I91" si="27">ROUND((F91/2+G90+J90)*H91/12,2)</f>
        <v>1566.18</v>
      </c>
      <c r="J91" s="18">
        <f t="shared" si="19"/>
        <v>10354.390000000001</v>
      </c>
      <c r="K91" s="18">
        <f t="shared" si="16"/>
        <v>523626.12</v>
      </c>
      <c r="L91" s="600">
        <f t="shared" si="14"/>
        <v>520</v>
      </c>
      <c r="M91" s="46"/>
      <c r="N91" s="46"/>
      <c r="O91" s="46"/>
      <c r="P91" s="46"/>
      <c r="Q91" s="46"/>
    </row>
    <row r="92" spans="1:17" s="45" customFormat="1">
      <c r="A92" s="600">
        <f t="shared" si="17"/>
        <v>521</v>
      </c>
      <c r="B92" s="45" t="s">
        <v>82</v>
      </c>
      <c r="C92" s="50">
        <f t="shared" si="22"/>
        <v>2022</v>
      </c>
      <c r="D92" s="110" t="s">
        <v>109</v>
      </c>
      <c r="E92" s="110" t="s">
        <v>109</v>
      </c>
      <c r="F92" s="601">
        <v>0</v>
      </c>
      <c r="G92" s="601">
        <f t="shared" si="18"/>
        <v>513271.72712304164</v>
      </c>
      <c r="H92" s="68">
        <v>3.5999999999999997E-2</v>
      </c>
      <c r="I92" s="18">
        <f t="shared" ref="I92" si="28">ROUND((F92/2+G91+J90)*H92/12,2)</f>
        <v>1566.18</v>
      </c>
      <c r="J92" s="18">
        <f t="shared" si="19"/>
        <v>11920.570000000002</v>
      </c>
      <c r="K92" s="18">
        <f t="shared" si="16"/>
        <v>525192.30000000005</v>
      </c>
      <c r="L92" s="600">
        <f t="shared" si="14"/>
        <v>521</v>
      </c>
      <c r="M92" s="46"/>
      <c r="N92" s="46"/>
      <c r="O92" s="46"/>
      <c r="P92" s="46"/>
      <c r="Q92" s="46"/>
    </row>
    <row r="93" spans="1:17" s="45" customFormat="1">
      <c r="A93" s="600">
        <f t="shared" si="17"/>
        <v>522</v>
      </c>
      <c r="B93" s="45" t="s">
        <v>83</v>
      </c>
      <c r="C93" s="50">
        <f t="shared" si="22"/>
        <v>2022</v>
      </c>
      <c r="D93" s="110" t="s">
        <v>109</v>
      </c>
      <c r="E93" s="110" t="s">
        <v>109</v>
      </c>
      <c r="F93" s="601">
        <v>0</v>
      </c>
      <c r="G93" s="601">
        <f t="shared" si="18"/>
        <v>513271.72712304164</v>
      </c>
      <c r="H93" s="68">
        <v>3.5999999999999997E-2</v>
      </c>
      <c r="I93" s="18">
        <f t="shared" ref="I93" si="29">ROUND((F93/2+G92+J90)*H93/12,2)</f>
        <v>1566.18</v>
      </c>
      <c r="J93" s="18">
        <f t="shared" si="19"/>
        <v>13486.750000000002</v>
      </c>
      <c r="K93" s="18">
        <f t="shared" si="16"/>
        <v>526758.48</v>
      </c>
      <c r="L93" s="600">
        <f t="shared" si="14"/>
        <v>522</v>
      </c>
      <c r="M93" s="46"/>
      <c r="N93" s="46"/>
      <c r="O93" s="46"/>
      <c r="P93" s="46"/>
      <c r="Q93" s="46"/>
    </row>
    <row r="94" spans="1:17" s="45" customFormat="1">
      <c r="A94" s="600">
        <f t="shared" si="17"/>
        <v>523</v>
      </c>
      <c r="B94" s="45" t="s">
        <v>84</v>
      </c>
      <c r="C94" s="50">
        <f t="shared" si="22"/>
        <v>2022</v>
      </c>
      <c r="D94" s="110" t="s">
        <v>109</v>
      </c>
      <c r="E94" s="110" t="s">
        <v>109</v>
      </c>
      <c r="F94" s="601">
        <v>0</v>
      </c>
      <c r="G94" s="601">
        <f t="shared" si="18"/>
        <v>513271.72712304164</v>
      </c>
      <c r="H94" s="68">
        <v>4.9099999999999998E-2</v>
      </c>
      <c r="I94" s="18">
        <f t="shared" ref="I94" si="30">ROUND((F94/2+G93+J93)*H94/12,2)</f>
        <v>2155.3200000000002</v>
      </c>
      <c r="J94" s="18">
        <f t="shared" si="19"/>
        <v>15642.070000000002</v>
      </c>
      <c r="K94" s="18">
        <f t="shared" si="16"/>
        <v>528913.80000000005</v>
      </c>
      <c r="L94" s="600">
        <f t="shared" si="14"/>
        <v>523</v>
      </c>
      <c r="M94" s="46"/>
      <c r="N94" s="46"/>
      <c r="O94" s="46"/>
      <c r="P94" s="46"/>
      <c r="Q94" s="46"/>
    </row>
    <row r="95" spans="1:17" s="45" customFormat="1">
      <c r="A95" s="600">
        <f t="shared" si="17"/>
        <v>524</v>
      </c>
      <c r="B95" s="45" t="s">
        <v>85</v>
      </c>
      <c r="C95" s="50">
        <f t="shared" si="22"/>
        <v>2022</v>
      </c>
      <c r="D95" s="110" t="s">
        <v>109</v>
      </c>
      <c r="E95" s="110" t="s">
        <v>109</v>
      </c>
      <c r="F95" s="601">
        <v>0</v>
      </c>
      <c r="G95" s="601">
        <f t="shared" si="18"/>
        <v>513271.72712304164</v>
      </c>
      <c r="H95" s="68">
        <v>4.9099999999999998E-2</v>
      </c>
      <c r="I95" s="18">
        <f t="shared" ref="I95" si="31">ROUND((F95/2+G94+J93)*H95/12,2)</f>
        <v>2155.3200000000002</v>
      </c>
      <c r="J95" s="18">
        <f t="shared" si="19"/>
        <v>17797.390000000003</v>
      </c>
      <c r="K95" s="18">
        <f t="shared" si="16"/>
        <v>531069.12</v>
      </c>
      <c r="L95" s="600">
        <f t="shared" si="14"/>
        <v>524</v>
      </c>
      <c r="M95" s="46"/>
      <c r="N95" s="46"/>
      <c r="O95" s="46"/>
      <c r="P95" s="46"/>
      <c r="Q95" s="46"/>
    </row>
    <row r="96" spans="1:17" s="45" customFormat="1">
      <c r="A96" s="600">
        <f t="shared" si="17"/>
        <v>525</v>
      </c>
      <c r="B96" s="45" t="s">
        <v>75</v>
      </c>
      <c r="C96" s="50">
        <f t="shared" si="22"/>
        <v>2022</v>
      </c>
      <c r="D96" s="110" t="s">
        <v>109</v>
      </c>
      <c r="E96" s="110" t="s">
        <v>109</v>
      </c>
      <c r="F96" s="601">
        <v>0</v>
      </c>
      <c r="G96" s="601">
        <f t="shared" si="18"/>
        <v>513271.72712304164</v>
      </c>
      <c r="H96" s="68">
        <v>4.9099999999999998E-2</v>
      </c>
      <c r="I96" s="18">
        <f t="shared" ref="I96" si="32">ROUND((F96/2+G95+J93)*H96/12,2)</f>
        <v>2155.3200000000002</v>
      </c>
      <c r="J96" s="18">
        <f t="shared" si="19"/>
        <v>19952.710000000003</v>
      </c>
      <c r="K96" s="18">
        <f t="shared" si="16"/>
        <v>533224.43999999994</v>
      </c>
      <c r="L96" s="600">
        <f t="shared" si="14"/>
        <v>525</v>
      </c>
      <c r="M96" s="46"/>
      <c r="N96" s="46"/>
      <c r="O96" s="46"/>
      <c r="P96" s="46"/>
      <c r="Q96" s="46"/>
    </row>
    <row r="97" spans="1:17">
      <c r="A97" s="3"/>
      <c r="B97" s="2"/>
    </row>
    <row r="98" spans="1:17" s="45" customFormat="1">
      <c r="A98" s="600"/>
      <c r="B98" s="613" t="s">
        <v>882</v>
      </c>
      <c r="C98" s="626"/>
      <c r="D98" s="626"/>
      <c r="E98" s="626"/>
      <c r="F98" s="627"/>
      <c r="G98" s="626" t="s">
        <v>135</v>
      </c>
      <c r="H98" s="626"/>
      <c r="I98" s="626"/>
      <c r="J98" s="626"/>
      <c r="K98" s="628" t="s">
        <v>135</v>
      </c>
      <c r="L98" s="46"/>
      <c r="M98" s="46"/>
      <c r="N98" s="46"/>
      <c r="O98" s="46"/>
      <c r="P98" s="46"/>
      <c r="Q98" s="46"/>
    </row>
    <row r="99" spans="1:17" s="45" customFormat="1">
      <c r="B99" s="617" t="str">
        <f>B67</f>
        <v>CCSF (SA No. 275)</v>
      </c>
      <c r="C99" s="545"/>
      <c r="D99" s="176" t="s">
        <v>927</v>
      </c>
      <c r="E99" s="176" t="s">
        <v>927</v>
      </c>
      <c r="F99" s="176"/>
      <c r="G99" s="545" t="s">
        <v>766</v>
      </c>
      <c r="H99" s="545"/>
      <c r="I99" s="545"/>
      <c r="J99" s="545"/>
      <c r="K99" s="622" t="s">
        <v>766</v>
      </c>
      <c r="L99" s="46"/>
      <c r="M99" s="46"/>
      <c r="N99" s="46"/>
      <c r="O99" s="46"/>
      <c r="P99" s="46"/>
      <c r="Q99" s="46"/>
    </row>
    <row r="100" spans="1:17" s="45" customFormat="1">
      <c r="A100" s="600"/>
      <c r="B100" s="617"/>
      <c r="C100" s="545"/>
      <c r="D100" s="545" t="s">
        <v>71</v>
      </c>
      <c r="E100" s="545" t="s">
        <v>92</v>
      </c>
      <c r="F100" s="545" t="s">
        <v>124</v>
      </c>
      <c r="G100" s="545" t="s">
        <v>767</v>
      </c>
      <c r="H100" s="545" t="s">
        <v>185</v>
      </c>
      <c r="I100" s="545" t="s">
        <v>71</v>
      </c>
      <c r="J100" s="545" t="s">
        <v>132</v>
      </c>
      <c r="K100" s="622" t="s">
        <v>1061</v>
      </c>
      <c r="L100" s="46"/>
      <c r="M100" s="46"/>
      <c r="N100" s="46"/>
      <c r="O100" s="46"/>
      <c r="P100" s="46"/>
      <c r="Q100" s="46"/>
    </row>
    <row r="101" spans="1:17" s="45" customFormat="1">
      <c r="A101" s="600"/>
      <c r="B101" s="623" t="s">
        <v>58</v>
      </c>
      <c r="C101" s="624" t="s">
        <v>73</v>
      </c>
      <c r="D101" s="624" t="s">
        <v>1062</v>
      </c>
      <c r="E101" s="624" t="s">
        <v>121</v>
      </c>
      <c r="F101" s="624" t="s">
        <v>136</v>
      </c>
      <c r="G101" s="624" t="s">
        <v>123</v>
      </c>
      <c r="H101" s="624" t="s">
        <v>111</v>
      </c>
      <c r="I101" s="624" t="s">
        <v>72</v>
      </c>
      <c r="J101" s="624" t="s">
        <v>72</v>
      </c>
      <c r="K101" s="625" t="s">
        <v>74</v>
      </c>
      <c r="L101" s="46"/>
      <c r="M101" s="46"/>
      <c r="N101" s="46"/>
      <c r="O101" s="46"/>
      <c r="P101" s="46"/>
      <c r="Q101" s="46"/>
    </row>
    <row r="102" spans="1:17" s="45" customFormat="1">
      <c r="A102" s="600">
        <f>A96+1</f>
        <v>526</v>
      </c>
      <c r="B102" s="45" t="s">
        <v>75</v>
      </c>
      <c r="C102" s="50">
        <f>C103-1</f>
        <v>2020</v>
      </c>
      <c r="D102" s="110" t="s">
        <v>109</v>
      </c>
      <c r="E102" s="110" t="s">
        <v>109</v>
      </c>
      <c r="F102" s="47" t="s">
        <v>109</v>
      </c>
      <c r="G102" s="59">
        <v>0</v>
      </c>
      <c r="H102" s="47" t="s">
        <v>109</v>
      </c>
      <c r="I102" s="47" t="s">
        <v>109</v>
      </c>
      <c r="J102" s="59">
        <v>0</v>
      </c>
      <c r="K102" s="18">
        <f>ROUND((G102+J102),2)</f>
        <v>0</v>
      </c>
      <c r="L102" s="600">
        <f t="shared" ref="L102:L126" si="33">A102</f>
        <v>526</v>
      </c>
      <c r="M102" s="46"/>
      <c r="N102" s="46"/>
      <c r="O102" s="46"/>
      <c r="P102" s="46"/>
      <c r="Q102" s="46"/>
    </row>
    <row r="103" spans="1:17" s="45" customFormat="1">
      <c r="A103" s="600">
        <f>A102+1</f>
        <v>527</v>
      </c>
      <c r="B103" s="45" t="s">
        <v>76</v>
      </c>
      <c r="C103" s="50">
        <f>'1-DRR'!$K$2</f>
        <v>2021</v>
      </c>
      <c r="D103" s="579" t="str">
        <f>IF(E103="N/A","N/A",'3-ATA'!$C$49*'9-WholesaleRevenues'!C66)</f>
        <v>N/A</v>
      </c>
      <c r="E103" s="579" t="str">
        <f>IF('9-WholesaleRevenues'!C99="N/A","N/A",'9-WholesaleRevenues'!C99)</f>
        <v>N/A</v>
      </c>
      <c r="F103" s="601">
        <f t="shared" ref="F103:F114" si="34">IF(E103="N/A",0,D103-E103)</f>
        <v>0</v>
      </c>
      <c r="G103" s="601">
        <f>F103+G102</f>
        <v>0</v>
      </c>
      <c r="H103" s="636">
        <f>$H$73</f>
        <v>3.2500000000000001E-2</v>
      </c>
      <c r="I103" s="18">
        <f>IF(E103="N/A",0,ROUND((F103/2+G102+J102)*H103/12,2))</f>
        <v>0</v>
      </c>
      <c r="J103" s="18">
        <f>I103+J102</f>
        <v>0</v>
      </c>
      <c r="K103" s="18">
        <f t="shared" ref="K103:K126" si="35">ROUND((G103+J103),2)</f>
        <v>0</v>
      </c>
      <c r="L103" s="600">
        <f t="shared" si="33"/>
        <v>527</v>
      </c>
      <c r="M103" s="46"/>
      <c r="N103" s="46"/>
      <c r="O103" s="46"/>
      <c r="P103" s="46"/>
      <c r="Q103" s="46"/>
    </row>
    <row r="104" spans="1:17" s="45" customFormat="1">
      <c r="A104" s="600">
        <f t="shared" ref="A104:A126" si="36">A103+1</f>
        <v>528</v>
      </c>
      <c r="B104" s="45" t="s">
        <v>77</v>
      </c>
      <c r="C104" s="50">
        <f>'1-DRR'!$K$2</f>
        <v>2021</v>
      </c>
      <c r="D104" s="579" t="str">
        <f>IF(E104="N/A","N/A",'3-ATA'!$C$49*'9-WholesaleRevenues'!C67)</f>
        <v>N/A</v>
      </c>
      <c r="E104" s="579" t="str">
        <f>IF('9-WholesaleRevenues'!C100="N/A","N/A",'9-WholesaleRevenues'!C100)</f>
        <v>N/A</v>
      </c>
      <c r="F104" s="601">
        <f t="shared" si="34"/>
        <v>0</v>
      </c>
      <c r="G104" s="601">
        <f t="shared" ref="G104:G114" si="37">F104+G103</f>
        <v>0</v>
      </c>
      <c r="H104" s="636">
        <f>$H$74</f>
        <v>3.2500000000000001E-2</v>
      </c>
      <c r="I104" s="18">
        <f>IF(E104="N/A",0,ROUND((F104/2+G103+J102)*H104/12,2))</f>
        <v>0</v>
      </c>
      <c r="J104" s="18">
        <f>I104+J103</f>
        <v>0</v>
      </c>
      <c r="K104" s="18">
        <f t="shared" si="35"/>
        <v>0</v>
      </c>
      <c r="L104" s="600">
        <f t="shared" si="33"/>
        <v>528</v>
      </c>
      <c r="M104" s="46"/>
      <c r="N104" s="46"/>
      <c r="O104" s="46"/>
      <c r="P104" s="46"/>
      <c r="Q104" s="46"/>
    </row>
    <row r="105" spans="1:17" s="45" customFormat="1">
      <c r="A105" s="600">
        <f t="shared" si="36"/>
        <v>529</v>
      </c>
      <c r="B105" s="45" t="s">
        <v>78</v>
      </c>
      <c r="C105" s="50">
        <f>'1-DRR'!$K$2</f>
        <v>2021</v>
      </c>
      <c r="D105" s="579" t="str">
        <f>IF(E105="N/A","N/A",'3-ATA'!$C$49*'9-WholesaleRevenues'!C68)</f>
        <v>N/A</v>
      </c>
      <c r="E105" s="579" t="str">
        <f>IF('9-WholesaleRevenues'!C101="N/A","N/A",'9-WholesaleRevenues'!C101)</f>
        <v>N/A</v>
      </c>
      <c r="F105" s="601">
        <f t="shared" si="34"/>
        <v>0</v>
      </c>
      <c r="G105" s="601">
        <f t="shared" si="37"/>
        <v>0</v>
      </c>
      <c r="H105" s="636">
        <f>$H$75</f>
        <v>3.2500000000000001E-2</v>
      </c>
      <c r="I105" s="18">
        <f>IF(E105="N/A",0,ROUND((F105/2+G104+J102)*H105/12,2))</f>
        <v>0</v>
      </c>
      <c r="J105" s="18">
        <f>I105+J104</f>
        <v>0</v>
      </c>
      <c r="K105" s="18">
        <f t="shared" si="35"/>
        <v>0</v>
      </c>
      <c r="L105" s="600">
        <f t="shared" si="33"/>
        <v>529</v>
      </c>
      <c r="M105" s="46"/>
      <c r="N105" s="46"/>
      <c r="O105" s="46"/>
      <c r="P105" s="46"/>
      <c r="Q105" s="46"/>
    </row>
    <row r="106" spans="1:17" s="45" customFormat="1">
      <c r="A106" s="600">
        <f t="shared" si="36"/>
        <v>530</v>
      </c>
      <c r="B106" s="45" t="s">
        <v>79</v>
      </c>
      <c r="C106" s="50">
        <f>'1-DRR'!$K$2</f>
        <v>2021</v>
      </c>
      <c r="D106" s="579" t="str">
        <f>IF(E106="N/A","N/A",'3-ATA'!$C$49*'9-WholesaleRevenues'!C69)</f>
        <v>N/A</v>
      </c>
      <c r="E106" s="579" t="str">
        <f>IF('9-WholesaleRevenues'!C102="N/A","N/A",'9-WholesaleRevenues'!C102)</f>
        <v>N/A</v>
      </c>
      <c r="F106" s="601">
        <f t="shared" si="34"/>
        <v>0</v>
      </c>
      <c r="G106" s="601">
        <f t="shared" si="37"/>
        <v>0</v>
      </c>
      <c r="H106" s="636">
        <f>$H$76</f>
        <v>3.2500000000000001E-2</v>
      </c>
      <c r="I106" s="18">
        <f>IF(E106="N/A",0,ROUND((F106/2+G105+J105)*H106/12,2))</f>
        <v>0</v>
      </c>
      <c r="J106" s="18">
        <f t="shared" ref="J106:J126" si="38">I106+J105</f>
        <v>0</v>
      </c>
      <c r="K106" s="18">
        <f t="shared" si="35"/>
        <v>0</v>
      </c>
      <c r="L106" s="600">
        <f t="shared" si="33"/>
        <v>530</v>
      </c>
      <c r="M106" s="46"/>
      <c r="N106" s="46"/>
      <c r="O106" s="46"/>
      <c r="P106" s="46"/>
      <c r="Q106" s="46"/>
    </row>
    <row r="107" spans="1:17" s="45" customFormat="1">
      <c r="A107" s="600">
        <f t="shared" si="36"/>
        <v>531</v>
      </c>
      <c r="B107" s="45" t="s">
        <v>61</v>
      </c>
      <c r="C107" s="50">
        <f>'1-DRR'!$K$2</f>
        <v>2021</v>
      </c>
      <c r="D107" s="579" t="str">
        <f>IF(E107="N/A","N/A",'3-ATA'!$C$49*'9-WholesaleRevenues'!C70)</f>
        <v>N/A</v>
      </c>
      <c r="E107" s="579" t="str">
        <f>IF('9-WholesaleRevenues'!C103="N/A","N/A",'9-WholesaleRevenues'!C103)</f>
        <v>N/A</v>
      </c>
      <c r="F107" s="601">
        <f t="shared" si="34"/>
        <v>0</v>
      </c>
      <c r="G107" s="601">
        <f t="shared" si="37"/>
        <v>0</v>
      </c>
      <c r="H107" s="636">
        <f>$H$77</f>
        <v>3.2500000000000001E-2</v>
      </c>
      <c r="I107" s="18">
        <f>IF(E107="N/A",0,ROUND((F107/2+G106+J105)*H107/12,2))</f>
        <v>0</v>
      </c>
      <c r="J107" s="18">
        <f t="shared" si="38"/>
        <v>0</v>
      </c>
      <c r="K107" s="18">
        <f t="shared" si="35"/>
        <v>0</v>
      </c>
      <c r="L107" s="600">
        <f t="shared" si="33"/>
        <v>531</v>
      </c>
      <c r="M107" s="46"/>
      <c r="N107" s="46"/>
      <c r="O107" s="46"/>
      <c r="P107" s="46"/>
      <c r="Q107" s="46"/>
    </row>
    <row r="108" spans="1:17" s="45" customFormat="1">
      <c r="A108" s="600">
        <f t="shared" si="36"/>
        <v>532</v>
      </c>
      <c r="B108" s="45" t="s">
        <v>80</v>
      </c>
      <c r="C108" s="50">
        <f>'1-DRR'!$K$2</f>
        <v>2021</v>
      </c>
      <c r="D108" s="579">
        <f>IF(E108="N/A","N/A",'3-ATA'!$C$49*'9-WholesaleRevenues'!C71)</f>
        <v>1139772.3608206289</v>
      </c>
      <c r="E108" s="579">
        <f>IF('9-WholesaleRevenues'!C104="N/A","N/A",'9-WholesaleRevenues'!C104)</f>
        <v>821484.41000000015</v>
      </c>
      <c r="F108" s="601">
        <f t="shared" si="34"/>
        <v>318287.95082062879</v>
      </c>
      <c r="G108" s="601">
        <f t="shared" si="37"/>
        <v>318287.95082062879</v>
      </c>
      <c r="H108" s="636">
        <f>$H$78</f>
        <v>3.2500000000000001E-2</v>
      </c>
      <c r="I108" s="18">
        <f>IF(E108="N/A",0,ROUND((F108/2+G107+J105)*H108/12,2))</f>
        <v>431.01</v>
      </c>
      <c r="J108" s="18">
        <f t="shared" si="38"/>
        <v>431.01</v>
      </c>
      <c r="K108" s="18">
        <f t="shared" si="35"/>
        <v>318718.96000000002</v>
      </c>
      <c r="L108" s="600">
        <f t="shared" si="33"/>
        <v>532</v>
      </c>
      <c r="M108" s="46"/>
      <c r="N108" s="46"/>
      <c r="O108" s="46"/>
      <c r="P108" s="46"/>
      <c r="Q108" s="46"/>
    </row>
    <row r="109" spans="1:17" s="45" customFormat="1">
      <c r="A109" s="600">
        <f t="shared" si="36"/>
        <v>533</v>
      </c>
      <c r="B109" s="45" t="s">
        <v>81</v>
      </c>
      <c r="C109" s="50">
        <f>'1-DRR'!$K$2</f>
        <v>2021</v>
      </c>
      <c r="D109" s="579">
        <f>IF(E109="N/A","N/A",'3-ATA'!$C$49*'9-WholesaleRevenues'!C72)</f>
        <v>1111167.3200050259</v>
      </c>
      <c r="E109" s="579">
        <f>IF('9-WholesaleRevenues'!C105="N/A","N/A",'9-WholesaleRevenues'!C105)</f>
        <v>821491.66000000015</v>
      </c>
      <c r="F109" s="601">
        <f t="shared" si="34"/>
        <v>289675.6600050258</v>
      </c>
      <c r="G109" s="601">
        <f t="shared" si="37"/>
        <v>607963.61082565458</v>
      </c>
      <c r="H109" s="636">
        <f>$H$79</f>
        <v>3.2500000000000001E-2</v>
      </c>
      <c r="I109" s="18">
        <f>IF(E109="N/A",0,ROUND((F109/2+G108+J108)*H109/12,2))</f>
        <v>1255.47</v>
      </c>
      <c r="J109" s="18">
        <f t="shared" si="38"/>
        <v>1686.48</v>
      </c>
      <c r="K109" s="18">
        <f t="shared" si="35"/>
        <v>609650.09</v>
      </c>
      <c r="L109" s="600">
        <f t="shared" si="33"/>
        <v>533</v>
      </c>
      <c r="M109" s="46"/>
      <c r="N109" s="46"/>
      <c r="O109" s="46"/>
      <c r="P109" s="46"/>
      <c r="Q109" s="46"/>
    </row>
    <row r="110" spans="1:17" s="45" customFormat="1">
      <c r="A110" s="600">
        <f t="shared" si="36"/>
        <v>534</v>
      </c>
      <c r="B110" s="45" t="s">
        <v>82</v>
      </c>
      <c r="C110" s="50">
        <f>'1-DRR'!$K$2</f>
        <v>2021</v>
      </c>
      <c r="D110" s="579">
        <f>IF(E110="N/A","N/A",'3-ATA'!$C$49*'9-WholesaleRevenues'!C73)</f>
        <v>1213686.450023412</v>
      </c>
      <c r="E110" s="579">
        <f>IF('9-WholesaleRevenues'!C106="N/A","N/A",'9-WholesaleRevenues'!C106)</f>
        <v>820717.92</v>
      </c>
      <c r="F110" s="601">
        <f t="shared" si="34"/>
        <v>392968.53002341196</v>
      </c>
      <c r="G110" s="601">
        <f t="shared" si="37"/>
        <v>1000932.1408490665</v>
      </c>
      <c r="H110" s="636">
        <f>$H$80</f>
        <v>3.2500000000000001E-2</v>
      </c>
      <c r="I110" s="18">
        <f>IF(E110="N/A",0,ROUND((F110/2+G109+J108)*H110/12,2))</f>
        <v>2179.88</v>
      </c>
      <c r="J110" s="18">
        <f t="shared" si="38"/>
        <v>3866.36</v>
      </c>
      <c r="K110" s="18">
        <f t="shared" si="35"/>
        <v>1004798.5</v>
      </c>
      <c r="L110" s="600">
        <f t="shared" si="33"/>
        <v>534</v>
      </c>
      <c r="M110" s="46"/>
      <c r="N110" s="46"/>
      <c r="O110" s="46"/>
      <c r="P110" s="46"/>
      <c r="Q110" s="46"/>
    </row>
    <row r="111" spans="1:17" s="45" customFormat="1">
      <c r="A111" s="600">
        <f t="shared" si="36"/>
        <v>535</v>
      </c>
      <c r="B111" s="45" t="s">
        <v>83</v>
      </c>
      <c r="C111" s="50">
        <f>'1-DRR'!$K$2</f>
        <v>2021</v>
      </c>
      <c r="D111" s="579">
        <f>IF(E111="N/A","N/A",'3-ATA'!$C$49*'9-WholesaleRevenues'!C74)</f>
        <v>1254046.8099533101</v>
      </c>
      <c r="E111" s="579">
        <f>IF('9-WholesaleRevenues'!C107="N/A","N/A",'9-WholesaleRevenues'!C107)</f>
        <v>905647.46000000008</v>
      </c>
      <c r="F111" s="601">
        <f t="shared" si="34"/>
        <v>348399.34995330998</v>
      </c>
      <c r="G111" s="601">
        <f t="shared" si="37"/>
        <v>1349331.4908023765</v>
      </c>
      <c r="H111" s="636">
        <f>$H$81</f>
        <v>3.2500000000000001E-2</v>
      </c>
      <c r="I111" s="18">
        <f>IF(E111="N/A",0,ROUND((F111/2+G110+J108)*H111/12,2))</f>
        <v>3183.82</v>
      </c>
      <c r="J111" s="18">
        <f t="shared" si="38"/>
        <v>7050.18</v>
      </c>
      <c r="K111" s="18">
        <f t="shared" si="35"/>
        <v>1356381.67</v>
      </c>
      <c r="L111" s="600">
        <f t="shared" si="33"/>
        <v>535</v>
      </c>
      <c r="M111" s="46"/>
      <c r="N111" s="46"/>
      <c r="O111" s="46"/>
      <c r="P111" s="46"/>
      <c r="Q111" s="46"/>
    </row>
    <row r="112" spans="1:17" s="45" customFormat="1">
      <c r="A112" s="600">
        <f t="shared" si="36"/>
        <v>536</v>
      </c>
      <c r="B112" s="45" t="s">
        <v>84</v>
      </c>
      <c r="C112" s="50">
        <f>'1-DRR'!$K$2</f>
        <v>2021</v>
      </c>
      <c r="D112" s="579">
        <f>IF(E112="N/A","N/A",'3-ATA'!$C$49*'9-WholesaleRevenues'!C75)</f>
        <v>1311466.3858207441</v>
      </c>
      <c r="E112" s="579">
        <f>IF('9-WholesaleRevenues'!C108="N/A","N/A",'9-WholesaleRevenues'!C108)</f>
        <v>757649.72</v>
      </c>
      <c r="F112" s="601">
        <f t="shared" si="34"/>
        <v>553816.66582074412</v>
      </c>
      <c r="G112" s="601">
        <f t="shared" si="37"/>
        <v>1903148.1566231207</v>
      </c>
      <c r="H112" s="636">
        <f>$H$82</f>
        <v>3.2500000000000001E-2</v>
      </c>
      <c r="I112" s="18">
        <f>IF(E112="N/A",0,ROUND((F112/2+G111+J111)*H112/12,2))</f>
        <v>4423.49</v>
      </c>
      <c r="J112" s="18">
        <f t="shared" si="38"/>
        <v>11473.67</v>
      </c>
      <c r="K112" s="18">
        <f t="shared" si="35"/>
        <v>1914621.83</v>
      </c>
      <c r="L112" s="600">
        <f t="shared" si="33"/>
        <v>536</v>
      </c>
      <c r="M112" s="46"/>
      <c r="N112" s="46"/>
      <c r="O112" s="46"/>
      <c r="P112" s="46"/>
      <c r="Q112" s="46"/>
    </row>
    <row r="113" spans="1:17" s="45" customFormat="1">
      <c r="A113" s="600">
        <f t="shared" si="36"/>
        <v>537</v>
      </c>
      <c r="B113" s="45" t="s">
        <v>85</v>
      </c>
      <c r="C113" s="50">
        <f>'1-DRR'!$K$2</f>
        <v>2021</v>
      </c>
      <c r="D113" s="579">
        <f>IF(E113="N/A","N/A",'3-ATA'!$C$49*'9-WholesaleRevenues'!C76)</f>
        <v>1290884.0554292442</v>
      </c>
      <c r="E113" s="579">
        <f>IF('9-WholesaleRevenues'!C109="N/A","N/A",'9-WholesaleRevenues'!C109)</f>
        <v>825251.91999999993</v>
      </c>
      <c r="F113" s="601">
        <f t="shared" si="34"/>
        <v>465632.13542924426</v>
      </c>
      <c r="G113" s="601">
        <f t="shared" si="37"/>
        <v>2368780.2920523649</v>
      </c>
      <c r="H113" s="636">
        <f>$H$83</f>
        <v>3.2500000000000001E-2</v>
      </c>
      <c r="I113" s="18">
        <f>IF(E113="N/A",0,ROUND((F113/2+G112+J111)*H113/12,2))</f>
        <v>5804</v>
      </c>
      <c r="J113" s="18">
        <f t="shared" si="38"/>
        <v>17277.669999999998</v>
      </c>
      <c r="K113" s="18">
        <f t="shared" si="35"/>
        <v>2386057.96</v>
      </c>
      <c r="L113" s="600">
        <f t="shared" si="33"/>
        <v>537</v>
      </c>
      <c r="M113" s="46"/>
      <c r="N113" s="46"/>
      <c r="O113" s="46"/>
      <c r="P113" s="46"/>
      <c r="Q113" s="46"/>
    </row>
    <row r="114" spans="1:17" s="45" customFormat="1">
      <c r="A114" s="600">
        <f t="shared" si="36"/>
        <v>538</v>
      </c>
      <c r="B114" s="45" t="s">
        <v>75</v>
      </c>
      <c r="C114" s="50">
        <f>'1-DRR'!$K$2</f>
        <v>2021</v>
      </c>
      <c r="D114" s="579">
        <f>IF(E114="N/A","N/A",'3-ATA'!$C$49*'9-WholesaleRevenues'!C77)</f>
        <v>1354119.6989729174</v>
      </c>
      <c r="E114" s="579">
        <f>IF('9-WholesaleRevenues'!C110="N/A","N/A",'9-WholesaleRevenues'!C110)</f>
        <v>823322.31999999983</v>
      </c>
      <c r="F114" s="601">
        <f t="shared" si="34"/>
        <v>530797.37897291756</v>
      </c>
      <c r="G114" s="601">
        <f t="shared" si="37"/>
        <v>2899577.6710252827</v>
      </c>
      <c r="H114" s="636">
        <f>$H$84</f>
        <v>3.2500000000000001E-2</v>
      </c>
      <c r="I114" s="18">
        <f>IF(E114="N/A",0,ROUND((F114/2+G113+J111)*H114/12,2))</f>
        <v>7153.33</v>
      </c>
      <c r="J114" s="18">
        <f t="shared" si="38"/>
        <v>24431</v>
      </c>
      <c r="K114" s="18">
        <f t="shared" si="35"/>
        <v>2924008.67</v>
      </c>
      <c r="L114" s="600">
        <f t="shared" si="33"/>
        <v>538</v>
      </c>
      <c r="M114" s="46"/>
      <c r="N114" s="46"/>
      <c r="O114" s="46"/>
      <c r="P114" s="46"/>
      <c r="Q114" s="46"/>
    </row>
    <row r="115" spans="1:17" s="45" customFormat="1">
      <c r="A115" s="600">
        <f t="shared" si="36"/>
        <v>539</v>
      </c>
      <c r="B115" s="45" t="s">
        <v>76</v>
      </c>
      <c r="C115" s="50">
        <f>C114+1</f>
        <v>2022</v>
      </c>
      <c r="D115" s="110" t="s">
        <v>109</v>
      </c>
      <c r="E115" s="110" t="s">
        <v>109</v>
      </c>
      <c r="F115" s="601">
        <v>0</v>
      </c>
      <c r="G115" s="601">
        <f>F115+G114</f>
        <v>2899577.6710252827</v>
      </c>
      <c r="H115" s="636">
        <f>$H$85</f>
        <v>3.2500000000000001E-2</v>
      </c>
      <c r="I115" s="18">
        <f t="shared" ref="I115" si="39">ROUND((F115/2+G114+J114)*H115/12,2)</f>
        <v>7919.19</v>
      </c>
      <c r="J115" s="18">
        <f t="shared" si="38"/>
        <v>32350.19</v>
      </c>
      <c r="K115" s="18">
        <f t="shared" si="35"/>
        <v>2931927.86</v>
      </c>
      <c r="L115" s="600">
        <f t="shared" si="33"/>
        <v>539</v>
      </c>
      <c r="M115" s="46"/>
      <c r="N115" s="46"/>
      <c r="O115" s="46"/>
      <c r="P115" s="46"/>
      <c r="Q115" s="46"/>
    </row>
    <row r="116" spans="1:17" s="45" customFormat="1">
      <c r="A116" s="600">
        <f t="shared" si="36"/>
        <v>540</v>
      </c>
      <c r="B116" s="45" t="s">
        <v>77</v>
      </c>
      <c r="C116" s="50">
        <f>C115</f>
        <v>2022</v>
      </c>
      <c r="D116" s="110" t="s">
        <v>109</v>
      </c>
      <c r="E116" s="110" t="s">
        <v>109</v>
      </c>
      <c r="F116" s="601">
        <v>0</v>
      </c>
      <c r="G116" s="601">
        <f t="shared" ref="G116:G126" si="40">F116+G115</f>
        <v>2899577.6710252827</v>
      </c>
      <c r="H116" s="636">
        <f>$H$86</f>
        <v>3.2500000000000001E-2</v>
      </c>
      <c r="I116" s="18">
        <f t="shared" ref="I116" si="41">ROUND((F116/2+G115+J114)*H116/12,2)</f>
        <v>7919.19</v>
      </c>
      <c r="J116" s="18">
        <f t="shared" si="38"/>
        <v>40269.379999999997</v>
      </c>
      <c r="K116" s="18">
        <f t="shared" si="35"/>
        <v>2939847.05</v>
      </c>
      <c r="L116" s="600">
        <f t="shared" si="33"/>
        <v>540</v>
      </c>
      <c r="M116" s="46"/>
      <c r="N116" s="46"/>
      <c r="O116" s="46"/>
      <c r="P116" s="46"/>
      <c r="Q116" s="46"/>
    </row>
    <row r="117" spans="1:17" s="45" customFormat="1">
      <c r="A117" s="600">
        <f t="shared" si="36"/>
        <v>541</v>
      </c>
      <c r="B117" s="45" t="s">
        <v>78</v>
      </c>
      <c r="C117" s="50">
        <f t="shared" ref="C117:C126" si="42">C116</f>
        <v>2022</v>
      </c>
      <c r="D117" s="110" t="s">
        <v>109</v>
      </c>
      <c r="E117" s="110" t="s">
        <v>109</v>
      </c>
      <c r="F117" s="601">
        <v>0</v>
      </c>
      <c r="G117" s="601">
        <f t="shared" si="40"/>
        <v>2899577.6710252827</v>
      </c>
      <c r="H117" s="636">
        <f>$H$87</f>
        <v>3.2500000000000001E-2</v>
      </c>
      <c r="I117" s="18">
        <f t="shared" ref="I117" si="43">ROUND((F117/2+G116+J114)*H117/12,2)</f>
        <v>7919.19</v>
      </c>
      <c r="J117" s="18">
        <f t="shared" si="38"/>
        <v>48188.57</v>
      </c>
      <c r="K117" s="18">
        <f t="shared" si="35"/>
        <v>2947766.24</v>
      </c>
      <c r="L117" s="600">
        <f t="shared" si="33"/>
        <v>541</v>
      </c>
      <c r="M117" s="46"/>
      <c r="N117" s="46"/>
      <c r="O117" s="46"/>
      <c r="P117" s="46"/>
      <c r="Q117" s="46"/>
    </row>
    <row r="118" spans="1:17" s="45" customFormat="1">
      <c r="A118" s="600">
        <f t="shared" si="36"/>
        <v>542</v>
      </c>
      <c r="B118" s="45" t="s">
        <v>79</v>
      </c>
      <c r="C118" s="50">
        <f t="shared" si="42"/>
        <v>2022</v>
      </c>
      <c r="D118" s="110" t="s">
        <v>109</v>
      </c>
      <c r="E118" s="110" t="s">
        <v>109</v>
      </c>
      <c r="F118" s="601">
        <v>0</v>
      </c>
      <c r="G118" s="601">
        <f t="shared" si="40"/>
        <v>2899577.6710252827</v>
      </c>
      <c r="H118" s="636">
        <f>$H$88</f>
        <v>3.2500000000000001E-2</v>
      </c>
      <c r="I118" s="18">
        <f t="shared" ref="I118" si="44">ROUND((F118/2+G117+J117)*H118/12,2)</f>
        <v>7983.53</v>
      </c>
      <c r="J118" s="18">
        <f t="shared" si="38"/>
        <v>56172.1</v>
      </c>
      <c r="K118" s="18">
        <f t="shared" si="35"/>
        <v>2955749.77</v>
      </c>
      <c r="L118" s="600">
        <f t="shared" si="33"/>
        <v>542</v>
      </c>
      <c r="M118" s="46"/>
      <c r="N118" s="46"/>
      <c r="O118" s="46"/>
      <c r="P118" s="46"/>
      <c r="Q118" s="46"/>
    </row>
    <row r="119" spans="1:17" s="45" customFormat="1">
      <c r="A119" s="600">
        <f t="shared" si="36"/>
        <v>543</v>
      </c>
      <c r="B119" s="45" t="s">
        <v>61</v>
      </c>
      <c r="C119" s="50">
        <f t="shared" si="42"/>
        <v>2022</v>
      </c>
      <c r="D119" s="110" t="s">
        <v>109</v>
      </c>
      <c r="E119" s="110" t="s">
        <v>109</v>
      </c>
      <c r="F119" s="601">
        <v>0</v>
      </c>
      <c r="G119" s="601">
        <f t="shared" si="40"/>
        <v>2899577.6710252827</v>
      </c>
      <c r="H119" s="636">
        <f>$H$89</f>
        <v>3.2500000000000001E-2</v>
      </c>
      <c r="I119" s="18">
        <f t="shared" ref="I119" si="45">ROUND((F119/2+G118+J117)*H119/12,2)</f>
        <v>7983.53</v>
      </c>
      <c r="J119" s="18">
        <f t="shared" si="38"/>
        <v>64155.63</v>
      </c>
      <c r="K119" s="18">
        <f t="shared" si="35"/>
        <v>2963733.3</v>
      </c>
      <c r="L119" s="600">
        <f t="shared" si="33"/>
        <v>543</v>
      </c>
      <c r="M119" s="46"/>
      <c r="N119" s="46"/>
      <c r="O119" s="46"/>
      <c r="P119" s="46"/>
      <c r="Q119" s="46"/>
    </row>
    <row r="120" spans="1:17" s="45" customFormat="1">
      <c r="A120" s="600">
        <f t="shared" si="36"/>
        <v>544</v>
      </c>
      <c r="B120" s="45" t="s">
        <v>80</v>
      </c>
      <c r="C120" s="50">
        <f t="shared" si="42"/>
        <v>2022</v>
      </c>
      <c r="D120" s="110" t="s">
        <v>109</v>
      </c>
      <c r="E120" s="110" t="s">
        <v>109</v>
      </c>
      <c r="F120" s="601">
        <v>0</v>
      </c>
      <c r="G120" s="601">
        <f t="shared" si="40"/>
        <v>2899577.6710252827</v>
      </c>
      <c r="H120" s="636">
        <f>$H$90</f>
        <v>3.2500000000000001E-2</v>
      </c>
      <c r="I120" s="18">
        <f t="shared" ref="I120" si="46">ROUND((F120/2+G119+J117)*H120/12,2)</f>
        <v>7983.53</v>
      </c>
      <c r="J120" s="18">
        <f t="shared" si="38"/>
        <v>72139.16</v>
      </c>
      <c r="K120" s="18">
        <f t="shared" si="35"/>
        <v>2971716.83</v>
      </c>
      <c r="L120" s="600">
        <f t="shared" si="33"/>
        <v>544</v>
      </c>
      <c r="M120" s="46"/>
      <c r="N120" s="46"/>
      <c r="O120" s="46"/>
      <c r="P120" s="46"/>
      <c r="Q120" s="46"/>
    </row>
    <row r="121" spans="1:17" s="45" customFormat="1">
      <c r="A121" s="600">
        <f t="shared" si="36"/>
        <v>545</v>
      </c>
      <c r="B121" s="45" t="s">
        <v>81</v>
      </c>
      <c r="C121" s="50">
        <f t="shared" si="42"/>
        <v>2022</v>
      </c>
      <c r="D121" s="110" t="s">
        <v>109</v>
      </c>
      <c r="E121" s="110" t="s">
        <v>109</v>
      </c>
      <c r="F121" s="601">
        <v>0</v>
      </c>
      <c r="G121" s="601">
        <f t="shared" si="40"/>
        <v>2899577.6710252827</v>
      </c>
      <c r="H121" s="636">
        <f>$H$91</f>
        <v>3.5999999999999997E-2</v>
      </c>
      <c r="I121" s="18">
        <f t="shared" ref="I121" si="47">ROUND((F121/2+G120+J120)*H121/12,2)</f>
        <v>8915.15</v>
      </c>
      <c r="J121" s="18">
        <f t="shared" si="38"/>
        <v>81054.31</v>
      </c>
      <c r="K121" s="18">
        <f t="shared" si="35"/>
        <v>2980631.98</v>
      </c>
      <c r="L121" s="600">
        <f t="shared" si="33"/>
        <v>545</v>
      </c>
      <c r="M121" s="46"/>
      <c r="N121" s="46"/>
      <c r="O121" s="46"/>
      <c r="P121" s="46"/>
      <c r="Q121" s="46"/>
    </row>
    <row r="122" spans="1:17" s="45" customFormat="1">
      <c r="A122" s="600">
        <f t="shared" si="36"/>
        <v>546</v>
      </c>
      <c r="B122" s="45" t="s">
        <v>82</v>
      </c>
      <c r="C122" s="50">
        <f t="shared" si="42"/>
        <v>2022</v>
      </c>
      <c r="D122" s="110" t="s">
        <v>109</v>
      </c>
      <c r="E122" s="110" t="s">
        <v>109</v>
      </c>
      <c r="F122" s="601">
        <v>0</v>
      </c>
      <c r="G122" s="601">
        <f t="shared" si="40"/>
        <v>2899577.6710252827</v>
      </c>
      <c r="H122" s="636">
        <f>$H$92</f>
        <v>3.5999999999999997E-2</v>
      </c>
      <c r="I122" s="18">
        <f t="shared" ref="I122" si="48">ROUND((F122/2+G121+J120)*H122/12,2)</f>
        <v>8915.15</v>
      </c>
      <c r="J122" s="18">
        <f t="shared" si="38"/>
        <v>89969.459999999992</v>
      </c>
      <c r="K122" s="18">
        <f t="shared" si="35"/>
        <v>2989547.13</v>
      </c>
      <c r="L122" s="600">
        <f t="shared" si="33"/>
        <v>546</v>
      </c>
      <c r="M122" s="46"/>
      <c r="N122" s="46"/>
      <c r="O122" s="46"/>
      <c r="P122" s="46"/>
      <c r="Q122" s="46"/>
    </row>
    <row r="123" spans="1:17" s="45" customFormat="1">
      <c r="A123" s="600">
        <f t="shared" si="36"/>
        <v>547</v>
      </c>
      <c r="B123" s="45" t="s">
        <v>83</v>
      </c>
      <c r="C123" s="50">
        <f t="shared" si="42"/>
        <v>2022</v>
      </c>
      <c r="D123" s="110" t="s">
        <v>109</v>
      </c>
      <c r="E123" s="110" t="s">
        <v>109</v>
      </c>
      <c r="F123" s="601">
        <v>0</v>
      </c>
      <c r="G123" s="601">
        <f t="shared" si="40"/>
        <v>2899577.6710252827</v>
      </c>
      <c r="H123" s="636">
        <f>$H$93</f>
        <v>3.5999999999999997E-2</v>
      </c>
      <c r="I123" s="18">
        <f t="shared" ref="I123" si="49">ROUND((F123/2+G122+J120)*H123/12,2)</f>
        <v>8915.15</v>
      </c>
      <c r="J123" s="18">
        <f t="shared" si="38"/>
        <v>98884.609999999986</v>
      </c>
      <c r="K123" s="18">
        <f t="shared" si="35"/>
        <v>2998462.28</v>
      </c>
      <c r="L123" s="600">
        <f t="shared" si="33"/>
        <v>547</v>
      </c>
      <c r="M123" s="46"/>
      <c r="N123" s="46"/>
      <c r="O123" s="46"/>
      <c r="P123" s="46"/>
      <c r="Q123" s="46"/>
    </row>
    <row r="124" spans="1:17" s="45" customFormat="1">
      <c r="A124" s="600">
        <f t="shared" si="36"/>
        <v>548</v>
      </c>
      <c r="B124" s="45" t="s">
        <v>84</v>
      </c>
      <c r="C124" s="50">
        <f t="shared" si="42"/>
        <v>2022</v>
      </c>
      <c r="D124" s="110" t="s">
        <v>109</v>
      </c>
      <c r="E124" s="110" t="s">
        <v>109</v>
      </c>
      <c r="F124" s="601">
        <v>0</v>
      </c>
      <c r="G124" s="601">
        <f t="shared" si="40"/>
        <v>2899577.6710252827</v>
      </c>
      <c r="H124" s="636">
        <f>$H$94</f>
        <v>4.9099999999999998E-2</v>
      </c>
      <c r="I124" s="18">
        <f t="shared" ref="I124" si="50">ROUND((F124/2+G123+J123)*H124/12,2)</f>
        <v>12268.71</v>
      </c>
      <c r="J124" s="18">
        <f t="shared" si="38"/>
        <v>111153.31999999998</v>
      </c>
      <c r="K124" s="18">
        <f t="shared" si="35"/>
        <v>3010730.99</v>
      </c>
      <c r="L124" s="600">
        <f t="shared" si="33"/>
        <v>548</v>
      </c>
      <c r="M124" s="46"/>
      <c r="N124" s="46"/>
      <c r="O124" s="46"/>
      <c r="P124" s="46"/>
      <c r="Q124" s="46"/>
    </row>
    <row r="125" spans="1:17" s="45" customFormat="1">
      <c r="A125" s="600">
        <f t="shared" si="36"/>
        <v>549</v>
      </c>
      <c r="B125" s="45" t="s">
        <v>85</v>
      </c>
      <c r="C125" s="50">
        <f t="shared" si="42"/>
        <v>2022</v>
      </c>
      <c r="D125" s="110" t="s">
        <v>109</v>
      </c>
      <c r="E125" s="110" t="s">
        <v>109</v>
      </c>
      <c r="F125" s="601">
        <v>0</v>
      </c>
      <c r="G125" s="601">
        <f t="shared" si="40"/>
        <v>2899577.6710252827</v>
      </c>
      <c r="H125" s="636">
        <f>$H$95</f>
        <v>4.9099999999999998E-2</v>
      </c>
      <c r="I125" s="18">
        <f t="shared" ref="I125" si="51">ROUND((F125/2+G124+J123)*H125/12,2)</f>
        <v>12268.71</v>
      </c>
      <c r="J125" s="18">
        <f t="shared" si="38"/>
        <v>123422.02999999997</v>
      </c>
      <c r="K125" s="18">
        <f t="shared" si="35"/>
        <v>3022999.7</v>
      </c>
      <c r="L125" s="600">
        <f t="shared" si="33"/>
        <v>549</v>
      </c>
      <c r="M125" s="46"/>
      <c r="N125" s="46"/>
      <c r="O125" s="46"/>
      <c r="P125" s="46"/>
      <c r="Q125" s="46"/>
    </row>
    <row r="126" spans="1:17" s="45" customFormat="1">
      <c r="A126" s="600">
        <f t="shared" si="36"/>
        <v>550</v>
      </c>
      <c r="B126" s="45" t="s">
        <v>75</v>
      </c>
      <c r="C126" s="50">
        <f t="shared" si="42"/>
        <v>2022</v>
      </c>
      <c r="D126" s="110" t="s">
        <v>109</v>
      </c>
      <c r="E126" s="110" t="s">
        <v>109</v>
      </c>
      <c r="F126" s="601">
        <v>0</v>
      </c>
      <c r="G126" s="601">
        <f t="shared" si="40"/>
        <v>2899577.6710252827</v>
      </c>
      <c r="H126" s="636">
        <f>$H$96</f>
        <v>4.9099999999999998E-2</v>
      </c>
      <c r="I126" s="18">
        <f t="shared" ref="I126" si="52">ROUND((F126/2+G125+J123)*H126/12,2)</f>
        <v>12268.71</v>
      </c>
      <c r="J126" s="18">
        <f t="shared" si="38"/>
        <v>135690.73999999996</v>
      </c>
      <c r="K126" s="18">
        <f t="shared" si="35"/>
        <v>3035268.41</v>
      </c>
      <c r="L126" s="600">
        <f t="shared" si="33"/>
        <v>550</v>
      </c>
      <c r="M126" s="46"/>
      <c r="N126" s="46"/>
      <c r="O126" s="46"/>
      <c r="P126" s="46"/>
      <c r="Q126" s="46"/>
    </row>
    <row r="127" spans="1:17" s="45" customFormat="1">
      <c r="A127" s="600"/>
      <c r="C127" s="50"/>
      <c r="D127" s="110"/>
      <c r="E127" s="110"/>
      <c r="F127" s="601"/>
      <c r="G127" s="601"/>
      <c r="H127" s="602"/>
      <c r="I127" s="18"/>
      <c r="J127" s="18"/>
      <c r="K127" s="18"/>
      <c r="L127" s="600"/>
      <c r="M127" s="46"/>
      <c r="N127" s="46"/>
      <c r="O127" s="46"/>
      <c r="P127" s="46"/>
      <c r="Q127" s="46"/>
    </row>
    <row r="128" spans="1:17" s="45" customFormat="1">
      <c r="A128" s="3" t="s">
        <v>86</v>
      </c>
      <c r="B128" s="613" t="s">
        <v>882</v>
      </c>
      <c r="C128" s="614" t="s">
        <v>62</v>
      </c>
      <c r="D128" s="614" t="s">
        <v>63</v>
      </c>
      <c r="E128" s="614" t="s">
        <v>64</v>
      </c>
      <c r="F128" s="615" t="s">
        <v>65</v>
      </c>
      <c r="G128" s="614" t="s">
        <v>66</v>
      </c>
      <c r="H128" s="614" t="s">
        <v>67</v>
      </c>
      <c r="I128" s="614" t="s">
        <v>68</v>
      </c>
      <c r="J128" s="614" t="s">
        <v>69</v>
      </c>
      <c r="K128" s="616" t="s">
        <v>70</v>
      </c>
      <c r="L128" s="3" t="str">
        <f t="shared" ref="L128:L129" si="53">A128</f>
        <v>Line</v>
      </c>
      <c r="M128" s="46"/>
      <c r="N128" s="46"/>
      <c r="O128" s="46"/>
      <c r="P128" s="46"/>
      <c r="Q128" s="46"/>
    </row>
    <row r="129" spans="1:17" s="45" customFormat="1">
      <c r="A129" s="600">
        <f>A67+100</f>
        <v>600</v>
      </c>
      <c r="B129" s="617" t="s">
        <v>1064</v>
      </c>
      <c r="C129" s="545"/>
      <c r="D129" s="618" t="s">
        <v>87</v>
      </c>
      <c r="E129" s="618" t="s">
        <v>88</v>
      </c>
      <c r="F129" s="619" t="str">
        <f>""&amp;D128&amp;" - "&amp;E128&amp;""</f>
        <v>Col 2 - Col 3</v>
      </c>
      <c r="G129" s="619" t="s">
        <v>112</v>
      </c>
      <c r="H129" s="619" t="s">
        <v>127</v>
      </c>
      <c r="I129" s="619" t="s">
        <v>128</v>
      </c>
      <c r="J129" s="619" t="s">
        <v>113</v>
      </c>
      <c r="K129" s="620" t="str">
        <f>""&amp;G128&amp;" + "&amp;J128&amp;""</f>
        <v>Col 5 + Col 8</v>
      </c>
      <c r="L129" s="600">
        <f t="shared" si="53"/>
        <v>600</v>
      </c>
      <c r="M129" s="46"/>
      <c r="N129" s="46"/>
      <c r="O129" s="46"/>
      <c r="P129" s="46"/>
      <c r="Q129" s="46"/>
    </row>
    <row r="130" spans="1:17" s="45" customFormat="1">
      <c r="A130" s="600"/>
      <c r="B130" s="621"/>
      <c r="C130" s="545"/>
      <c r="D130" s="545"/>
      <c r="E130" s="545"/>
      <c r="F130" s="176"/>
      <c r="G130" s="545" t="s">
        <v>135</v>
      </c>
      <c r="H130" s="545"/>
      <c r="I130" s="545"/>
      <c r="J130" s="545"/>
      <c r="K130" s="622" t="s">
        <v>135</v>
      </c>
      <c r="L130" s="46"/>
      <c r="M130" s="46"/>
      <c r="N130" s="46"/>
      <c r="O130" s="46"/>
      <c r="P130" s="46"/>
      <c r="Q130" s="46"/>
    </row>
    <row r="131" spans="1:17" s="45" customFormat="1">
      <c r="B131" s="621"/>
      <c r="C131" s="545"/>
      <c r="D131" s="176" t="s">
        <v>926</v>
      </c>
      <c r="E131" s="176" t="s">
        <v>926</v>
      </c>
      <c r="F131" s="176"/>
      <c r="G131" s="545" t="s">
        <v>766</v>
      </c>
      <c r="H131" s="545"/>
      <c r="I131" s="545"/>
      <c r="J131" s="545"/>
      <c r="K131" s="622" t="s">
        <v>766</v>
      </c>
      <c r="L131" s="46"/>
      <c r="M131" s="46"/>
      <c r="N131" s="46"/>
      <c r="O131" s="46"/>
      <c r="P131" s="46"/>
      <c r="Q131" s="46"/>
    </row>
    <row r="132" spans="1:17" s="45" customFormat="1">
      <c r="A132" s="600"/>
      <c r="B132" s="617"/>
      <c r="C132" s="545"/>
      <c r="D132" s="545" t="s">
        <v>71</v>
      </c>
      <c r="E132" s="545" t="s">
        <v>92</v>
      </c>
      <c r="F132" s="545" t="s">
        <v>124</v>
      </c>
      <c r="G132" s="545" t="s">
        <v>767</v>
      </c>
      <c r="H132" s="545" t="s">
        <v>185</v>
      </c>
      <c r="I132" s="545" t="s">
        <v>71</v>
      </c>
      <c r="J132" s="545" t="s">
        <v>132</v>
      </c>
      <c r="K132" s="622" t="s">
        <v>1061</v>
      </c>
      <c r="L132" s="46"/>
      <c r="M132" s="46"/>
      <c r="N132" s="46"/>
      <c r="O132" s="46"/>
      <c r="P132" s="46"/>
      <c r="Q132" s="46"/>
    </row>
    <row r="133" spans="1:17" s="45" customFormat="1">
      <c r="A133" s="600"/>
      <c r="B133" s="623" t="s">
        <v>58</v>
      </c>
      <c r="C133" s="624" t="s">
        <v>73</v>
      </c>
      <c r="D133" s="624" t="s">
        <v>1062</v>
      </c>
      <c r="E133" s="624" t="s">
        <v>121</v>
      </c>
      <c r="F133" s="624" t="s">
        <v>136</v>
      </c>
      <c r="G133" s="624" t="s">
        <v>123</v>
      </c>
      <c r="H133" s="624" t="s">
        <v>111</v>
      </c>
      <c r="I133" s="624" t="s">
        <v>72</v>
      </c>
      <c r="J133" s="624" t="s">
        <v>72</v>
      </c>
      <c r="K133" s="625" t="s">
        <v>74</v>
      </c>
      <c r="L133" s="46"/>
      <c r="M133" s="46"/>
      <c r="N133" s="46"/>
      <c r="O133" s="46"/>
      <c r="P133" s="46"/>
      <c r="Q133" s="46"/>
    </row>
    <row r="134" spans="1:17" s="45" customFormat="1">
      <c r="A134" s="600">
        <f>A129+1</f>
        <v>601</v>
      </c>
      <c r="B134" s="45" t="s">
        <v>75</v>
      </c>
      <c r="C134" s="50">
        <f>C135-1</f>
        <v>2020</v>
      </c>
      <c r="D134" s="110" t="s">
        <v>109</v>
      </c>
      <c r="E134" s="110" t="s">
        <v>109</v>
      </c>
      <c r="F134" s="47" t="s">
        <v>109</v>
      </c>
      <c r="G134" s="59">
        <v>0</v>
      </c>
      <c r="H134" s="47" t="s">
        <v>109</v>
      </c>
      <c r="I134" s="47" t="s">
        <v>109</v>
      </c>
      <c r="J134" s="59">
        <v>0</v>
      </c>
      <c r="K134" s="18">
        <f>ROUND((G134+J134),2)</f>
        <v>0</v>
      </c>
      <c r="L134" s="600">
        <f t="shared" ref="L134:L158" si="54">A134</f>
        <v>601</v>
      </c>
      <c r="M134" s="46"/>
      <c r="N134" s="46"/>
      <c r="O134" s="46"/>
      <c r="P134" s="46"/>
      <c r="Q134" s="46"/>
    </row>
    <row r="135" spans="1:17" s="45" customFormat="1">
      <c r="A135" s="600">
        <f>A134+1</f>
        <v>602</v>
      </c>
      <c r="B135" s="45" t="s">
        <v>76</v>
      </c>
      <c r="C135" s="50">
        <f>'1-DRR'!$K$2</f>
        <v>2021</v>
      </c>
      <c r="D135" s="579" t="str">
        <f>IF(E135="N/A","N/A",($D$42*'9-WholesaleRevenues'!E14))</f>
        <v>N/A</v>
      </c>
      <c r="E135" s="579" t="str">
        <f>IF('9-WholesaleRevenues'!E48="N/A","N/A",'9-WholesaleRevenues'!E48)</f>
        <v>N/A</v>
      </c>
      <c r="F135" s="601">
        <f t="shared" ref="F135:F146" si="55">IF(E135="N/A",0,D135-E135)</f>
        <v>0</v>
      </c>
      <c r="G135" s="601">
        <f>F135+G134</f>
        <v>0</v>
      </c>
      <c r="H135" s="636">
        <f>$H$73</f>
        <v>3.2500000000000001E-2</v>
      </c>
      <c r="I135" s="18">
        <f>IF(E135="N/A",0,ROUND((F135/2+G134+J134)*H135/12,2))</f>
        <v>0</v>
      </c>
      <c r="J135" s="18">
        <f>I135+J134</f>
        <v>0</v>
      </c>
      <c r="K135" s="18">
        <f t="shared" ref="K135:K158" si="56">ROUND((G135+J135),2)</f>
        <v>0</v>
      </c>
      <c r="L135" s="600">
        <f t="shared" si="54"/>
        <v>602</v>
      </c>
      <c r="M135" s="46"/>
      <c r="N135" s="46"/>
      <c r="O135" s="46"/>
      <c r="P135" s="46"/>
      <c r="Q135" s="46"/>
    </row>
    <row r="136" spans="1:17" s="45" customFormat="1">
      <c r="A136" s="600">
        <f t="shared" ref="A136:A158" si="57">A135+1</f>
        <v>603</v>
      </c>
      <c r="B136" s="45" t="s">
        <v>77</v>
      </c>
      <c r="C136" s="50">
        <f>'1-DRR'!$K$2</f>
        <v>2021</v>
      </c>
      <c r="D136" s="579" t="str">
        <f>IF(E136="N/A","N/A",($D$42*'9-WholesaleRevenues'!E15))</f>
        <v>N/A</v>
      </c>
      <c r="E136" s="579" t="str">
        <f>IF('9-WholesaleRevenues'!E49="N/A","N/A",'9-WholesaleRevenues'!E49)</f>
        <v>N/A</v>
      </c>
      <c r="F136" s="601">
        <f t="shared" si="55"/>
        <v>0</v>
      </c>
      <c r="G136" s="601">
        <f t="shared" ref="G136:G146" si="58">F136+G135</f>
        <v>0</v>
      </c>
      <c r="H136" s="636">
        <f>$H$74</f>
        <v>3.2500000000000001E-2</v>
      </c>
      <c r="I136" s="18">
        <f>IF(E136="N/A",0,ROUND((F136/2+G135+J134)*H136/12,2))</f>
        <v>0</v>
      </c>
      <c r="J136" s="18">
        <f>I136+J135</f>
        <v>0</v>
      </c>
      <c r="K136" s="18">
        <f t="shared" si="56"/>
        <v>0</v>
      </c>
      <c r="L136" s="600">
        <f t="shared" si="54"/>
        <v>603</v>
      </c>
      <c r="M136" s="46"/>
      <c r="N136" s="46"/>
      <c r="O136" s="46"/>
      <c r="P136" s="46"/>
      <c r="Q136" s="46"/>
    </row>
    <row r="137" spans="1:17" s="45" customFormat="1">
      <c r="A137" s="600">
        <f t="shared" si="57"/>
        <v>604</v>
      </c>
      <c r="B137" s="45" t="s">
        <v>78</v>
      </c>
      <c r="C137" s="50">
        <f>'1-DRR'!$K$2</f>
        <v>2021</v>
      </c>
      <c r="D137" s="579" t="str">
        <f>IF(E137="N/A","N/A",($D$42*'9-WholesaleRevenues'!E16))</f>
        <v>N/A</v>
      </c>
      <c r="E137" s="579" t="str">
        <f>IF('9-WholesaleRevenues'!E50="N/A","N/A",'9-WholesaleRevenues'!E50)</f>
        <v>N/A</v>
      </c>
      <c r="F137" s="601">
        <f t="shared" si="55"/>
        <v>0</v>
      </c>
      <c r="G137" s="601">
        <f t="shared" si="58"/>
        <v>0</v>
      </c>
      <c r="H137" s="636">
        <f>$H$75</f>
        <v>3.2500000000000001E-2</v>
      </c>
      <c r="I137" s="18">
        <f>IF(E137="N/A",0,ROUND((F137/2+G136+J134)*H137/12,2))</f>
        <v>0</v>
      </c>
      <c r="J137" s="18">
        <f>I137+J136</f>
        <v>0</v>
      </c>
      <c r="K137" s="18">
        <f t="shared" si="56"/>
        <v>0</v>
      </c>
      <c r="L137" s="600">
        <f t="shared" si="54"/>
        <v>604</v>
      </c>
      <c r="M137" s="46"/>
      <c r="N137" s="46"/>
      <c r="O137" s="46"/>
      <c r="P137" s="46"/>
      <c r="Q137" s="46"/>
    </row>
    <row r="138" spans="1:17" s="45" customFormat="1">
      <c r="A138" s="600">
        <f t="shared" si="57"/>
        <v>605</v>
      </c>
      <c r="B138" s="45" t="s">
        <v>79</v>
      </c>
      <c r="C138" s="50">
        <f>'1-DRR'!$K$2</f>
        <v>2021</v>
      </c>
      <c r="D138" s="579" t="str">
        <f>IF(E138="N/A","N/A",($D$42*'9-WholesaleRevenues'!E17))</f>
        <v>N/A</v>
      </c>
      <c r="E138" s="579" t="str">
        <f>IF('9-WholesaleRevenues'!E51="N/A","N/A",'9-WholesaleRevenues'!E51)</f>
        <v>N/A</v>
      </c>
      <c r="F138" s="601">
        <f t="shared" si="55"/>
        <v>0</v>
      </c>
      <c r="G138" s="601">
        <f t="shared" si="58"/>
        <v>0</v>
      </c>
      <c r="H138" s="636">
        <f>$H$76</f>
        <v>3.2500000000000001E-2</v>
      </c>
      <c r="I138" s="18">
        <f>IF(E138="N/A",0,ROUND((F138/2+G137+J137)*H138/12,2))</f>
        <v>0</v>
      </c>
      <c r="J138" s="18">
        <f t="shared" ref="J138:J158" si="59">I138+J137</f>
        <v>0</v>
      </c>
      <c r="K138" s="18">
        <f t="shared" si="56"/>
        <v>0</v>
      </c>
      <c r="L138" s="600">
        <f t="shared" si="54"/>
        <v>605</v>
      </c>
      <c r="M138" s="46"/>
      <c r="N138" s="46"/>
      <c r="O138" s="46"/>
      <c r="P138" s="46"/>
      <c r="Q138" s="46"/>
    </row>
    <row r="139" spans="1:17" s="45" customFormat="1">
      <c r="A139" s="600">
        <f t="shared" si="57"/>
        <v>606</v>
      </c>
      <c r="B139" s="45" t="s">
        <v>61</v>
      </c>
      <c r="C139" s="50">
        <f>'1-DRR'!$K$2</f>
        <v>2021</v>
      </c>
      <c r="D139" s="579" t="str">
        <f>IF(E139="N/A","N/A",($D$42*'9-WholesaleRevenues'!E18))</f>
        <v>N/A</v>
      </c>
      <c r="E139" s="579" t="str">
        <f>IF('9-WholesaleRevenues'!E52="N/A","N/A",'9-WholesaleRevenues'!E52)</f>
        <v>N/A</v>
      </c>
      <c r="F139" s="601">
        <f t="shared" si="55"/>
        <v>0</v>
      </c>
      <c r="G139" s="601">
        <f t="shared" si="58"/>
        <v>0</v>
      </c>
      <c r="H139" s="636">
        <f>$H$77</f>
        <v>3.2500000000000001E-2</v>
      </c>
      <c r="I139" s="18">
        <f>IF(E139="N/A",0,ROUND((F139/2+G138+J137)*H139/12,2))</f>
        <v>0</v>
      </c>
      <c r="J139" s="18">
        <f t="shared" si="59"/>
        <v>0</v>
      </c>
      <c r="K139" s="18">
        <f t="shared" si="56"/>
        <v>0</v>
      </c>
      <c r="L139" s="600">
        <f t="shared" si="54"/>
        <v>606</v>
      </c>
      <c r="M139" s="46"/>
      <c r="N139" s="46"/>
      <c r="O139" s="46"/>
      <c r="P139" s="46"/>
      <c r="Q139" s="46"/>
    </row>
    <row r="140" spans="1:17" s="45" customFormat="1">
      <c r="A140" s="600">
        <f t="shared" si="57"/>
        <v>607</v>
      </c>
      <c r="B140" s="45" t="s">
        <v>80</v>
      </c>
      <c r="C140" s="50">
        <f>'1-DRR'!$K$2</f>
        <v>2021</v>
      </c>
      <c r="D140" s="579">
        <f>IF(E140="N/A","N/A",($D$42*'9-WholesaleRevenues'!E19))</f>
        <v>12380.49323379905</v>
      </c>
      <c r="E140" s="579">
        <f>IF('9-WholesaleRevenues'!E53="N/A","N/A",'9-WholesaleRevenues'!E53)</f>
        <v>5612.7199999999993</v>
      </c>
      <c r="F140" s="601">
        <f t="shared" si="55"/>
        <v>6767.773233799051</v>
      </c>
      <c r="G140" s="601">
        <f t="shared" si="58"/>
        <v>6767.773233799051</v>
      </c>
      <c r="H140" s="636">
        <f>$H$78</f>
        <v>3.2500000000000001E-2</v>
      </c>
      <c r="I140" s="18">
        <f>IF(E140="N/A",0,ROUND((F140/2+G139+J137)*H140/12,2))</f>
        <v>9.16</v>
      </c>
      <c r="J140" s="18">
        <f t="shared" si="59"/>
        <v>9.16</v>
      </c>
      <c r="K140" s="18">
        <f t="shared" si="56"/>
        <v>6776.93</v>
      </c>
      <c r="L140" s="600">
        <f t="shared" si="54"/>
        <v>607</v>
      </c>
      <c r="M140" s="46"/>
      <c r="N140" s="46"/>
      <c r="O140" s="46"/>
      <c r="P140" s="46"/>
      <c r="Q140" s="46"/>
    </row>
    <row r="141" spans="1:17" s="45" customFormat="1">
      <c r="A141" s="600">
        <f t="shared" si="57"/>
        <v>608</v>
      </c>
      <c r="B141" s="45" t="s">
        <v>81</v>
      </c>
      <c r="C141" s="50">
        <f>'1-DRR'!$K$2</f>
        <v>2021</v>
      </c>
      <c r="D141" s="579">
        <f>IF(E141="N/A","N/A",($D$42*'9-WholesaleRevenues'!E20))</f>
        <v>10900.753006651754</v>
      </c>
      <c r="E141" s="579">
        <f>IF('9-WholesaleRevenues'!E54="N/A","N/A",'9-WholesaleRevenues'!E54)</f>
        <v>5612.7199999999993</v>
      </c>
      <c r="F141" s="601">
        <f t="shared" si="55"/>
        <v>5288.0330066517545</v>
      </c>
      <c r="G141" s="601">
        <f t="shared" si="58"/>
        <v>12055.806240450805</v>
      </c>
      <c r="H141" s="636">
        <f>$H$79</f>
        <v>3.2500000000000001E-2</v>
      </c>
      <c r="I141" s="18">
        <f>IF(E141="N/A",0,ROUND((F141/2+G140+J140)*H141/12,2))</f>
        <v>25.52</v>
      </c>
      <c r="J141" s="18">
        <f t="shared" si="59"/>
        <v>34.68</v>
      </c>
      <c r="K141" s="18">
        <f t="shared" si="56"/>
        <v>12090.49</v>
      </c>
      <c r="L141" s="600">
        <f t="shared" si="54"/>
        <v>608</v>
      </c>
      <c r="M141" s="46"/>
      <c r="N141" s="46"/>
      <c r="O141" s="46"/>
      <c r="P141" s="46"/>
      <c r="Q141" s="46"/>
    </row>
    <row r="142" spans="1:17" s="45" customFormat="1">
      <c r="A142" s="600">
        <f t="shared" si="57"/>
        <v>609</v>
      </c>
      <c r="B142" s="45" t="s">
        <v>82</v>
      </c>
      <c r="C142" s="50">
        <f>'1-DRR'!$K$2</f>
        <v>2021</v>
      </c>
      <c r="D142" s="579">
        <f>IF(E142="N/A","N/A",($D$42*'9-WholesaleRevenues'!E21))</f>
        <v>9914.2595218868883</v>
      </c>
      <c r="E142" s="579">
        <f>IF('9-WholesaleRevenues'!E55="N/A","N/A",'9-WholesaleRevenues'!E55)</f>
        <v>5612.7199999999993</v>
      </c>
      <c r="F142" s="601">
        <f t="shared" si="55"/>
        <v>4301.5395218868889</v>
      </c>
      <c r="G142" s="601">
        <f t="shared" si="58"/>
        <v>16357.345762337694</v>
      </c>
      <c r="H142" s="636">
        <f>$H$80</f>
        <v>3.2500000000000001E-2</v>
      </c>
      <c r="I142" s="18">
        <f>IF(E142="N/A",0,ROUND((F142/2+G141+J140)*H142/12,2))</f>
        <v>38.5</v>
      </c>
      <c r="J142" s="18">
        <f t="shared" si="59"/>
        <v>73.180000000000007</v>
      </c>
      <c r="K142" s="18">
        <f t="shared" si="56"/>
        <v>16430.53</v>
      </c>
      <c r="L142" s="600">
        <f t="shared" si="54"/>
        <v>609</v>
      </c>
      <c r="M142" s="46"/>
      <c r="N142" s="46"/>
      <c r="O142" s="46"/>
      <c r="P142" s="46"/>
      <c r="Q142" s="46"/>
    </row>
    <row r="143" spans="1:17" s="45" customFormat="1">
      <c r="A143" s="600">
        <f t="shared" si="57"/>
        <v>610</v>
      </c>
      <c r="B143" s="45" t="s">
        <v>83</v>
      </c>
      <c r="C143" s="50">
        <f>'1-DRR'!$K$2</f>
        <v>2021</v>
      </c>
      <c r="D143" s="579">
        <f>IF(E143="N/A","N/A",($D$42*'9-WholesaleRevenues'!E22))</f>
        <v>7226.0647759026324</v>
      </c>
      <c r="E143" s="579">
        <f>IF('9-WholesaleRevenues'!E56="N/A","N/A",'9-WholesaleRevenues'!E56)</f>
        <v>5612.7199999999993</v>
      </c>
      <c r="F143" s="601">
        <f t="shared" si="55"/>
        <v>1613.344775902633</v>
      </c>
      <c r="G143" s="601">
        <f t="shared" si="58"/>
        <v>17970.690538240327</v>
      </c>
      <c r="H143" s="636">
        <f>$H$81</f>
        <v>3.2500000000000001E-2</v>
      </c>
      <c r="I143" s="18">
        <f>IF(E143="N/A",0,ROUND((F143/2+G142+J140)*H143/12,2))</f>
        <v>46.51</v>
      </c>
      <c r="J143" s="18">
        <f t="shared" si="59"/>
        <v>119.69</v>
      </c>
      <c r="K143" s="18">
        <f t="shared" si="56"/>
        <v>18090.38</v>
      </c>
      <c r="L143" s="600">
        <f t="shared" si="54"/>
        <v>610</v>
      </c>
      <c r="M143" s="46"/>
      <c r="N143" s="46"/>
      <c r="O143" s="46"/>
      <c r="P143" s="46"/>
      <c r="Q143" s="46"/>
    </row>
    <row r="144" spans="1:17" s="45" customFormat="1">
      <c r="A144" s="600">
        <f t="shared" si="57"/>
        <v>611</v>
      </c>
      <c r="B144" s="45" t="s">
        <v>84</v>
      </c>
      <c r="C144" s="50">
        <f>'1-DRR'!$K$2</f>
        <v>2021</v>
      </c>
      <c r="D144" s="579">
        <f>IF(E144="N/A","N/A",($D$42*'9-WholesaleRevenues'!E23))</f>
        <v>6042.2725941847948</v>
      </c>
      <c r="E144" s="579">
        <f>IF('9-WholesaleRevenues'!E57="N/A","N/A",'9-WholesaleRevenues'!E57)</f>
        <v>5612.7199999999993</v>
      </c>
      <c r="F144" s="601">
        <f t="shared" si="55"/>
        <v>429.55259418479545</v>
      </c>
      <c r="G144" s="601">
        <f t="shared" si="58"/>
        <v>18400.243132425123</v>
      </c>
      <c r="H144" s="636">
        <f>$H$82</f>
        <v>3.2500000000000001E-2</v>
      </c>
      <c r="I144" s="18">
        <f>IF(E144="N/A",0,ROUND((F144/2+G143+J143)*H144/12,2))</f>
        <v>49.58</v>
      </c>
      <c r="J144" s="18">
        <f t="shared" si="59"/>
        <v>169.26999999999998</v>
      </c>
      <c r="K144" s="18">
        <f t="shared" si="56"/>
        <v>18569.509999999998</v>
      </c>
      <c r="L144" s="600">
        <f t="shared" si="54"/>
        <v>611</v>
      </c>
      <c r="M144" s="46"/>
      <c r="N144" s="46"/>
      <c r="O144" s="46"/>
      <c r="P144" s="46"/>
      <c r="Q144" s="46"/>
    </row>
    <row r="145" spans="1:17" s="45" customFormat="1">
      <c r="A145" s="600">
        <f t="shared" si="57"/>
        <v>612</v>
      </c>
      <c r="B145" s="45" t="s">
        <v>85</v>
      </c>
      <c r="C145" s="50">
        <f>'1-DRR'!$K$2</f>
        <v>2021</v>
      </c>
      <c r="D145" s="579">
        <f>IF(E145="N/A","N/A",($D$42*'9-WholesaleRevenues'!E24))</f>
        <v>4069.2856246550659</v>
      </c>
      <c r="E145" s="579">
        <f>IF('9-WholesaleRevenues'!E58="N/A","N/A",'9-WholesaleRevenues'!E58)</f>
        <v>5612.7199999999993</v>
      </c>
      <c r="F145" s="601">
        <f t="shared" si="55"/>
        <v>-1543.4343753449334</v>
      </c>
      <c r="G145" s="601">
        <f t="shared" si="58"/>
        <v>16856.808757080191</v>
      </c>
      <c r="H145" s="636">
        <f>$H$83</f>
        <v>3.2500000000000001E-2</v>
      </c>
      <c r="I145" s="18">
        <f>IF(E145="N/A",0,ROUND((F145/2+G144+J143)*H145/12,2))</f>
        <v>48.07</v>
      </c>
      <c r="J145" s="18">
        <f t="shared" si="59"/>
        <v>217.33999999999997</v>
      </c>
      <c r="K145" s="18">
        <f t="shared" si="56"/>
        <v>17074.150000000001</v>
      </c>
      <c r="L145" s="600">
        <f t="shared" si="54"/>
        <v>612</v>
      </c>
      <c r="M145" s="46"/>
      <c r="N145" s="46"/>
      <c r="O145" s="46"/>
      <c r="P145" s="46"/>
      <c r="Q145" s="46"/>
    </row>
    <row r="146" spans="1:17" s="45" customFormat="1">
      <c r="A146" s="600">
        <f t="shared" si="57"/>
        <v>613</v>
      </c>
      <c r="B146" s="45" t="s">
        <v>75</v>
      </c>
      <c r="C146" s="50">
        <f>'1-DRR'!$K$2</f>
        <v>2021</v>
      </c>
      <c r="D146" s="579">
        <f>IF(E146="N/A","N/A",($D$42*'9-WholesaleRevenues'!E25))</f>
        <v>0</v>
      </c>
      <c r="E146" s="579">
        <f>IF('9-WholesaleRevenues'!E59="N/A","N/A",'9-WholesaleRevenues'!E59)</f>
        <v>0</v>
      </c>
      <c r="F146" s="601">
        <f t="shared" si="55"/>
        <v>0</v>
      </c>
      <c r="G146" s="601">
        <f t="shared" si="58"/>
        <v>16856.808757080191</v>
      </c>
      <c r="H146" s="636">
        <f>$H$84</f>
        <v>3.2500000000000001E-2</v>
      </c>
      <c r="I146" s="18">
        <f>IF(E146="N/A",0,ROUND((F146/2+G145+J143)*H146/12,2))</f>
        <v>45.98</v>
      </c>
      <c r="J146" s="18">
        <f t="shared" si="59"/>
        <v>263.32</v>
      </c>
      <c r="K146" s="18">
        <f t="shared" si="56"/>
        <v>17120.13</v>
      </c>
      <c r="L146" s="600">
        <f t="shared" si="54"/>
        <v>613</v>
      </c>
      <c r="M146" s="46"/>
      <c r="N146" s="46"/>
      <c r="O146" s="46"/>
      <c r="P146" s="46"/>
      <c r="Q146" s="46"/>
    </row>
    <row r="147" spans="1:17" s="45" customFormat="1">
      <c r="A147" s="600">
        <f t="shared" si="57"/>
        <v>614</v>
      </c>
      <c r="B147" s="45" t="s">
        <v>76</v>
      </c>
      <c r="C147" s="50">
        <f>C146+1</f>
        <v>2022</v>
      </c>
      <c r="D147" s="110" t="s">
        <v>109</v>
      </c>
      <c r="E147" s="110" t="s">
        <v>109</v>
      </c>
      <c r="F147" s="601">
        <v>0</v>
      </c>
      <c r="G147" s="601">
        <f>F147+G146</f>
        <v>16856.808757080191</v>
      </c>
      <c r="H147" s="636">
        <f>$H$85</f>
        <v>3.2500000000000001E-2</v>
      </c>
      <c r="I147" s="18">
        <f t="shared" ref="I147" si="60">ROUND((F147/2+G146+J146)*H147/12,2)</f>
        <v>46.37</v>
      </c>
      <c r="J147" s="18">
        <f t="shared" si="59"/>
        <v>309.69</v>
      </c>
      <c r="K147" s="18">
        <f t="shared" si="56"/>
        <v>17166.5</v>
      </c>
      <c r="L147" s="600">
        <f t="shared" si="54"/>
        <v>614</v>
      </c>
      <c r="M147" s="46"/>
      <c r="N147" s="46"/>
      <c r="O147" s="46"/>
      <c r="P147" s="46"/>
      <c r="Q147" s="46"/>
    </row>
    <row r="148" spans="1:17" s="45" customFormat="1">
      <c r="A148" s="600">
        <f t="shared" si="57"/>
        <v>615</v>
      </c>
      <c r="B148" s="45" t="s">
        <v>77</v>
      </c>
      <c r="C148" s="50">
        <f>C147</f>
        <v>2022</v>
      </c>
      <c r="D148" s="110" t="s">
        <v>109</v>
      </c>
      <c r="E148" s="110" t="s">
        <v>109</v>
      </c>
      <c r="F148" s="601">
        <v>0</v>
      </c>
      <c r="G148" s="601">
        <f t="shared" ref="G148:G158" si="61">F148+G147</f>
        <v>16856.808757080191</v>
      </c>
      <c r="H148" s="636">
        <f>$H$86</f>
        <v>3.2500000000000001E-2</v>
      </c>
      <c r="I148" s="18">
        <f t="shared" ref="I148" si="62">ROUND((F148/2+G147+J146)*H148/12,2)</f>
        <v>46.37</v>
      </c>
      <c r="J148" s="18">
        <f t="shared" si="59"/>
        <v>356.06</v>
      </c>
      <c r="K148" s="18">
        <f t="shared" si="56"/>
        <v>17212.87</v>
      </c>
      <c r="L148" s="600">
        <f t="shared" si="54"/>
        <v>615</v>
      </c>
      <c r="M148" s="46"/>
      <c r="N148" s="46"/>
      <c r="O148" s="46"/>
      <c r="P148" s="46"/>
      <c r="Q148" s="46"/>
    </row>
    <row r="149" spans="1:17" s="45" customFormat="1">
      <c r="A149" s="600">
        <f t="shared" si="57"/>
        <v>616</v>
      </c>
      <c r="B149" s="45" t="s">
        <v>78</v>
      </c>
      <c r="C149" s="50">
        <f t="shared" ref="C149:C158" si="63">C148</f>
        <v>2022</v>
      </c>
      <c r="D149" s="110" t="s">
        <v>109</v>
      </c>
      <c r="E149" s="110" t="s">
        <v>109</v>
      </c>
      <c r="F149" s="601">
        <v>0</v>
      </c>
      <c r="G149" s="601">
        <f t="shared" si="61"/>
        <v>16856.808757080191</v>
      </c>
      <c r="H149" s="636">
        <f>$H$87</f>
        <v>3.2500000000000001E-2</v>
      </c>
      <c r="I149" s="18">
        <f t="shared" ref="I149" si="64">ROUND((F149/2+G148+J146)*H149/12,2)</f>
        <v>46.37</v>
      </c>
      <c r="J149" s="18">
        <f t="shared" si="59"/>
        <v>402.43</v>
      </c>
      <c r="K149" s="18">
        <f t="shared" si="56"/>
        <v>17259.240000000002</v>
      </c>
      <c r="L149" s="600">
        <f t="shared" si="54"/>
        <v>616</v>
      </c>
      <c r="M149" s="46"/>
      <c r="N149" s="46"/>
      <c r="O149" s="46"/>
      <c r="P149" s="46"/>
      <c r="Q149" s="46"/>
    </row>
    <row r="150" spans="1:17" s="45" customFormat="1">
      <c r="A150" s="600">
        <f t="shared" si="57"/>
        <v>617</v>
      </c>
      <c r="B150" s="45" t="s">
        <v>79</v>
      </c>
      <c r="C150" s="50">
        <f t="shared" si="63"/>
        <v>2022</v>
      </c>
      <c r="D150" s="110" t="s">
        <v>109</v>
      </c>
      <c r="E150" s="110" t="s">
        <v>109</v>
      </c>
      <c r="F150" s="601">
        <v>0</v>
      </c>
      <c r="G150" s="601">
        <f t="shared" si="61"/>
        <v>16856.808757080191</v>
      </c>
      <c r="H150" s="636">
        <f>$H$88</f>
        <v>3.2500000000000001E-2</v>
      </c>
      <c r="I150" s="18">
        <f t="shared" ref="I150" si="65">ROUND((F150/2+G149+J149)*H150/12,2)</f>
        <v>46.74</v>
      </c>
      <c r="J150" s="18">
        <f t="shared" si="59"/>
        <v>449.17</v>
      </c>
      <c r="K150" s="18">
        <f t="shared" si="56"/>
        <v>17305.98</v>
      </c>
      <c r="L150" s="600">
        <f t="shared" si="54"/>
        <v>617</v>
      </c>
      <c r="M150" s="46"/>
      <c r="N150" s="46"/>
      <c r="O150" s="46"/>
      <c r="P150" s="46"/>
      <c r="Q150" s="46"/>
    </row>
    <row r="151" spans="1:17" s="45" customFormat="1">
      <c r="A151" s="600">
        <f t="shared" si="57"/>
        <v>618</v>
      </c>
      <c r="B151" s="45" t="s">
        <v>61</v>
      </c>
      <c r="C151" s="50">
        <f t="shared" si="63"/>
        <v>2022</v>
      </c>
      <c r="D151" s="110" t="s">
        <v>109</v>
      </c>
      <c r="E151" s="110" t="s">
        <v>109</v>
      </c>
      <c r="F151" s="601">
        <v>0</v>
      </c>
      <c r="G151" s="601">
        <f t="shared" si="61"/>
        <v>16856.808757080191</v>
      </c>
      <c r="H151" s="636">
        <f>$H$89</f>
        <v>3.2500000000000001E-2</v>
      </c>
      <c r="I151" s="18">
        <f t="shared" ref="I151" si="66">ROUND((F151/2+G150+J149)*H151/12,2)</f>
        <v>46.74</v>
      </c>
      <c r="J151" s="18">
        <f t="shared" si="59"/>
        <v>495.91</v>
      </c>
      <c r="K151" s="18">
        <f t="shared" si="56"/>
        <v>17352.72</v>
      </c>
      <c r="L151" s="600">
        <f t="shared" si="54"/>
        <v>618</v>
      </c>
      <c r="M151" s="46"/>
      <c r="N151" s="46"/>
      <c r="O151" s="46"/>
      <c r="P151" s="46"/>
      <c r="Q151" s="46"/>
    </row>
    <row r="152" spans="1:17" s="45" customFormat="1">
      <c r="A152" s="600">
        <f t="shared" si="57"/>
        <v>619</v>
      </c>
      <c r="B152" s="45" t="s">
        <v>80</v>
      </c>
      <c r="C152" s="50">
        <f t="shared" si="63"/>
        <v>2022</v>
      </c>
      <c r="D152" s="110" t="s">
        <v>109</v>
      </c>
      <c r="E152" s="110" t="s">
        <v>109</v>
      </c>
      <c r="F152" s="601">
        <v>0</v>
      </c>
      <c r="G152" s="601">
        <f t="shared" si="61"/>
        <v>16856.808757080191</v>
      </c>
      <c r="H152" s="636">
        <f>$H$90</f>
        <v>3.2500000000000001E-2</v>
      </c>
      <c r="I152" s="18">
        <f t="shared" ref="I152" si="67">ROUND((F152/2+G151+J149)*H152/12,2)</f>
        <v>46.74</v>
      </c>
      <c r="J152" s="18">
        <f t="shared" si="59"/>
        <v>542.65</v>
      </c>
      <c r="K152" s="18">
        <f t="shared" si="56"/>
        <v>17399.46</v>
      </c>
      <c r="L152" s="600">
        <f t="shared" si="54"/>
        <v>619</v>
      </c>
      <c r="M152" s="46"/>
      <c r="N152" s="46"/>
      <c r="O152" s="46"/>
      <c r="P152" s="46"/>
      <c r="Q152" s="46"/>
    </row>
    <row r="153" spans="1:17" s="45" customFormat="1">
      <c r="A153" s="600">
        <f t="shared" si="57"/>
        <v>620</v>
      </c>
      <c r="B153" s="45" t="s">
        <v>81</v>
      </c>
      <c r="C153" s="50">
        <f t="shared" si="63"/>
        <v>2022</v>
      </c>
      <c r="D153" s="110" t="s">
        <v>109</v>
      </c>
      <c r="E153" s="110" t="s">
        <v>109</v>
      </c>
      <c r="F153" s="601">
        <v>0</v>
      </c>
      <c r="G153" s="601">
        <f t="shared" si="61"/>
        <v>16856.808757080191</v>
      </c>
      <c r="H153" s="636">
        <f>$H$91</f>
        <v>3.5999999999999997E-2</v>
      </c>
      <c r="I153" s="18">
        <f t="shared" ref="I153" si="68">ROUND((F153/2+G152+J152)*H153/12,2)</f>
        <v>52.2</v>
      </c>
      <c r="J153" s="18">
        <f t="shared" si="59"/>
        <v>594.85</v>
      </c>
      <c r="K153" s="18">
        <f t="shared" si="56"/>
        <v>17451.66</v>
      </c>
      <c r="L153" s="600">
        <f t="shared" si="54"/>
        <v>620</v>
      </c>
      <c r="M153" s="46"/>
      <c r="N153" s="46"/>
      <c r="O153" s="46"/>
      <c r="P153" s="46"/>
      <c r="Q153" s="46"/>
    </row>
    <row r="154" spans="1:17" s="45" customFormat="1">
      <c r="A154" s="600">
        <f t="shared" si="57"/>
        <v>621</v>
      </c>
      <c r="B154" s="45" t="s">
        <v>82</v>
      </c>
      <c r="C154" s="50">
        <f t="shared" si="63"/>
        <v>2022</v>
      </c>
      <c r="D154" s="110" t="s">
        <v>109</v>
      </c>
      <c r="E154" s="110" t="s">
        <v>109</v>
      </c>
      <c r="F154" s="601">
        <v>0</v>
      </c>
      <c r="G154" s="601">
        <f t="shared" si="61"/>
        <v>16856.808757080191</v>
      </c>
      <c r="H154" s="636">
        <f>$H$92</f>
        <v>3.5999999999999997E-2</v>
      </c>
      <c r="I154" s="18">
        <f t="shared" ref="I154" si="69">ROUND((F154/2+G153+J152)*H154/12,2)</f>
        <v>52.2</v>
      </c>
      <c r="J154" s="18">
        <f t="shared" si="59"/>
        <v>647.05000000000007</v>
      </c>
      <c r="K154" s="18">
        <f t="shared" si="56"/>
        <v>17503.86</v>
      </c>
      <c r="L154" s="600">
        <f t="shared" si="54"/>
        <v>621</v>
      </c>
      <c r="M154" s="46"/>
      <c r="N154" s="46"/>
      <c r="O154" s="46"/>
      <c r="P154" s="46"/>
      <c r="Q154" s="46"/>
    </row>
    <row r="155" spans="1:17" s="45" customFormat="1">
      <c r="A155" s="600">
        <f t="shared" si="57"/>
        <v>622</v>
      </c>
      <c r="B155" s="45" t="s">
        <v>83</v>
      </c>
      <c r="C155" s="50">
        <f t="shared" si="63"/>
        <v>2022</v>
      </c>
      <c r="D155" s="110" t="s">
        <v>109</v>
      </c>
      <c r="E155" s="110" t="s">
        <v>109</v>
      </c>
      <c r="F155" s="601">
        <v>0</v>
      </c>
      <c r="G155" s="601">
        <f t="shared" si="61"/>
        <v>16856.808757080191</v>
      </c>
      <c r="H155" s="636">
        <f>$H$93</f>
        <v>3.5999999999999997E-2</v>
      </c>
      <c r="I155" s="18">
        <f t="shared" ref="I155" si="70">ROUND((F155/2+G154+J152)*H155/12,2)</f>
        <v>52.2</v>
      </c>
      <c r="J155" s="18">
        <f t="shared" si="59"/>
        <v>699.25000000000011</v>
      </c>
      <c r="K155" s="18">
        <f t="shared" si="56"/>
        <v>17556.060000000001</v>
      </c>
      <c r="L155" s="600">
        <f t="shared" si="54"/>
        <v>622</v>
      </c>
      <c r="M155" s="46"/>
      <c r="N155" s="46"/>
      <c r="O155" s="46"/>
      <c r="P155" s="46"/>
      <c r="Q155" s="46"/>
    </row>
    <row r="156" spans="1:17" s="45" customFormat="1">
      <c r="A156" s="600">
        <f t="shared" si="57"/>
        <v>623</v>
      </c>
      <c r="B156" s="45" t="s">
        <v>84</v>
      </c>
      <c r="C156" s="50">
        <f t="shared" si="63"/>
        <v>2022</v>
      </c>
      <c r="D156" s="110" t="s">
        <v>109</v>
      </c>
      <c r="E156" s="110" t="s">
        <v>109</v>
      </c>
      <c r="F156" s="601">
        <v>0</v>
      </c>
      <c r="G156" s="601">
        <f t="shared" si="61"/>
        <v>16856.808757080191</v>
      </c>
      <c r="H156" s="636">
        <f>$H$94</f>
        <v>4.9099999999999998E-2</v>
      </c>
      <c r="I156" s="18">
        <f t="shared" ref="I156" si="71">ROUND((F156/2+G155+J155)*H156/12,2)</f>
        <v>71.83</v>
      </c>
      <c r="J156" s="18">
        <f t="shared" si="59"/>
        <v>771.08000000000015</v>
      </c>
      <c r="K156" s="18">
        <f t="shared" si="56"/>
        <v>17627.89</v>
      </c>
      <c r="L156" s="600">
        <f t="shared" si="54"/>
        <v>623</v>
      </c>
      <c r="M156" s="46"/>
      <c r="N156" s="46"/>
      <c r="O156" s="46"/>
      <c r="P156" s="46"/>
      <c r="Q156" s="46"/>
    </row>
    <row r="157" spans="1:17" s="45" customFormat="1">
      <c r="A157" s="600">
        <f t="shared" si="57"/>
        <v>624</v>
      </c>
      <c r="B157" s="45" t="s">
        <v>85</v>
      </c>
      <c r="C157" s="50">
        <f t="shared" si="63"/>
        <v>2022</v>
      </c>
      <c r="D157" s="110" t="s">
        <v>109</v>
      </c>
      <c r="E157" s="110" t="s">
        <v>109</v>
      </c>
      <c r="F157" s="601">
        <v>0</v>
      </c>
      <c r="G157" s="601">
        <f t="shared" si="61"/>
        <v>16856.808757080191</v>
      </c>
      <c r="H157" s="636">
        <f>$H$95</f>
        <v>4.9099999999999998E-2</v>
      </c>
      <c r="I157" s="18">
        <f t="shared" ref="I157" si="72">ROUND((F157/2+G156+J155)*H157/12,2)</f>
        <v>71.83</v>
      </c>
      <c r="J157" s="18">
        <f t="shared" si="59"/>
        <v>842.9100000000002</v>
      </c>
      <c r="K157" s="18">
        <f t="shared" si="56"/>
        <v>17699.72</v>
      </c>
      <c r="L157" s="600">
        <f t="shared" si="54"/>
        <v>624</v>
      </c>
      <c r="M157" s="46"/>
      <c r="N157" s="46"/>
      <c r="O157" s="46"/>
      <c r="P157" s="46"/>
      <c r="Q157" s="46"/>
    </row>
    <row r="158" spans="1:17" s="45" customFormat="1">
      <c r="A158" s="600">
        <f t="shared" si="57"/>
        <v>625</v>
      </c>
      <c r="B158" s="45" t="s">
        <v>75</v>
      </c>
      <c r="C158" s="50">
        <f t="shared" si="63"/>
        <v>2022</v>
      </c>
      <c r="D158" s="110" t="s">
        <v>109</v>
      </c>
      <c r="E158" s="110" t="s">
        <v>109</v>
      </c>
      <c r="F158" s="601">
        <v>0</v>
      </c>
      <c r="G158" s="601">
        <f t="shared" si="61"/>
        <v>16856.808757080191</v>
      </c>
      <c r="H158" s="636">
        <f>$H$96</f>
        <v>4.9099999999999998E-2</v>
      </c>
      <c r="I158" s="18">
        <f t="shared" ref="I158" si="73">ROUND((F158/2+G157+J155)*H158/12,2)</f>
        <v>71.83</v>
      </c>
      <c r="J158" s="18">
        <f t="shared" si="59"/>
        <v>914.74000000000024</v>
      </c>
      <c r="K158" s="18">
        <f t="shared" si="56"/>
        <v>17771.55</v>
      </c>
      <c r="L158" s="600">
        <f t="shared" si="54"/>
        <v>625</v>
      </c>
      <c r="M158" s="46"/>
      <c r="N158" s="46"/>
      <c r="O158" s="46"/>
      <c r="P158" s="46"/>
      <c r="Q158" s="46"/>
    </row>
    <row r="159" spans="1:17" s="45" customFormat="1">
      <c r="A159" s="600"/>
      <c r="C159" s="50"/>
      <c r="D159" s="110"/>
      <c r="E159" s="110"/>
      <c r="F159" s="601"/>
      <c r="G159" s="601"/>
      <c r="H159" s="602"/>
      <c r="I159" s="18"/>
      <c r="J159" s="18"/>
      <c r="K159" s="18"/>
      <c r="L159" s="600"/>
      <c r="M159" s="46"/>
      <c r="N159" s="46"/>
      <c r="O159" s="46"/>
      <c r="P159" s="46"/>
      <c r="Q159" s="46"/>
    </row>
    <row r="160" spans="1:17" s="45" customFormat="1">
      <c r="A160" s="600"/>
      <c r="B160" s="613" t="s">
        <v>882</v>
      </c>
      <c r="C160" s="626"/>
      <c r="D160" s="626"/>
      <c r="E160" s="626"/>
      <c r="F160" s="627"/>
      <c r="G160" s="626" t="s">
        <v>135</v>
      </c>
      <c r="H160" s="626"/>
      <c r="I160" s="626"/>
      <c r="J160" s="626"/>
      <c r="K160" s="628" t="s">
        <v>135</v>
      </c>
      <c r="L160" s="46"/>
      <c r="M160" s="46"/>
      <c r="N160" s="46"/>
      <c r="O160" s="46"/>
      <c r="P160" s="46"/>
      <c r="Q160" s="46"/>
    </row>
    <row r="161" spans="1:17" s="45" customFormat="1">
      <c r="B161" s="617" t="str">
        <f>B129</f>
        <v>PWRPA 1  (SA No. 30)</v>
      </c>
      <c r="C161" s="545"/>
      <c r="D161" s="176" t="s">
        <v>927</v>
      </c>
      <c r="E161" s="176" t="s">
        <v>927</v>
      </c>
      <c r="F161" s="176"/>
      <c r="G161" s="545" t="s">
        <v>766</v>
      </c>
      <c r="H161" s="545"/>
      <c r="I161" s="545"/>
      <c r="J161" s="545"/>
      <c r="K161" s="622" t="s">
        <v>766</v>
      </c>
      <c r="L161" s="46"/>
      <c r="M161" s="46"/>
      <c r="N161" s="46"/>
      <c r="O161" s="46"/>
      <c r="P161" s="46"/>
      <c r="Q161" s="46"/>
    </row>
    <row r="162" spans="1:17" s="45" customFormat="1">
      <c r="A162" s="600"/>
      <c r="B162" s="617"/>
      <c r="C162" s="545"/>
      <c r="D162" s="545" t="s">
        <v>71</v>
      </c>
      <c r="E162" s="545" t="s">
        <v>92</v>
      </c>
      <c r="F162" s="545" t="s">
        <v>124</v>
      </c>
      <c r="G162" s="545" t="s">
        <v>767</v>
      </c>
      <c r="H162" s="545" t="s">
        <v>185</v>
      </c>
      <c r="I162" s="545" t="s">
        <v>71</v>
      </c>
      <c r="J162" s="545" t="s">
        <v>132</v>
      </c>
      <c r="K162" s="622" t="s">
        <v>1061</v>
      </c>
      <c r="L162" s="46"/>
      <c r="M162" s="46"/>
      <c r="N162" s="46"/>
      <c r="O162" s="46"/>
      <c r="P162" s="46"/>
      <c r="Q162" s="46"/>
    </row>
    <row r="163" spans="1:17" s="45" customFormat="1">
      <c r="A163" s="600"/>
      <c r="B163" s="623" t="s">
        <v>58</v>
      </c>
      <c r="C163" s="624" t="s">
        <v>73</v>
      </c>
      <c r="D163" s="624" t="s">
        <v>1062</v>
      </c>
      <c r="E163" s="624" t="s">
        <v>121</v>
      </c>
      <c r="F163" s="624" t="s">
        <v>136</v>
      </c>
      <c r="G163" s="624" t="s">
        <v>123</v>
      </c>
      <c r="H163" s="624" t="s">
        <v>111</v>
      </c>
      <c r="I163" s="624" t="s">
        <v>72</v>
      </c>
      <c r="J163" s="624" t="s">
        <v>72</v>
      </c>
      <c r="K163" s="625" t="s">
        <v>74</v>
      </c>
      <c r="L163" s="46"/>
      <c r="M163" s="46"/>
      <c r="N163" s="46"/>
      <c r="O163" s="46"/>
      <c r="P163" s="46"/>
      <c r="Q163" s="46"/>
    </row>
    <row r="164" spans="1:17" s="45" customFormat="1">
      <c r="A164" s="600">
        <f>A158+1</f>
        <v>626</v>
      </c>
      <c r="B164" s="45" t="s">
        <v>75</v>
      </c>
      <c r="C164" s="50">
        <f>C165-1</f>
        <v>2020</v>
      </c>
      <c r="D164" s="110" t="s">
        <v>109</v>
      </c>
      <c r="E164" s="110" t="s">
        <v>109</v>
      </c>
      <c r="F164" s="47" t="s">
        <v>109</v>
      </c>
      <c r="G164" s="59">
        <v>0</v>
      </c>
      <c r="H164" s="47" t="s">
        <v>109</v>
      </c>
      <c r="I164" s="47" t="s">
        <v>109</v>
      </c>
      <c r="J164" s="59">
        <v>0</v>
      </c>
      <c r="K164" s="18">
        <f>ROUND((G164+J164),2)</f>
        <v>0</v>
      </c>
      <c r="L164" s="600">
        <f t="shared" ref="L164:L188" si="74">A164</f>
        <v>626</v>
      </c>
      <c r="M164" s="46"/>
      <c r="N164" s="46"/>
      <c r="O164" s="46"/>
      <c r="P164" s="46"/>
      <c r="Q164" s="46"/>
    </row>
    <row r="165" spans="1:17" s="45" customFormat="1">
      <c r="A165" s="600">
        <f>A164+1</f>
        <v>627</v>
      </c>
      <c r="B165" s="45" t="s">
        <v>76</v>
      </c>
      <c r="C165" s="50">
        <f>'1-DRR'!$K$2</f>
        <v>2021</v>
      </c>
      <c r="D165" s="579" t="str">
        <f>IF(E165="N/A","N/A",'3-ATA'!$D$49*'9-WholesaleRevenues'!D66)</f>
        <v>N/A</v>
      </c>
      <c r="E165" s="579" t="str">
        <f>IF('9-WholesaleRevenues'!D99="N/A","N/A",'9-WholesaleRevenues'!D99)</f>
        <v>N/A</v>
      </c>
      <c r="F165" s="601">
        <f t="shared" ref="F165:F176" si="75">IF(E165="N/A",0,D165-E165)</f>
        <v>0</v>
      </c>
      <c r="G165" s="601">
        <f>F165+G164</f>
        <v>0</v>
      </c>
      <c r="H165" s="636">
        <f>$H$73</f>
        <v>3.2500000000000001E-2</v>
      </c>
      <c r="I165" s="18">
        <f>IF(E165="N/A",0,ROUND((F165/2+G164+J164)*H165/12,2))</f>
        <v>0</v>
      </c>
      <c r="J165" s="18">
        <f>I165+J164</f>
        <v>0</v>
      </c>
      <c r="K165" s="18">
        <f t="shared" ref="K165:K188" si="76">ROUND((G165+J165),2)</f>
        <v>0</v>
      </c>
      <c r="L165" s="600">
        <f t="shared" si="74"/>
        <v>627</v>
      </c>
      <c r="M165" s="46"/>
      <c r="N165" s="46"/>
      <c r="O165" s="46"/>
      <c r="P165" s="46"/>
      <c r="Q165" s="46"/>
    </row>
    <row r="166" spans="1:17" s="45" customFormat="1">
      <c r="A166" s="600">
        <f t="shared" ref="A166:A188" si="77">A165+1</f>
        <v>628</v>
      </c>
      <c r="B166" s="45" t="s">
        <v>77</v>
      </c>
      <c r="C166" s="50">
        <f>'1-DRR'!$K$2</f>
        <v>2021</v>
      </c>
      <c r="D166" s="579" t="str">
        <f>IF(E166="N/A","N/A",'3-ATA'!$D$49*'9-WholesaleRevenues'!D67)</f>
        <v>N/A</v>
      </c>
      <c r="E166" s="579" t="str">
        <f>IF('9-WholesaleRevenues'!D100="N/A","N/A",'9-WholesaleRevenues'!D100)</f>
        <v>N/A</v>
      </c>
      <c r="F166" s="601">
        <f t="shared" si="75"/>
        <v>0</v>
      </c>
      <c r="G166" s="601">
        <f t="shared" ref="G166:G176" si="78">F166+G165</f>
        <v>0</v>
      </c>
      <c r="H166" s="636">
        <f>$H$74</f>
        <v>3.2500000000000001E-2</v>
      </c>
      <c r="I166" s="18">
        <f>IF(E166="N/A",0,ROUND((F166/2+G165+J164)*H166/12,2))</f>
        <v>0</v>
      </c>
      <c r="J166" s="18">
        <f>I166+J165</f>
        <v>0</v>
      </c>
      <c r="K166" s="18">
        <f t="shared" si="76"/>
        <v>0</v>
      </c>
      <c r="L166" s="600">
        <f t="shared" si="74"/>
        <v>628</v>
      </c>
      <c r="M166" s="46"/>
      <c r="N166" s="46"/>
      <c r="O166" s="46"/>
      <c r="P166" s="46"/>
      <c r="Q166" s="46"/>
    </row>
    <row r="167" spans="1:17" s="45" customFormat="1">
      <c r="A167" s="600">
        <f t="shared" si="77"/>
        <v>629</v>
      </c>
      <c r="B167" s="45" t="s">
        <v>78</v>
      </c>
      <c r="C167" s="50">
        <f>'1-DRR'!$K$2</f>
        <v>2021</v>
      </c>
      <c r="D167" s="579" t="str">
        <f>IF(E167="N/A","N/A",'3-ATA'!$D$49*'9-WholesaleRevenues'!D68)</f>
        <v>N/A</v>
      </c>
      <c r="E167" s="579" t="str">
        <f>IF('9-WholesaleRevenues'!D101="N/A","N/A",'9-WholesaleRevenues'!D101)</f>
        <v>N/A</v>
      </c>
      <c r="F167" s="601">
        <f t="shared" si="75"/>
        <v>0</v>
      </c>
      <c r="G167" s="601">
        <f t="shared" si="78"/>
        <v>0</v>
      </c>
      <c r="H167" s="636">
        <f>$H$75</f>
        <v>3.2500000000000001E-2</v>
      </c>
      <c r="I167" s="18">
        <f>IF(E167="N/A",0,ROUND((F167/2+G166+J164)*H167/12,2))</f>
        <v>0</v>
      </c>
      <c r="J167" s="18">
        <f>I167+J166</f>
        <v>0</v>
      </c>
      <c r="K167" s="18">
        <f t="shared" si="76"/>
        <v>0</v>
      </c>
      <c r="L167" s="600">
        <f t="shared" si="74"/>
        <v>629</v>
      </c>
      <c r="M167" s="46"/>
      <c r="N167" s="46"/>
      <c r="O167" s="46"/>
      <c r="P167" s="46"/>
      <c r="Q167" s="46"/>
    </row>
    <row r="168" spans="1:17" s="45" customFormat="1">
      <c r="A168" s="600">
        <f t="shared" si="77"/>
        <v>630</v>
      </c>
      <c r="B168" s="45" t="s">
        <v>79</v>
      </c>
      <c r="C168" s="50">
        <f>'1-DRR'!$K$2</f>
        <v>2021</v>
      </c>
      <c r="D168" s="579" t="str">
        <f>IF(E168="N/A","N/A",'3-ATA'!$D$49*'9-WholesaleRevenues'!D69)</f>
        <v>N/A</v>
      </c>
      <c r="E168" s="579" t="str">
        <f>IF('9-WholesaleRevenues'!D102="N/A","N/A",'9-WholesaleRevenues'!D102)</f>
        <v>N/A</v>
      </c>
      <c r="F168" s="601">
        <f t="shared" si="75"/>
        <v>0</v>
      </c>
      <c r="G168" s="601">
        <f t="shared" si="78"/>
        <v>0</v>
      </c>
      <c r="H168" s="636">
        <f>$H$76</f>
        <v>3.2500000000000001E-2</v>
      </c>
      <c r="I168" s="18">
        <f>IF(E168="N/A",0,ROUND((F168/2+G167+J167)*H168/12,2))</f>
        <v>0</v>
      </c>
      <c r="J168" s="18">
        <f t="shared" ref="J168:J188" si="79">I168+J167</f>
        <v>0</v>
      </c>
      <c r="K168" s="18">
        <f t="shared" si="76"/>
        <v>0</v>
      </c>
      <c r="L168" s="600">
        <f t="shared" si="74"/>
        <v>630</v>
      </c>
      <c r="M168" s="46"/>
      <c r="N168" s="46"/>
      <c r="O168" s="46"/>
      <c r="P168" s="46"/>
      <c r="Q168" s="46"/>
    </row>
    <row r="169" spans="1:17" s="45" customFormat="1">
      <c r="A169" s="600">
        <f t="shared" si="77"/>
        <v>631</v>
      </c>
      <c r="B169" s="45" t="s">
        <v>61</v>
      </c>
      <c r="C169" s="50">
        <f>'1-DRR'!$K$2</f>
        <v>2021</v>
      </c>
      <c r="D169" s="579" t="str">
        <f>IF(E169="N/A","N/A",'3-ATA'!$D$49*'9-WholesaleRevenues'!D70)</f>
        <v>N/A</v>
      </c>
      <c r="E169" s="579" t="str">
        <f>IF('9-WholesaleRevenues'!D103="N/A","N/A",'9-WholesaleRevenues'!D103)</f>
        <v>N/A</v>
      </c>
      <c r="F169" s="601">
        <f t="shared" si="75"/>
        <v>0</v>
      </c>
      <c r="G169" s="601">
        <f t="shared" si="78"/>
        <v>0</v>
      </c>
      <c r="H169" s="636">
        <f>$H$77</f>
        <v>3.2500000000000001E-2</v>
      </c>
      <c r="I169" s="18">
        <f>IF(E169="N/A",0,ROUND((F169/2+G168+J167)*H169/12,2))</f>
        <v>0</v>
      </c>
      <c r="J169" s="18">
        <f t="shared" si="79"/>
        <v>0</v>
      </c>
      <c r="K169" s="18">
        <f t="shared" si="76"/>
        <v>0</v>
      </c>
      <c r="L169" s="600">
        <f t="shared" si="74"/>
        <v>631</v>
      </c>
      <c r="M169" s="46"/>
      <c r="N169" s="46"/>
      <c r="O169" s="46"/>
      <c r="P169" s="46"/>
      <c r="Q169" s="46"/>
    </row>
    <row r="170" spans="1:17" s="45" customFormat="1">
      <c r="A170" s="600">
        <f t="shared" si="77"/>
        <v>632</v>
      </c>
      <c r="B170" s="45" t="s">
        <v>80</v>
      </c>
      <c r="C170" s="50">
        <f>'1-DRR'!$K$2</f>
        <v>2021</v>
      </c>
      <c r="D170" s="579">
        <f>IF(E170="N/A","N/A",'3-ATA'!$D$49*'9-WholesaleRevenues'!D71)</f>
        <v>26159.519256036761</v>
      </c>
      <c r="E170" s="579">
        <f>IF('9-WholesaleRevenues'!D104="N/A","N/A",'9-WholesaleRevenues'!D104)</f>
        <v>8751.8340000000007</v>
      </c>
      <c r="F170" s="601">
        <f t="shared" si="75"/>
        <v>17407.685256036762</v>
      </c>
      <c r="G170" s="601">
        <f t="shared" si="78"/>
        <v>17407.685256036762</v>
      </c>
      <c r="H170" s="636">
        <f>$H$78</f>
        <v>3.2500000000000001E-2</v>
      </c>
      <c r="I170" s="18">
        <f>IF(E170="N/A",0,ROUND((F170/2+G169+J167)*H170/12,2))</f>
        <v>23.57</v>
      </c>
      <c r="J170" s="18">
        <f t="shared" si="79"/>
        <v>23.57</v>
      </c>
      <c r="K170" s="18">
        <f t="shared" si="76"/>
        <v>17431.259999999998</v>
      </c>
      <c r="L170" s="600">
        <f t="shared" si="74"/>
        <v>632</v>
      </c>
      <c r="M170" s="46"/>
      <c r="N170" s="46"/>
      <c r="O170" s="46"/>
      <c r="P170" s="46"/>
      <c r="Q170" s="46"/>
    </row>
    <row r="171" spans="1:17" s="45" customFormat="1">
      <c r="A171" s="600">
        <f t="shared" si="77"/>
        <v>633</v>
      </c>
      <c r="B171" s="45" t="s">
        <v>81</v>
      </c>
      <c r="C171" s="50">
        <f>'1-DRR'!$K$2</f>
        <v>2021</v>
      </c>
      <c r="D171" s="579">
        <f>IF(E171="N/A","N/A",'3-ATA'!$D$49*'9-WholesaleRevenues'!D72)</f>
        <v>21468.070322027299</v>
      </c>
      <c r="E171" s="579">
        <f>IF('9-WholesaleRevenues'!D105="N/A","N/A",'9-WholesaleRevenues'!D105)</f>
        <v>8751.8340000000007</v>
      </c>
      <c r="F171" s="601">
        <f t="shared" si="75"/>
        <v>12716.236322027298</v>
      </c>
      <c r="G171" s="601">
        <f t="shared" si="78"/>
        <v>30123.921578064059</v>
      </c>
      <c r="H171" s="636">
        <f>$H$79</f>
        <v>3.2500000000000001E-2</v>
      </c>
      <c r="I171" s="18">
        <f>IF(E171="N/A",0,ROUND((F171/2+G170+J170)*H171/12,2))</f>
        <v>64.430000000000007</v>
      </c>
      <c r="J171" s="18">
        <f t="shared" si="79"/>
        <v>88</v>
      </c>
      <c r="K171" s="18">
        <f t="shared" si="76"/>
        <v>30211.919999999998</v>
      </c>
      <c r="L171" s="600">
        <f t="shared" si="74"/>
        <v>633</v>
      </c>
      <c r="M171" s="46"/>
      <c r="N171" s="46"/>
      <c r="O171" s="46"/>
      <c r="P171" s="46"/>
      <c r="Q171" s="46"/>
    </row>
    <row r="172" spans="1:17" s="45" customFormat="1">
      <c r="A172" s="600">
        <f t="shared" si="77"/>
        <v>634</v>
      </c>
      <c r="B172" s="45" t="s">
        <v>82</v>
      </c>
      <c r="C172" s="50">
        <f>'1-DRR'!$K$2</f>
        <v>2021</v>
      </c>
      <c r="D172" s="579">
        <f>IF(E172="N/A","N/A",'3-ATA'!$D$49*'9-WholesaleRevenues'!D73)</f>
        <v>17189.46889421067</v>
      </c>
      <c r="E172" s="579">
        <f>IF('9-WholesaleRevenues'!D106="N/A","N/A",'9-WholesaleRevenues'!D106)</f>
        <v>8751.8340000000007</v>
      </c>
      <c r="F172" s="601">
        <f t="shared" si="75"/>
        <v>8437.6348942106688</v>
      </c>
      <c r="G172" s="601">
        <f t="shared" si="78"/>
        <v>38561.556472274729</v>
      </c>
      <c r="H172" s="636">
        <f>$H$80</f>
        <v>3.2500000000000001E-2</v>
      </c>
      <c r="I172" s="18">
        <f>IF(E172="N/A",0,ROUND((F172/2+G171+J170)*H172/12,2))</f>
        <v>93.08</v>
      </c>
      <c r="J172" s="18">
        <f t="shared" si="79"/>
        <v>181.07999999999998</v>
      </c>
      <c r="K172" s="18">
        <f t="shared" si="76"/>
        <v>38742.639999999999</v>
      </c>
      <c r="L172" s="600">
        <f t="shared" si="74"/>
        <v>634</v>
      </c>
      <c r="M172" s="46"/>
      <c r="N172" s="46"/>
      <c r="O172" s="46"/>
      <c r="P172" s="46"/>
      <c r="Q172" s="46"/>
    </row>
    <row r="173" spans="1:17" s="45" customFormat="1">
      <c r="A173" s="600">
        <f t="shared" si="77"/>
        <v>635</v>
      </c>
      <c r="B173" s="45" t="s">
        <v>83</v>
      </c>
      <c r="C173" s="50">
        <f>'1-DRR'!$K$2</f>
        <v>2021</v>
      </c>
      <c r="D173" s="579">
        <f>IF(E173="N/A","N/A",'3-ATA'!$D$49*'9-WholesaleRevenues'!D74)</f>
        <v>5216.8912146185221</v>
      </c>
      <c r="E173" s="579">
        <f>IF('9-WholesaleRevenues'!D107="N/A","N/A",'9-WholesaleRevenues'!D107)</f>
        <v>8751.8340000000007</v>
      </c>
      <c r="F173" s="601">
        <f t="shared" si="75"/>
        <v>-3534.9427853814786</v>
      </c>
      <c r="G173" s="601">
        <f t="shared" si="78"/>
        <v>35026.613686893252</v>
      </c>
      <c r="H173" s="636">
        <f>$H$81</f>
        <v>3.2500000000000001E-2</v>
      </c>
      <c r="I173" s="18">
        <f>IF(E173="N/A",0,ROUND((F173/2+G172+J170)*H173/12,2))</f>
        <v>99.71</v>
      </c>
      <c r="J173" s="18">
        <f t="shared" si="79"/>
        <v>280.78999999999996</v>
      </c>
      <c r="K173" s="18">
        <f t="shared" si="76"/>
        <v>35307.4</v>
      </c>
      <c r="L173" s="600">
        <f t="shared" si="74"/>
        <v>635</v>
      </c>
      <c r="M173" s="46"/>
      <c r="N173" s="46"/>
      <c r="O173" s="46"/>
      <c r="P173" s="46"/>
      <c r="Q173" s="46"/>
    </row>
    <row r="174" spans="1:17" s="45" customFormat="1">
      <c r="A174" s="600">
        <f t="shared" si="77"/>
        <v>636</v>
      </c>
      <c r="B174" s="45" t="s">
        <v>84</v>
      </c>
      <c r="C174" s="50">
        <f>'1-DRR'!$K$2</f>
        <v>2021</v>
      </c>
      <c r="D174" s="579">
        <f>IF(E174="N/A","N/A",'3-ATA'!$D$49*'9-WholesaleRevenues'!D75)</f>
        <v>5141.8280316743703</v>
      </c>
      <c r="E174" s="579">
        <f>IF('9-WholesaleRevenues'!D108="N/A","N/A",'9-WholesaleRevenues'!D108)</f>
        <v>8751.8340000000007</v>
      </c>
      <c r="F174" s="601">
        <f t="shared" si="75"/>
        <v>-3610.0059683256304</v>
      </c>
      <c r="G174" s="601">
        <f t="shared" si="78"/>
        <v>31416.607718567622</v>
      </c>
      <c r="H174" s="636">
        <f>$H$82</f>
        <v>3.2500000000000001E-2</v>
      </c>
      <c r="I174" s="18">
        <f>IF(E174="N/A",0,ROUND((F174/2+G173+J173)*H174/12,2))</f>
        <v>90.74</v>
      </c>
      <c r="J174" s="18">
        <f t="shared" si="79"/>
        <v>371.53</v>
      </c>
      <c r="K174" s="18">
        <f t="shared" si="76"/>
        <v>31788.14</v>
      </c>
      <c r="L174" s="600">
        <f t="shared" si="74"/>
        <v>636</v>
      </c>
      <c r="M174" s="46"/>
      <c r="N174" s="46"/>
      <c r="O174" s="46"/>
      <c r="P174" s="46"/>
      <c r="Q174" s="46"/>
    </row>
    <row r="175" spans="1:17" s="45" customFormat="1">
      <c r="A175" s="600">
        <f t="shared" si="77"/>
        <v>637</v>
      </c>
      <c r="B175" s="45" t="s">
        <v>85</v>
      </c>
      <c r="C175" s="50">
        <f>'1-DRR'!$K$2</f>
        <v>2021</v>
      </c>
      <c r="D175" s="579">
        <f>IF(E175="N/A","N/A",'3-ATA'!$D$49*'9-WholesaleRevenues'!D76)</f>
        <v>13586.436112891402</v>
      </c>
      <c r="E175" s="579">
        <f>IF('9-WholesaleRevenues'!D109="N/A","N/A",'9-WholesaleRevenues'!D109)</f>
        <v>8751.8340000000007</v>
      </c>
      <c r="F175" s="601">
        <f t="shared" si="75"/>
        <v>4834.6021128914017</v>
      </c>
      <c r="G175" s="601">
        <f t="shared" si="78"/>
        <v>36251.209831459026</v>
      </c>
      <c r="H175" s="636">
        <f>$H$83</f>
        <v>3.2500000000000001E-2</v>
      </c>
      <c r="I175" s="18">
        <f>IF(E175="N/A",0,ROUND((F175/2+G174+J173)*H175/12,2))</f>
        <v>92.39</v>
      </c>
      <c r="J175" s="18">
        <f t="shared" si="79"/>
        <v>463.91999999999996</v>
      </c>
      <c r="K175" s="18">
        <f t="shared" si="76"/>
        <v>36715.129999999997</v>
      </c>
      <c r="L175" s="600">
        <f t="shared" si="74"/>
        <v>637</v>
      </c>
      <c r="M175" s="46"/>
      <c r="N175" s="46"/>
      <c r="O175" s="46"/>
      <c r="P175" s="46"/>
      <c r="Q175" s="46"/>
    </row>
    <row r="176" spans="1:17" s="45" customFormat="1">
      <c r="A176" s="600">
        <f t="shared" si="77"/>
        <v>638</v>
      </c>
      <c r="B176" s="45" t="s">
        <v>75</v>
      </c>
      <c r="C176" s="50">
        <f>'1-DRR'!$K$2</f>
        <v>2021</v>
      </c>
      <c r="D176" s="579">
        <f>IF(E176="N/A","N/A",'3-ATA'!$D$49*'9-WholesaleRevenues'!D77)</f>
        <v>0</v>
      </c>
      <c r="E176" s="579">
        <f>IF('9-WholesaleRevenues'!D110="N/A","N/A",'9-WholesaleRevenues'!D110)</f>
        <v>0</v>
      </c>
      <c r="F176" s="601">
        <f t="shared" si="75"/>
        <v>0</v>
      </c>
      <c r="G176" s="601">
        <f t="shared" si="78"/>
        <v>36251.209831459026</v>
      </c>
      <c r="H176" s="636">
        <f>$H$84</f>
        <v>3.2500000000000001E-2</v>
      </c>
      <c r="I176" s="18">
        <f>IF(E176="N/A",0,ROUND((F176/2+G175+J173)*H176/12,2))</f>
        <v>98.94</v>
      </c>
      <c r="J176" s="18">
        <f t="shared" si="79"/>
        <v>562.8599999999999</v>
      </c>
      <c r="K176" s="18">
        <f t="shared" si="76"/>
        <v>36814.07</v>
      </c>
      <c r="L176" s="600">
        <f t="shared" si="74"/>
        <v>638</v>
      </c>
      <c r="M176" s="46"/>
      <c r="N176" s="46"/>
      <c r="O176" s="46"/>
      <c r="P176" s="46"/>
      <c r="Q176" s="46"/>
    </row>
    <row r="177" spans="1:17" s="45" customFormat="1">
      <c r="A177" s="600">
        <f t="shared" si="77"/>
        <v>639</v>
      </c>
      <c r="B177" s="45" t="s">
        <v>76</v>
      </c>
      <c r="C177" s="50">
        <f>C176+1</f>
        <v>2022</v>
      </c>
      <c r="D177" s="110" t="s">
        <v>109</v>
      </c>
      <c r="E177" s="110" t="s">
        <v>109</v>
      </c>
      <c r="F177" s="601">
        <v>0</v>
      </c>
      <c r="G177" s="601">
        <f>F177+G176</f>
        <v>36251.209831459026</v>
      </c>
      <c r="H177" s="636">
        <f>$H$85</f>
        <v>3.2500000000000001E-2</v>
      </c>
      <c r="I177" s="18">
        <f t="shared" ref="I177" si="80">ROUND((F177/2+G176+J176)*H177/12,2)</f>
        <v>99.7</v>
      </c>
      <c r="J177" s="18">
        <f t="shared" si="79"/>
        <v>662.56</v>
      </c>
      <c r="K177" s="18">
        <f t="shared" si="76"/>
        <v>36913.769999999997</v>
      </c>
      <c r="L177" s="600">
        <f t="shared" si="74"/>
        <v>639</v>
      </c>
      <c r="M177" s="46"/>
      <c r="N177" s="46"/>
      <c r="O177" s="46"/>
      <c r="P177" s="46"/>
      <c r="Q177" s="46"/>
    </row>
    <row r="178" spans="1:17" s="45" customFormat="1">
      <c r="A178" s="600">
        <f t="shared" si="77"/>
        <v>640</v>
      </c>
      <c r="B178" s="45" t="s">
        <v>77</v>
      </c>
      <c r="C178" s="50">
        <f>C177</f>
        <v>2022</v>
      </c>
      <c r="D178" s="110" t="s">
        <v>109</v>
      </c>
      <c r="E178" s="110" t="s">
        <v>109</v>
      </c>
      <c r="F178" s="601">
        <v>0</v>
      </c>
      <c r="G178" s="601">
        <f t="shared" ref="G178:G188" si="81">F178+G177</f>
        <v>36251.209831459026</v>
      </c>
      <c r="H178" s="636">
        <f>$H$86</f>
        <v>3.2500000000000001E-2</v>
      </c>
      <c r="I178" s="18">
        <f t="shared" ref="I178" si="82">ROUND((F178/2+G177+J176)*H178/12,2)</f>
        <v>99.7</v>
      </c>
      <c r="J178" s="18">
        <f t="shared" si="79"/>
        <v>762.26</v>
      </c>
      <c r="K178" s="18">
        <f t="shared" si="76"/>
        <v>37013.47</v>
      </c>
      <c r="L178" s="600">
        <f t="shared" si="74"/>
        <v>640</v>
      </c>
      <c r="M178" s="46"/>
      <c r="N178" s="46"/>
      <c r="O178" s="46"/>
      <c r="P178" s="46"/>
      <c r="Q178" s="46"/>
    </row>
    <row r="179" spans="1:17" s="45" customFormat="1">
      <c r="A179" s="600">
        <f t="shared" si="77"/>
        <v>641</v>
      </c>
      <c r="B179" s="45" t="s">
        <v>78</v>
      </c>
      <c r="C179" s="50">
        <f t="shared" ref="C179:C188" si="83">C178</f>
        <v>2022</v>
      </c>
      <c r="D179" s="110" t="s">
        <v>109</v>
      </c>
      <c r="E179" s="110" t="s">
        <v>109</v>
      </c>
      <c r="F179" s="601">
        <v>0</v>
      </c>
      <c r="G179" s="601">
        <f t="shared" si="81"/>
        <v>36251.209831459026</v>
      </c>
      <c r="H179" s="636">
        <f>$H$87</f>
        <v>3.2500000000000001E-2</v>
      </c>
      <c r="I179" s="18">
        <f t="shared" ref="I179" si="84">ROUND((F179/2+G178+J176)*H179/12,2)</f>
        <v>99.7</v>
      </c>
      <c r="J179" s="18">
        <f t="shared" si="79"/>
        <v>861.96</v>
      </c>
      <c r="K179" s="18">
        <f t="shared" si="76"/>
        <v>37113.17</v>
      </c>
      <c r="L179" s="600">
        <f t="shared" si="74"/>
        <v>641</v>
      </c>
      <c r="M179" s="46"/>
      <c r="N179" s="46"/>
      <c r="O179" s="46"/>
      <c r="P179" s="46"/>
      <c r="Q179" s="46"/>
    </row>
    <row r="180" spans="1:17" s="45" customFormat="1">
      <c r="A180" s="600">
        <f t="shared" si="77"/>
        <v>642</v>
      </c>
      <c r="B180" s="45" t="s">
        <v>79</v>
      </c>
      <c r="C180" s="50">
        <f t="shared" si="83"/>
        <v>2022</v>
      </c>
      <c r="D180" s="110" t="s">
        <v>109</v>
      </c>
      <c r="E180" s="110" t="s">
        <v>109</v>
      </c>
      <c r="F180" s="601">
        <v>0</v>
      </c>
      <c r="G180" s="601">
        <f t="shared" si="81"/>
        <v>36251.209831459026</v>
      </c>
      <c r="H180" s="636">
        <f>$H$88</f>
        <v>3.2500000000000001E-2</v>
      </c>
      <c r="I180" s="18">
        <f t="shared" ref="I180" si="85">ROUND((F180/2+G179+J179)*H180/12,2)</f>
        <v>100.51</v>
      </c>
      <c r="J180" s="18">
        <f t="shared" si="79"/>
        <v>962.47</v>
      </c>
      <c r="K180" s="18">
        <f t="shared" si="76"/>
        <v>37213.68</v>
      </c>
      <c r="L180" s="600">
        <f t="shared" si="74"/>
        <v>642</v>
      </c>
      <c r="M180" s="46"/>
      <c r="N180" s="46"/>
      <c r="O180" s="46"/>
      <c r="P180" s="46"/>
      <c r="Q180" s="46"/>
    </row>
    <row r="181" spans="1:17" s="45" customFormat="1">
      <c r="A181" s="600">
        <f t="shared" si="77"/>
        <v>643</v>
      </c>
      <c r="B181" s="45" t="s">
        <v>61</v>
      </c>
      <c r="C181" s="50">
        <f t="shared" si="83"/>
        <v>2022</v>
      </c>
      <c r="D181" s="110" t="s">
        <v>109</v>
      </c>
      <c r="E181" s="110" t="s">
        <v>109</v>
      </c>
      <c r="F181" s="601">
        <v>0</v>
      </c>
      <c r="G181" s="601">
        <f t="shared" si="81"/>
        <v>36251.209831459026</v>
      </c>
      <c r="H181" s="636">
        <f>$H$89</f>
        <v>3.2500000000000001E-2</v>
      </c>
      <c r="I181" s="18">
        <f t="shared" ref="I181" si="86">ROUND((F181/2+G180+J179)*H181/12,2)</f>
        <v>100.51</v>
      </c>
      <c r="J181" s="18">
        <f t="shared" si="79"/>
        <v>1062.98</v>
      </c>
      <c r="K181" s="18">
        <f t="shared" si="76"/>
        <v>37314.19</v>
      </c>
      <c r="L181" s="600">
        <f t="shared" si="74"/>
        <v>643</v>
      </c>
      <c r="M181" s="46"/>
      <c r="N181" s="46"/>
      <c r="O181" s="46"/>
      <c r="P181" s="46"/>
      <c r="Q181" s="46"/>
    </row>
    <row r="182" spans="1:17" s="45" customFormat="1">
      <c r="A182" s="600">
        <f t="shared" si="77"/>
        <v>644</v>
      </c>
      <c r="B182" s="45" t="s">
        <v>80</v>
      </c>
      <c r="C182" s="50">
        <f t="shared" si="83"/>
        <v>2022</v>
      </c>
      <c r="D182" s="110" t="s">
        <v>109</v>
      </c>
      <c r="E182" s="110" t="s">
        <v>109</v>
      </c>
      <c r="F182" s="601">
        <v>0</v>
      </c>
      <c r="G182" s="601">
        <f t="shared" si="81"/>
        <v>36251.209831459026</v>
      </c>
      <c r="H182" s="636">
        <f>$H$90</f>
        <v>3.2500000000000001E-2</v>
      </c>
      <c r="I182" s="18">
        <f t="shared" ref="I182" si="87">ROUND((F182/2+G181+J179)*H182/12,2)</f>
        <v>100.51</v>
      </c>
      <c r="J182" s="18">
        <f t="shared" si="79"/>
        <v>1163.49</v>
      </c>
      <c r="K182" s="18">
        <f t="shared" si="76"/>
        <v>37414.699999999997</v>
      </c>
      <c r="L182" s="600">
        <f t="shared" si="74"/>
        <v>644</v>
      </c>
      <c r="M182" s="46"/>
      <c r="N182" s="46"/>
      <c r="O182" s="46"/>
      <c r="P182" s="46"/>
      <c r="Q182" s="46"/>
    </row>
    <row r="183" spans="1:17" s="45" customFormat="1">
      <c r="A183" s="600">
        <f t="shared" si="77"/>
        <v>645</v>
      </c>
      <c r="B183" s="45" t="s">
        <v>81</v>
      </c>
      <c r="C183" s="50">
        <f t="shared" si="83"/>
        <v>2022</v>
      </c>
      <c r="D183" s="110" t="s">
        <v>109</v>
      </c>
      <c r="E183" s="110" t="s">
        <v>109</v>
      </c>
      <c r="F183" s="601">
        <v>0</v>
      </c>
      <c r="G183" s="601">
        <f t="shared" si="81"/>
        <v>36251.209831459026</v>
      </c>
      <c r="H183" s="636">
        <f>$H$91</f>
        <v>3.5999999999999997E-2</v>
      </c>
      <c r="I183" s="18">
        <f t="shared" ref="I183" si="88">ROUND((F183/2+G182+J182)*H183/12,2)</f>
        <v>112.24</v>
      </c>
      <c r="J183" s="18">
        <f t="shared" si="79"/>
        <v>1275.73</v>
      </c>
      <c r="K183" s="18">
        <f t="shared" si="76"/>
        <v>37526.94</v>
      </c>
      <c r="L183" s="600">
        <f t="shared" si="74"/>
        <v>645</v>
      </c>
      <c r="M183" s="46"/>
      <c r="N183" s="46"/>
      <c r="O183" s="46"/>
      <c r="P183" s="46"/>
      <c r="Q183" s="46"/>
    </row>
    <row r="184" spans="1:17" s="45" customFormat="1">
      <c r="A184" s="600">
        <f t="shared" si="77"/>
        <v>646</v>
      </c>
      <c r="B184" s="45" t="s">
        <v>82</v>
      </c>
      <c r="C184" s="50">
        <f t="shared" si="83"/>
        <v>2022</v>
      </c>
      <c r="D184" s="110" t="s">
        <v>109</v>
      </c>
      <c r="E184" s="110" t="s">
        <v>109</v>
      </c>
      <c r="F184" s="601">
        <v>0</v>
      </c>
      <c r="G184" s="601">
        <f t="shared" si="81"/>
        <v>36251.209831459026</v>
      </c>
      <c r="H184" s="636">
        <f>$H$92</f>
        <v>3.5999999999999997E-2</v>
      </c>
      <c r="I184" s="18">
        <f t="shared" ref="I184" si="89">ROUND((F184/2+G183+J182)*H184/12,2)</f>
        <v>112.24</v>
      </c>
      <c r="J184" s="18">
        <f t="shared" si="79"/>
        <v>1387.97</v>
      </c>
      <c r="K184" s="18">
        <f t="shared" si="76"/>
        <v>37639.18</v>
      </c>
      <c r="L184" s="600">
        <f t="shared" si="74"/>
        <v>646</v>
      </c>
      <c r="M184" s="46"/>
      <c r="N184" s="46"/>
      <c r="O184" s="46"/>
      <c r="P184" s="46"/>
      <c r="Q184" s="46"/>
    </row>
    <row r="185" spans="1:17" s="45" customFormat="1">
      <c r="A185" s="600">
        <f t="shared" si="77"/>
        <v>647</v>
      </c>
      <c r="B185" s="45" t="s">
        <v>83</v>
      </c>
      <c r="C185" s="50">
        <f t="shared" si="83"/>
        <v>2022</v>
      </c>
      <c r="D185" s="110" t="s">
        <v>109</v>
      </c>
      <c r="E185" s="110" t="s">
        <v>109</v>
      </c>
      <c r="F185" s="601">
        <v>0</v>
      </c>
      <c r="G185" s="601">
        <f t="shared" si="81"/>
        <v>36251.209831459026</v>
      </c>
      <c r="H185" s="636">
        <f>$H$93</f>
        <v>3.5999999999999997E-2</v>
      </c>
      <c r="I185" s="18">
        <f t="shared" ref="I185" si="90">ROUND((F185/2+G184+J182)*H185/12,2)</f>
        <v>112.24</v>
      </c>
      <c r="J185" s="18">
        <f t="shared" si="79"/>
        <v>1500.21</v>
      </c>
      <c r="K185" s="18">
        <f t="shared" si="76"/>
        <v>37751.42</v>
      </c>
      <c r="L185" s="600">
        <f t="shared" si="74"/>
        <v>647</v>
      </c>
      <c r="M185" s="46"/>
      <c r="N185" s="46"/>
      <c r="O185" s="46"/>
      <c r="P185" s="46"/>
      <c r="Q185" s="46"/>
    </row>
    <row r="186" spans="1:17" s="45" customFormat="1">
      <c r="A186" s="600">
        <f t="shared" si="77"/>
        <v>648</v>
      </c>
      <c r="B186" s="45" t="s">
        <v>84</v>
      </c>
      <c r="C186" s="50">
        <f t="shared" si="83"/>
        <v>2022</v>
      </c>
      <c r="D186" s="110" t="s">
        <v>109</v>
      </c>
      <c r="E186" s="110" t="s">
        <v>109</v>
      </c>
      <c r="F186" s="601">
        <v>0</v>
      </c>
      <c r="G186" s="601">
        <f t="shared" si="81"/>
        <v>36251.209831459026</v>
      </c>
      <c r="H186" s="636">
        <f>$H$94</f>
        <v>4.9099999999999998E-2</v>
      </c>
      <c r="I186" s="18">
        <f t="shared" ref="I186" si="91">ROUND((F186/2+G185+J185)*H186/12,2)</f>
        <v>154.47</v>
      </c>
      <c r="J186" s="18">
        <f t="shared" si="79"/>
        <v>1654.68</v>
      </c>
      <c r="K186" s="18">
        <f t="shared" si="76"/>
        <v>37905.89</v>
      </c>
      <c r="L186" s="600">
        <f t="shared" si="74"/>
        <v>648</v>
      </c>
      <c r="M186" s="46"/>
      <c r="N186" s="46"/>
      <c r="O186" s="46"/>
      <c r="P186" s="46"/>
      <c r="Q186" s="46"/>
    </row>
    <row r="187" spans="1:17" s="45" customFormat="1">
      <c r="A187" s="600">
        <f t="shared" si="77"/>
        <v>649</v>
      </c>
      <c r="B187" s="45" t="s">
        <v>85</v>
      </c>
      <c r="C187" s="50">
        <f t="shared" si="83"/>
        <v>2022</v>
      </c>
      <c r="D187" s="110" t="s">
        <v>109</v>
      </c>
      <c r="E187" s="110" t="s">
        <v>109</v>
      </c>
      <c r="F187" s="601">
        <v>0</v>
      </c>
      <c r="G187" s="601">
        <f t="shared" si="81"/>
        <v>36251.209831459026</v>
      </c>
      <c r="H187" s="636">
        <f>$H$95</f>
        <v>4.9099999999999998E-2</v>
      </c>
      <c r="I187" s="18">
        <f t="shared" ref="I187" si="92">ROUND((F187/2+G186+J185)*H187/12,2)</f>
        <v>154.47</v>
      </c>
      <c r="J187" s="18">
        <f t="shared" si="79"/>
        <v>1809.15</v>
      </c>
      <c r="K187" s="18">
        <f t="shared" si="76"/>
        <v>38060.36</v>
      </c>
      <c r="L187" s="600">
        <f t="shared" si="74"/>
        <v>649</v>
      </c>
      <c r="M187" s="46"/>
      <c r="N187" s="46"/>
      <c r="O187" s="46"/>
      <c r="P187" s="46"/>
      <c r="Q187" s="46"/>
    </row>
    <row r="188" spans="1:17" s="45" customFormat="1">
      <c r="A188" s="600">
        <f t="shared" si="77"/>
        <v>650</v>
      </c>
      <c r="B188" s="45" t="s">
        <v>75</v>
      </c>
      <c r="C188" s="50">
        <f t="shared" si="83"/>
        <v>2022</v>
      </c>
      <c r="D188" s="110" t="s">
        <v>109</v>
      </c>
      <c r="E188" s="110" t="s">
        <v>109</v>
      </c>
      <c r="F188" s="601">
        <v>0</v>
      </c>
      <c r="G188" s="601">
        <f t="shared" si="81"/>
        <v>36251.209831459026</v>
      </c>
      <c r="H188" s="636">
        <f>$H$96</f>
        <v>4.9099999999999998E-2</v>
      </c>
      <c r="I188" s="18">
        <f t="shared" ref="I188" si="93">ROUND((F188/2+G187+J185)*H188/12,2)</f>
        <v>154.47</v>
      </c>
      <c r="J188" s="18">
        <f t="shared" si="79"/>
        <v>1963.6200000000001</v>
      </c>
      <c r="K188" s="18">
        <f t="shared" si="76"/>
        <v>38214.83</v>
      </c>
      <c r="L188" s="600">
        <f t="shared" si="74"/>
        <v>650</v>
      </c>
      <c r="M188" s="46"/>
      <c r="N188" s="46"/>
      <c r="O188" s="46"/>
      <c r="P188" s="46"/>
      <c r="Q188" s="46"/>
    </row>
    <row r="189" spans="1:17">
      <c r="A189" s="3"/>
      <c r="B189" s="2"/>
    </row>
    <row r="190" spans="1:17" s="45" customFormat="1">
      <c r="A190" s="3" t="s">
        <v>86</v>
      </c>
      <c r="B190" s="613" t="s">
        <v>882</v>
      </c>
      <c r="C190" s="614" t="s">
        <v>62</v>
      </c>
      <c r="D190" s="614" t="s">
        <v>63</v>
      </c>
      <c r="E190" s="614" t="s">
        <v>64</v>
      </c>
      <c r="F190" s="615" t="s">
        <v>65</v>
      </c>
      <c r="G190" s="614" t="s">
        <v>66</v>
      </c>
      <c r="H190" s="614" t="s">
        <v>67</v>
      </c>
      <c r="I190" s="614" t="s">
        <v>68</v>
      </c>
      <c r="J190" s="614" t="s">
        <v>69</v>
      </c>
      <c r="K190" s="616" t="s">
        <v>70</v>
      </c>
      <c r="L190" s="3" t="str">
        <f t="shared" ref="L190:L191" si="94">A190</f>
        <v>Line</v>
      </c>
      <c r="M190" s="46"/>
      <c r="N190" s="46"/>
      <c r="O190" s="46"/>
      <c r="P190" s="46"/>
      <c r="Q190" s="46"/>
    </row>
    <row r="191" spans="1:17" s="45" customFormat="1">
      <c r="A191" s="600">
        <f>A129+100</f>
        <v>700</v>
      </c>
      <c r="B191" s="617" t="s">
        <v>1065</v>
      </c>
      <c r="C191" s="545"/>
      <c r="D191" s="618" t="s">
        <v>87</v>
      </c>
      <c r="E191" s="618" t="s">
        <v>88</v>
      </c>
      <c r="F191" s="619" t="str">
        <f>""&amp;D190&amp;" - "&amp;E190&amp;""</f>
        <v>Col 2 - Col 3</v>
      </c>
      <c r="G191" s="619" t="s">
        <v>112</v>
      </c>
      <c r="H191" s="619" t="s">
        <v>127</v>
      </c>
      <c r="I191" s="619" t="s">
        <v>128</v>
      </c>
      <c r="J191" s="619" t="s">
        <v>113</v>
      </c>
      <c r="K191" s="620" t="str">
        <f>""&amp;G190&amp;" + "&amp;J190&amp;""</f>
        <v>Col 5 + Col 8</v>
      </c>
      <c r="L191" s="600">
        <f t="shared" si="94"/>
        <v>700</v>
      </c>
      <c r="M191" s="46"/>
      <c r="N191" s="46"/>
      <c r="O191" s="46"/>
      <c r="P191" s="46"/>
      <c r="Q191" s="46"/>
    </row>
    <row r="192" spans="1:17" s="45" customFormat="1">
      <c r="A192" s="600"/>
      <c r="B192" s="621"/>
      <c r="C192" s="545"/>
      <c r="D192" s="545"/>
      <c r="E192" s="545"/>
      <c r="F192" s="176"/>
      <c r="G192" s="545" t="s">
        <v>135</v>
      </c>
      <c r="H192" s="545"/>
      <c r="I192" s="545"/>
      <c r="J192" s="545"/>
      <c r="K192" s="622" t="s">
        <v>135</v>
      </c>
      <c r="L192" s="46"/>
      <c r="M192" s="46"/>
      <c r="N192" s="46"/>
      <c r="O192" s="46"/>
      <c r="P192" s="46"/>
      <c r="Q192" s="46"/>
    </row>
    <row r="193" spans="1:17" s="45" customFormat="1">
      <c r="B193" s="621"/>
      <c r="C193" s="545"/>
      <c r="D193" s="176" t="s">
        <v>926</v>
      </c>
      <c r="E193" s="176" t="s">
        <v>926</v>
      </c>
      <c r="F193" s="176"/>
      <c r="G193" s="545" t="s">
        <v>766</v>
      </c>
      <c r="H193" s="545"/>
      <c r="I193" s="545"/>
      <c r="J193" s="545"/>
      <c r="K193" s="622" t="s">
        <v>766</v>
      </c>
      <c r="L193" s="46"/>
      <c r="M193" s="46"/>
      <c r="N193" s="46"/>
      <c r="O193" s="46"/>
      <c r="P193" s="46"/>
      <c r="Q193" s="46"/>
    </row>
    <row r="194" spans="1:17" s="45" customFormat="1">
      <c r="A194" s="600"/>
      <c r="B194" s="617"/>
      <c r="C194" s="545"/>
      <c r="D194" s="545" t="s">
        <v>71</v>
      </c>
      <c r="E194" s="545" t="s">
        <v>92</v>
      </c>
      <c r="F194" s="545" t="s">
        <v>124</v>
      </c>
      <c r="G194" s="545" t="s">
        <v>767</v>
      </c>
      <c r="H194" s="545" t="s">
        <v>185</v>
      </c>
      <c r="I194" s="545" t="s">
        <v>71</v>
      </c>
      <c r="J194" s="545" t="s">
        <v>132</v>
      </c>
      <c r="K194" s="622" t="s">
        <v>1061</v>
      </c>
      <c r="L194" s="46"/>
      <c r="M194" s="46"/>
      <c r="N194" s="46"/>
      <c r="O194" s="46"/>
      <c r="P194" s="46"/>
      <c r="Q194" s="46"/>
    </row>
    <row r="195" spans="1:17" s="45" customFormat="1">
      <c r="A195" s="600"/>
      <c r="B195" s="623" t="s">
        <v>58</v>
      </c>
      <c r="C195" s="624" t="s">
        <v>73</v>
      </c>
      <c r="D195" s="624" t="s">
        <v>1062</v>
      </c>
      <c r="E195" s="624" t="s">
        <v>121</v>
      </c>
      <c r="F195" s="624" t="s">
        <v>136</v>
      </c>
      <c r="G195" s="624" t="s">
        <v>123</v>
      </c>
      <c r="H195" s="624" t="s">
        <v>111</v>
      </c>
      <c r="I195" s="624" t="s">
        <v>72</v>
      </c>
      <c r="J195" s="624" t="s">
        <v>72</v>
      </c>
      <c r="K195" s="625" t="s">
        <v>74</v>
      </c>
      <c r="L195" s="46"/>
      <c r="M195" s="46"/>
      <c r="N195" s="46"/>
      <c r="O195" s="46"/>
      <c r="P195" s="46"/>
      <c r="Q195" s="46"/>
    </row>
    <row r="196" spans="1:17" s="45" customFormat="1">
      <c r="A196" s="600">
        <f>A191+1</f>
        <v>701</v>
      </c>
      <c r="B196" s="45" t="s">
        <v>75</v>
      </c>
      <c r="C196" s="50">
        <f>C197-1</f>
        <v>2020</v>
      </c>
      <c r="D196" s="110" t="s">
        <v>109</v>
      </c>
      <c r="E196" s="110" t="s">
        <v>109</v>
      </c>
      <c r="F196" s="47" t="s">
        <v>109</v>
      </c>
      <c r="G196" s="59">
        <v>0</v>
      </c>
      <c r="H196" s="47" t="s">
        <v>109</v>
      </c>
      <c r="I196" s="47" t="s">
        <v>109</v>
      </c>
      <c r="J196" s="59">
        <v>0</v>
      </c>
      <c r="K196" s="18">
        <f>ROUND((G196+J196),2)</f>
        <v>0</v>
      </c>
      <c r="L196" s="600">
        <f t="shared" ref="L196:L220" si="95">A196</f>
        <v>701</v>
      </c>
      <c r="M196" s="46"/>
      <c r="N196" s="46"/>
      <c r="O196" s="46"/>
      <c r="P196" s="46"/>
      <c r="Q196" s="46"/>
    </row>
    <row r="197" spans="1:17" s="45" customFormat="1">
      <c r="A197" s="600">
        <f>A196+1</f>
        <v>702</v>
      </c>
      <c r="B197" s="45" t="s">
        <v>76</v>
      </c>
      <c r="C197" s="50">
        <f>'1-DRR'!$K$2</f>
        <v>2021</v>
      </c>
      <c r="D197" s="579" t="str">
        <f>IF(E197="N/A","N/A",($E$42*'9-WholesaleRevenues'!F14))</f>
        <v>N/A</v>
      </c>
      <c r="E197" s="579" t="str">
        <f>IF('9-WholesaleRevenues'!F48="N/A","N/A",'9-WholesaleRevenues'!F48)</f>
        <v>N/A</v>
      </c>
      <c r="F197" s="601">
        <f t="shared" ref="F197:F208" si="96">IF(E197="N/A",0,D197-E197)</f>
        <v>0</v>
      </c>
      <c r="G197" s="601">
        <f>F197+G196</f>
        <v>0</v>
      </c>
      <c r="H197" s="636">
        <f>$H$73</f>
        <v>3.2500000000000001E-2</v>
      </c>
      <c r="I197" s="18">
        <f>IF(E197="N/A",0,ROUND((F197/2+G196+J196)*H197/12,2))</f>
        <v>0</v>
      </c>
      <c r="J197" s="18">
        <f>I197+J196</f>
        <v>0</v>
      </c>
      <c r="K197" s="18">
        <f t="shared" ref="K197:K220" si="97">ROUND((G197+J197),2)</f>
        <v>0</v>
      </c>
      <c r="L197" s="600">
        <f t="shared" si="95"/>
        <v>702</v>
      </c>
      <c r="M197" s="46"/>
      <c r="N197" s="46"/>
      <c r="O197" s="46"/>
      <c r="P197" s="46"/>
      <c r="Q197" s="46"/>
    </row>
    <row r="198" spans="1:17" s="45" customFormat="1">
      <c r="A198" s="600">
        <f t="shared" ref="A198:A220" si="98">A197+1</f>
        <v>703</v>
      </c>
      <c r="B198" s="45" t="s">
        <v>77</v>
      </c>
      <c r="C198" s="50">
        <f>'1-DRR'!$K$2</f>
        <v>2021</v>
      </c>
      <c r="D198" s="579" t="str">
        <f>IF(E198="N/A","N/A",($E$42*'9-WholesaleRevenues'!F15))</f>
        <v>N/A</v>
      </c>
      <c r="E198" s="579" t="str">
        <f>IF('9-WholesaleRevenues'!F49="N/A","N/A",'9-WholesaleRevenues'!F49)</f>
        <v>N/A</v>
      </c>
      <c r="F198" s="601">
        <f t="shared" si="96"/>
        <v>0</v>
      </c>
      <c r="G198" s="601">
        <f t="shared" ref="G198:G208" si="99">F198+G197</f>
        <v>0</v>
      </c>
      <c r="H198" s="636">
        <f>$H$74</f>
        <v>3.2500000000000001E-2</v>
      </c>
      <c r="I198" s="18">
        <f>IF(E198="N/A",0,ROUND((F198/2+G197+J196)*H198/12,2))</f>
        <v>0</v>
      </c>
      <c r="J198" s="18">
        <f>I198+J197</f>
        <v>0</v>
      </c>
      <c r="K198" s="18">
        <f t="shared" si="97"/>
        <v>0</v>
      </c>
      <c r="L198" s="600">
        <f t="shared" si="95"/>
        <v>703</v>
      </c>
      <c r="M198" s="46"/>
      <c r="N198" s="46"/>
      <c r="O198" s="46"/>
      <c r="P198" s="46"/>
      <c r="Q198" s="46"/>
    </row>
    <row r="199" spans="1:17" s="45" customFormat="1">
      <c r="A199" s="600">
        <f t="shared" si="98"/>
        <v>704</v>
      </c>
      <c r="B199" s="45" t="s">
        <v>78</v>
      </c>
      <c r="C199" s="50">
        <f>'1-DRR'!$K$2</f>
        <v>2021</v>
      </c>
      <c r="D199" s="579" t="str">
        <f>IF(E199="N/A","N/A",($E$42*'9-WholesaleRevenues'!F16))</f>
        <v>N/A</v>
      </c>
      <c r="E199" s="579" t="str">
        <f>IF('9-WholesaleRevenues'!F50="N/A","N/A",'9-WholesaleRevenues'!F50)</f>
        <v>N/A</v>
      </c>
      <c r="F199" s="601">
        <f t="shared" si="96"/>
        <v>0</v>
      </c>
      <c r="G199" s="601">
        <f t="shared" si="99"/>
        <v>0</v>
      </c>
      <c r="H199" s="636">
        <f>$H$75</f>
        <v>3.2500000000000001E-2</v>
      </c>
      <c r="I199" s="18">
        <f>IF(E199="N/A",0,ROUND((F199/2+G198+J196)*H199/12,2))</f>
        <v>0</v>
      </c>
      <c r="J199" s="18">
        <f>I199+J198</f>
        <v>0</v>
      </c>
      <c r="K199" s="18">
        <f t="shared" si="97"/>
        <v>0</v>
      </c>
      <c r="L199" s="600">
        <f t="shared" si="95"/>
        <v>704</v>
      </c>
      <c r="M199" s="46"/>
      <c r="N199" s="46"/>
      <c r="O199" s="46"/>
      <c r="P199" s="46"/>
      <c r="Q199" s="46"/>
    </row>
    <row r="200" spans="1:17" s="45" customFormat="1">
      <c r="A200" s="600">
        <f t="shared" si="98"/>
        <v>705</v>
      </c>
      <c r="B200" s="45" t="s">
        <v>79</v>
      </c>
      <c r="C200" s="50">
        <f>'1-DRR'!$K$2</f>
        <v>2021</v>
      </c>
      <c r="D200" s="579" t="str">
        <f>IF(E200="N/A","N/A",($E$42*'9-WholesaleRevenues'!F17))</f>
        <v>N/A</v>
      </c>
      <c r="E200" s="579" t="str">
        <f>IF('9-WholesaleRevenues'!F51="N/A","N/A",'9-WholesaleRevenues'!F51)</f>
        <v>N/A</v>
      </c>
      <c r="F200" s="601">
        <f t="shared" si="96"/>
        <v>0</v>
      </c>
      <c r="G200" s="601">
        <f t="shared" si="99"/>
        <v>0</v>
      </c>
      <c r="H200" s="636">
        <f>$H$76</f>
        <v>3.2500000000000001E-2</v>
      </c>
      <c r="I200" s="18">
        <f>IF(E200="N/A",0,ROUND((F200/2+G199+J199)*H200/12,2))</f>
        <v>0</v>
      </c>
      <c r="J200" s="18">
        <f t="shared" ref="J200:J220" si="100">I200+J199</f>
        <v>0</v>
      </c>
      <c r="K200" s="18">
        <f t="shared" si="97"/>
        <v>0</v>
      </c>
      <c r="L200" s="600">
        <f t="shared" si="95"/>
        <v>705</v>
      </c>
      <c r="M200" s="46"/>
      <c r="N200" s="46"/>
      <c r="O200" s="46"/>
      <c r="P200" s="46"/>
      <c r="Q200" s="46"/>
    </row>
    <row r="201" spans="1:17" s="45" customFormat="1">
      <c r="A201" s="600">
        <f t="shared" si="98"/>
        <v>706</v>
      </c>
      <c r="B201" s="45" t="s">
        <v>61</v>
      </c>
      <c r="C201" s="50">
        <f>'1-DRR'!$K$2</f>
        <v>2021</v>
      </c>
      <c r="D201" s="579" t="str">
        <f>IF(E201="N/A","N/A",($E$42*'9-WholesaleRevenues'!F18))</f>
        <v>N/A</v>
      </c>
      <c r="E201" s="579" t="str">
        <f>IF('9-WholesaleRevenues'!F52="N/A","N/A",'9-WholesaleRevenues'!F52)</f>
        <v>N/A</v>
      </c>
      <c r="F201" s="601">
        <f t="shared" si="96"/>
        <v>0</v>
      </c>
      <c r="G201" s="601">
        <f t="shared" si="99"/>
        <v>0</v>
      </c>
      <c r="H201" s="636">
        <f>$H$77</f>
        <v>3.2500000000000001E-2</v>
      </c>
      <c r="I201" s="18">
        <f>IF(E201="N/A",0,ROUND((F201/2+G200+J199)*H201/12,2))</f>
        <v>0</v>
      </c>
      <c r="J201" s="18">
        <f t="shared" si="100"/>
        <v>0</v>
      </c>
      <c r="K201" s="18">
        <f t="shared" si="97"/>
        <v>0</v>
      </c>
      <c r="L201" s="600">
        <f t="shared" si="95"/>
        <v>706</v>
      </c>
      <c r="M201" s="46"/>
      <c r="N201" s="46"/>
      <c r="O201" s="46"/>
      <c r="P201" s="46"/>
      <c r="Q201" s="46"/>
    </row>
    <row r="202" spans="1:17" s="45" customFormat="1">
      <c r="A202" s="600">
        <f t="shared" si="98"/>
        <v>707</v>
      </c>
      <c r="B202" s="45" t="s">
        <v>80</v>
      </c>
      <c r="C202" s="50">
        <f>'1-DRR'!$K$2</f>
        <v>2021</v>
      </c>
      <c r="D202" s="579">
        <f>IF(E202="N/A","N/A",($E$42*'9-WholesaleRevenues'!F19))</f>
        <v>88592.079296709097</v>
      </c>
      <c r="E202" s="579">
        <f>IF('9-WholesaleRevenues'!F53="N/A","N/A",'9-WholesaleRevenues'!F53)</f>
        <v>37639.89</v>
      </c>
      <c r="F202" s="601">
        <f t="shared" si="96"/>
        <v>50952.189296709097</v>
      </c>
      <c r="G202" s="601">
        <f t="shared" si="99"/>
        <v>50952.189296709097</v>
      </c>
      <c r="H202" s="636">
        <f>$H$78</f>
        <v>3.2500000000000001E-2</v>
      </c>
      <c r="I202" s="18">
        <f>IF(E202="N/A",0,ROUND((F202/2+G201+J199)*H202/12,2))</f>
        <v>69</v>
      </c>
      <c r="J202" s="18">
        <f t="shared" si="100"/>
        <v>69</v>
      </c>
      <c r="K202" s="18">
        <f t="shared" si="97"/>
        <v>51021.19</v>
      </c>
      <c r="L202" s="600">
        <f t="shared" si="95"/>
        <v>707</v>
      </c>
      <c r="M202" s="46"/>
      <c r="N202" s="46"/>
      <c r="O202" s="46"/>
      <c r="P202" s="46"/>
      <c r="Q202" s="46"/>
    </row>
    <row r="203" spans="1:17" s="45" customFormat="1">
      <c r="A203" s="600">
        <f t="shared" si="98"/>
        <v>708</v>
      </c>
      <c r="B203" s="45" t="s">
        <v>81</v>
      </c>
      <c r="C203" s="50">
        <f>'1-DRR'!$K$2</f>
        <v>2021</v>
      </c>
      <c r="D203" s="579">
        <f>IF(E203="N/A","N/A",($E$42*'9-WholesaleRevenues'!F20))</f>
        <v>83247.157468853344</v>
      </c>
      <c r="E203" s="579">
        <f>IF('9-WholesaleRevenues'!F54="N/A","N/A",'9-WholesaleRevenues'!F54)</f>
        <v>37639.89</v>
      </c>
      <c r="F203" s="601">
        <f t="shared" si="96"/>
        <v>45607.267468853344</v>
      </c>
      <c r="G203" s="601">
        <f t="shared" si="99"/>
        <v>96559.456765562441</v>
      </c>
      <c r="H203" s="636">
        <f>$H$79</f>
        <v>3.2500000000000001E-2</v>
      </c>
      <c r="I203" s="18">
        <f>IF(E203="N/A",0,ROUND((F203/2+G202+J202)*H203/12,2))</f>
        <v>199.94</v>
      </c>
      <c r="J203" s="18">
        <f t="shared" si="100"/>
        <v>268.94</v>
      </c>
      <c r="K203" s="18">
        <f t="shared" si="97"/>
        <v>96828.4</v>
      </c>
      <c r="L203" s="600">
        <f t="shared" si="95"/>
        <v>708</v>
      </c>
      <c r="M203" s="46"/>
      <c r="N203" s="46"/>
      <c r="O203" s="46"/>
      <c r="P203" s="46"/>
      <c r="Q203" s="46"/>
    </row>
    <row r="204" spans="1:17" s="45" customFormat="1">
      <c r="A204" s="600">
        <f t="shared" si="98"/>
        <v>709</v>
      </c>
      <c r="B204" s="45" t="s">
        <v>82</v>
      </c>
      <c r="C204" s="50">
        <f>'1-DRR'!$K$2</f>
        <v>2021</v>
      </c>
      <c r="D204" s="579">
        <f>IF(E204="N/A","N/A",($E$42*'9-WholesaleRevenues'!F21))</f>
        <v>88706.613335877439</v>
      </c>
      <c r="E204" s="579">
        <f>IF('9-WholesaleRevenues'!F55="N/A","N/A",'9-WholesaleRevenues'!F55)</f>
        <v>37639.89</v>
      </c>
      <c r="F204" s="601">
        <f t="shared" si="96"/>
        <v>51066.723335877439</v>
      </c>
      <c r="G204" s="601">
        <f t="shared" si="99"/>
        <v>147626.18010143988</v>
      </c>
      <c r="H204" s="636">
        <f>$H$80</f>
        <v>3.2500000000000001E-2</v>
      </c>
      <c r="I204" s="18">
        <f>IF(E204="N/A",0,ROUND((F204/2+G203+J202)*H204/12,2))</f>
        <v>330.85</v>
      </c>
      <c r="J204" s="18">
        <f t="shared" si="100"/>
        <v>599.79</v>
      </c>
      <c r="K204" s="18">
        <f t="shared" si="97"/>
        <v>148225.97</v>
      </c>
      <c r="L204" s="600">
        <f t="shared" si="95"/>
        <v>709</v>
      </c>
      <c r="M204" s="46"/>
      <c r="N204" s="46"/>
      <c r="O204" s="46"/>
      <c r="P204" s="46"/>
      <c r="Q204" s="46"/>
    </row>
    <row r="205" spans="1:17" s="45" customFormat="1">
      <c r="A205" s="600">
        <f t="shared" si="98"/>
        <v>710</v>
      </c>
      <c r="B205" s="45" t="s">
        <v>83</v>
      </c>
      <c r="C205" s="50">
        <f>'1-DRR'!$K$2</f>
        <v>2021</v>
      </c>
      <c r="D205" s="579">
        <f>IF(E205="N/A","N/A",($E$42*'9-WholesaleRevenues'!F22))</f>
        <v>63394.590679674839</v>
      </c>
      <c r="E205" s="579">
        <f>IF('9-WholesaleRevenues'!F56="N/A","N/A",'9-WholesaleRevenues'!F56)</f>
        <v>37639.89</v>
      </c>
      <c r="F205" s="601">
        <f t="shared" si="96"/>
        <v>25754.700679674839</v>
      </c>
      <c r="G205" s="601">
        <f t="shared" si="99"/>
        <v>173380.88078111471</v>
      </c>
      <c r="H205" s="636">
        <f>$H$81</f>
        <v>3.2500000000000001E-2</v>
      </c>
      <c r="I205" s="18">
        <f>IF(E205="N/A",0,ROUND((F205/2+G204+J202)*H205/12,2))</f>
        <v>434.88</v>
      </c>
      <c r="J205" s="18">
        <f t="shared" si="100"/>
        <v>1034.67</v>
      </c>
      <c r="K205" s="18">
        <f t="shared" si="97"/>
        <v>174415.55</v>
      </c>
      <c r="L205" s="600">
        <f t="shared" si="95"/>
        <v>710</v>
      </c>
      <c r="M205" s="46"/>
      <c r="N205" s="46"/>
      <c r="O205" s="46"/>
      <c r="P205" s="46"/>
      <c r="Q205" s="46"/>
    </row>
    <row r="206" spans="1:17" s="45" customFormat="1">
      <c r="A206" s="600">
        <f t="shared" si="98"/>
        <v>711</v>
      </c>
      <c r="B206" s="45" t="s">
        <v>84</v>
      </c>
      <c r="C206" s="50">
        <f>'1-DRR'!$K$2</f>
        <v>2021</v>
      </c>
      <c r="D206" s="579">
        <f>IF(E206="N/A","N/A",($E$42*'9-WholesaleRevenues'!F23))</f>
        <v>63604.569751483454</v>
      </c>
      <c r="E206" s="579">
        <f>IF('9-WholesaleRevenues'!F57="N/A","N/A",'9-WholesaleRevenues'!F57)</f>
        <v>37639.89</v>
      </c>
      <c r="F206" s="601">
        <f t="shared" si="96"/>
        <v>25964.679751483454</v>
      </c>
      <c r="G206" s="601">
        <f t="shared" si="99"/>
        <v>199345.56053259817</v>
      </c>
      <c r="H206" s="636">
        <f>$H$82</f>
        <v>3.2500000000000001E-2</v>
      </c>
      <c r="I206" s="18">
        <f>IF(E206="N/A",0,ROUND((F206/2+G205+J205)*H206/12,2))</f>
        <v>507.54</v>
      </c>
      <c r="J206" s="18">
        <f t="shared" si="100"/>
        <v>1542.21</v>
      </c>
      <c r="K206" s="18">
        <f t="shared" si="97"/>
        <v>200887.77</v>
      </c>
      <c r="L206" s="600">
        <f t="shared" si="95"/>
        <v>711</v>
      </c>
      <c r="M206" s="46"/>
      <c r="N206" s="46"/>
      <c r="O206" s="46"/>
      <c r="P206" s="46"/>
      <c r="Q206" s="46"/>
    </row>
    <row r="207" spans="1:17" s="45" customFormat="1">
      <c r="A207" s="600">
        <f t="shared" si="98"/>
        <v>712</v>
      </c>
      <c r="B207" s="45" t="s">
        <v>85</v>
      </c>
      <c r="C207" s="50">
        <f>'1-DRR'!$K$2</f>
        <v>2021</v>
      </c>
      <c r="D207" s="579">
        <f>IF(E207="N/A","N/A",($E$42*'9-WholesaleRevenues'!F24))</f>
        <v>50223.176175316017</v>
      </c>
      <c r="E207" s="579">
        <f>IF('9-WholesaleRevenues'!F58="N/A","N/A",'9-WholesaleRevenues'!F58)</f>
        <v>37639.89</v>
      </c>
      <c r="F207" s="601">
        <f t="shared" si="96"/>
        <v>12583.286175316018</v>
      </c>
      <c r="G207" s="601">
        <f t="shared" si="99"/>
        <v>211928.8467079142</v>
      </c>
      <c r="H207" s="636">
        <f>$H$83</f>
        <v>3.2500000000000001E-2</v>
      </c>
      <c r="I207" s="18">
        <f>IF(E207="N/A",0,ROUND((F207/2+G206+J205)*H207/12,2))</f>
        <v>559.74</v>
      </c>
      <c r="J207" s="18">
        <f t="shared" si="100"/>
        <v>2101.9499999999998</v>
      </c>
      <c r="K207" s="18">
        <f t="shared" si="97"/>
        <v>214030.8</v>
      </c>
      <c r="L207" s="600">
        <f t="shared" si="95"/>
        <v>712</v>
      </c>
      <c r="M207" s="46"/>
      <c r="N207" s="46"/>
      <c r="O207" s="46"/>
      <c r="P207" s="46"/>
      <c r="Q207" s="46"/>
    </row>
    <row r="208" spans="1:17" s="45" customFormat="1">
      <c r="A208" s="600">
        <f t="shared" si="98"/>
        <v>713</v>
      </c>
      <c r="B208" s="45" t="s">
        <v>75</v>
      </c>
      <c r="C208" s="50">
        <f>'1-DRR'!$K$2</f>
        <v>2021</v>
      </c>
      <c r="D208" s="579">
        <f>IF(E208="N/A","N/A",($E$42*'9-WholesaleRevenues'!F25))</f>
        <v>43923.804021057455</v>
      </c>
      <c r="E208" s="579">
        <f>IF('9-WholesaleRevenues'!F59="N/A","N/A",'9-WholesaleRevenues'!F59)</f>
        <v>37639.89</v>
      </c>
      <c r="F208" s="601">
        <f t="shared" si="96"/>
        <v>6283.9140210574551</v>
      </c>
      <c r="G208" s="601">
        <f t="shared" si="99"/>
        <v>218212.76072897165</v>
      </c>
      <c r="H208" s="636">
        <f>$H$84</f>
        <v>3.2500000000000001E-2</v>
      </c>
      <c r="I208" s="18">
        <f>IF(E208="N/A",0,ROUND((F208/2+G207+J205)*H208/12,2))</f>
        <v>585.29</v>
      </c>
      <c r="J208" s="18">
        <f t="shared" si="100"/>
        <v>2687.24</v>
      </c>
      <c r="K208" s="18">
        <f t="shared" si="97"/>
        <v>220900</v>
      </c>
      <c r="L208" s="600">
        <f t="shared" si="95"/>
        <v>713</v>
      </c>
      <c r="M208" s="46"/>
      <c r="N208" s="46"/>
      <c r="O208" s="46"/>
      <c r="P208" s="46"/>
      <c r="Q208" s="46"/>
    </row>
    <row r="209" spans="1:17" s="45" customFormat="1">
      <c r="A209" s="600">
        <f t="shared" si="98"/>
        <v>714</v>
      </c>
      <c r="B209" s="45" t="s">
        <v>76</v>
      </c>
      <c r="C209" s="50">
        <f>C208+1</f>
        <v>2022</v>
      </c>
      <c r="D209" s="110" t="s">
        <v>109</v>
      </c>
      <c r="E209" s="110" t="s">
        <v>109</v>
      </c>
      <c r="F209" s="601">
        <v>0</v>
      </c>
      <c r="G209" s="601">
        <f>F209+G208</f>
        <v>218212.76072897165</v>
      </c>
      <c r="H209" s="636">
        <f>$H$85</f>
        <v>3.2500000000000001E-2</v>
      </c>
      <c r="I209" s="18">
        <f t="shared" ref="I209" si="101">ROUND((F209/2+G208+J208)*H209/12,2)</f>
        <v>598.27</v>
      </c>
      <c r="J209" s="18">
        <f t="shared" si="100"/>
        <v>3285.5099999999998</v>
      </c>
      <c r="K209" s="18">
        <f t="shared" si="97"/>
        <v>221498.27</v>
      </c>
      <c r="L209" s="600">
        <f t="shared" si="95"/>
        <v>714</v>
      </c>
      <c r="M209" s="46"/>
      <c r="N209" s="46"/>
      <c r="O209" s="46"/>
      <c r="P209" s="46"/>
      <c r="Q209" s="46"/>
    </row>
    <row r="210" spans="1:17" s="45" customFormat="1">
      <c r="A210" s="600">
        <f t="shared" si="98"/>
        <v>715</v>
      </c>
      <c r="B210" s="45" t="s">
        <v>77</v>
      </c>
      <c r="C210" s="50">
        <f>C209</f>
        <v>2022</v>
      </c>
      <c r="D210" s="110" t="s">
        <v>109</v>
      </c>
      <c r="E210" s="110" t="s">
        <v>109</v>
      </c>
      <c r="F210" s="601">
        <v>0</v>
      </c>
      <c r="G210" s="601">
        <f t="shared" ref="G210:G220" si="102">F210+G209</f>
        <v>218212.76072897165</v>
      </c>
      <c r="H210" s="636">
        <f>$H$86</f>
        <v>3.2500000000000001E-2</v>
      </c>
      <c r="I210" s="18">
        <f t="shared" ref="I210" si="103">ROUND((F210/2+G209+J208)*H210/12,2)</f>
        <v>598.27</v>
      </c>
      <c r="J210" s="18">
        <f t="shared" si="100"/>
        <v>3883.7799999999997</v>
      </c>
      <c r="K210" s="18">
        <f t="shared" si="97"/>
        <v>222096.54</v>
      </c>
      <c r="L210" s="600">
        <f t="shared" si="95"/>
        <v>715</v>
      </c>
      <c r="M210" s="46"/>
      <c r="N210" s="46"/>
      <c r="O210" s="46"/>
      <c r="P210" s="46"/>
      <c r="Q210" s="46"/>
    </row>
    <row r="211" spans="1:17" s="45" customFormat="1">
      <c r="A211" s="600">
        <f t="shared" si="98"/>
        <v>716</v>
      </c>
      <c r="B211" s="45" t="s">
        <v>78</v>
      </c>
      <c r="C211" s="50">
        <f t="shared" ref="C211:C220" si="104">C210</f>
        <v>2022</v>
      </c>
      <c r="D211" s="110" t="s">
        <v>109</v>
      </c>
      <c r="E211" s="110" t="s">
        <v>109</v>
      </c>
      <c r="F211" s="601">
        <v>0</v>
      </c>
      <c r="G211" s="601">
        <f t="shared" si="102"/>
        <v>218212.76072897165</v>
      </c>
      <c r="H211" s="636">
        <f>$H$87</f>
        <v>3.2500000000000001E-2</v>
      </c>
      <c r="I211" s="18">
        <f t="shared" ref="I211" si="105">ROUND((F211/2+G210+J208)*H211/12,2)</f>
        <v>598.27</v>
      </c>
      <c r="J211" s="18">
        <f t="shared" si="100"/>
        <v>4482.0499999999993</v>
      </c>
      <c r="K211" s="18">
        <f t="shared" si="97"/>
        <v>222694.81</v>
      </c>
      <c r="L211" s="600">
        <f t="shared" si="95"/>
        <v>716</v>
      </c>
      <c r="M211" s="46"/>
      <c r="N211" s="46"/>
      <c r="O211" s="46"/>
      <c r="P211" s="46"/>
      <c r="Q211" s="46"/>
    </row>
    <row r="212" spans="1:17" s="45" customFormat="1">
      <c r="A212" s="600">
        <f t="shared" si="98"/>
        <v>717</v>
      </c>
      <c r="B212" s="45" t="s">
        <v>79</v>
      </c>
      <c r="C212" s="50">
        <f t="shared" si="104"/>
        <v>2022</v>
      </c>
      <c r="D212" s="110" t="s">
        <v>109</v>
      </c>
      <c r="E212" s="110" t="s">
        <v>109</v>
      </c>
      <c r="F212" s="601">
        <v>0</v>
      </c>
      <c r="G212" s="601">
        <f t="shared" si="102"/>
        <v>218212.76072897165</v>
      </c>
      <c r="H212" s="636">
        <f>$H$88</f>
        <v>3.2500000000000001E-2</v>
      </c>
      <c r="I212" s="18">
        <f t="shared" ref="I212" si="106">ROUND((F212/2+G211+J211)*H212/12,2)</f>
        <v>603.13</v>
      </c>
      <c r="J212" s="18">
        <f t="shared" si="100"/>
        <v>5085.1799999999994</v>
      </c>
      <c r="K212" s="18">
        <f t="shared" si="97"/>
        <v>223297.94</v>
      </c>
      <c r="L212" s="600">
        <f t="shared" si="95"/>
        <v>717</v>
      </c>
      <c r="M212" s="46"/>
      <c r="N212" s="46"/>
      <c r="O212" s="46"/>
      <c r="P212" s="46"/>
      <c r="Q212" s="46"/>
    </row>
    <row r="213" spans="1:17" s="45" customFormat="1">
      <c r="A213" s="600">
        <f t="shared" si="98"/>
        <v>718</v>
      </c>
      <c r="B213" s="45" t="s">
        <v>61</v>
      </c>
      <c r="C213" s="50">
        <f t="shared" si="104"/>
        <v>2022</v>
      </c>
      <c r="D213" s="110" t="s">
        <v>109</v>
      </c>
      <c r="E213" s="110" t="s">
        <v>109</v>
      </c>
      <c r="F213" s="601">
        <v>0</v>
      </c>
      <c r="G213" s="601">
        <f t="shared" si="102"/>
        <v>218212.76072897165</v>
      </c>
      <c r="H213" s="636">
        <f>$H$89</f>
        <v>3.2500000000000001E-2</v>
      </c>
      <c r="I213" s="18">
        <f t="shared" ref="I213" si="107">ROUND((F213/2+G212+J211)*H213/12,2)</f>
        <v>603.13</v>
      </c>
      <c r="J213" s="18">
        <f t="shared" si="100"/>
        <v>5688.3099999999995</v>
      </c>
      <c r="K213" s="18">
        <f t="shared" si="97"/>
        <v>223901.07</v>
      </c>
      <c r="L213" s="600">
        <f t="shared" si="95"/>
        <v>718</v>
      </c>
      <c r="M213" s="46"/>
      <c r="N213" s="46"/>
      <c r="O213" s="46"/>
      <c r="P213" s="46"/>
      <c r="Q213" s="46"/>
    </row>
    <row r="214" spans="1:17" s="45" customFormat="1">
      <c r="A214" s="600">
        <f t="shared" si="98"/>
        <v>719</v>
      </c>
      <c r="B214" s="45" t="s">
        <v>80</v>
      </c>
      <c r="C214" s="50">
        <f t="shared" si="104"/>
        <v>2022</v>
      </c>
      <c r="D214" s="110" t="s">
        <v>109</v>
      </c>
      <c r="E214" s="110" t="s">
        <v>109</v>
      </c>
      <c r="F214" s="601">
        <v>0</v>
      </c>
      <c r="G214" s="601">
        <f t="shared" si="102"/>
        <v>218212.76072897165</v>
      </c>
      <c r="H214" s="636">
        <f>$H$90</f>
        <v>3.2500000000000001E-2</v>
      </c>
      <c r="I214" s="18">
        <f t="shared" ref="I214" si="108">ROUND((F214/2+G213+J211)*H214/12,2)</f>
        <v>603.13</v>
      </c>
      <c r="J214" s="18">
        <f t="shared" si="100"/>
        <v>6291.44</v>
      </c>
      <c r="K214" s="18">
        <f t="shared" si="97"/>
        <v>224504.2</v>
      </c>
      <c r="L214" s="600">
        <f t="shared" si="95"/>
        <v>719</v>
      </c>
      <c r="M214" s="46"/>
      <c r="N214" s="46"/>
      <c r="O214" s="46"/>
      <c r="P214" s="46"/>
      <c r="Q214" s="46"/>
    </row>
    <row r="215" spans="1:17" s="45" customFormat="1">
      <c r="A215" s="600">
        <f t="shared" si="98"/>
        <v>720</v>
      </c>
      <c r="B215" s="45" t="s">
        <v>81</v>
      </c>
      <c r="C215" s="50">
        <f t="shared" si="104"/>
        <v>2022</v>
      </c>
      <c r="D215" s="110" t="s">
        <v>109</v>
      </c>
      <c r="E215" s="110" t="s">
        <v>109</v>
      </c>
      <c r="F215" s="601">
        <v>0</v>
      </c>
      <c r="G215" s="601">
        <f t="shared" si="102"/>
        <v>218212.76072897165</v>
      </c>
      <c r="H215" s="636">
        <f>$H$91</f>
        <v>3.5999999999999997E-2</v>
      </c>
      <c r="I215" s="18">
        <f t="shared" ref="I215" si="109">ROUND((F215/2+G214+J214)*H215/12,2)</f>
        <v>673.51</v>
      </c>
      <c r="J215" s="18">
        <f t="shared" si="100"/>
        <v>6964.95</v>
      </c>
      <c r="K215" s="18">
        <f t="shared" si="97"/>
        <v>225177.71</v>
      </c>
      <c r="L215" s="600">
        <f t="shared" si="95"/>
        <v>720</v>
      </c>
      <c r="M215" s="46"/>
      <c r="N215" s="46"/>
      <c r="O215" s="46"/>
      <c r="P215" s="46"/>
      <c r="Q215" s="46"/>
    </row>
    <row r="216" spans="1:17" s="45" customFormat="1">
      <c r="A216" s="600">
        <f t="shared" si="98"/>
        <v>721</v>
      </c>
      <c r="B216" s="45" t="s">
        <v>82</v>
      </c>
      <c r="C216" s="50">
        <f t="shared" si="104"/>
        <v>2022</v>
      </c>
      <c r="D216" s="110" t="s">
        <v>109</v>
      </c>
      <c r="E216" s="110" t="s">
        <v>109</v>
      </c>
      <c r="F216" s="601">
        <v>0</v>
      </c>
      <c r="G216" s="601">
        <f t="shared" si="102"/>
        <v>218212.76072897165</v>
      </c>
      <c r="H216" s="636">
        <f>$H$92</f>
        <v>3.5999999999999997E-2</v>
      </c>
      <c r="I216" s="18">
        <f t="shared" ref="I216" si="110">ROUND((F216/2+G215+J214)*H216/12,2)</f>
        <v>673.51</v>
      </c>
      <c r="J216" s="18">
        <f t="shared" si="100"/>
        <v>7638.46</v>
      </c>
      <c r="K216" s="18">
        <f t="shared" si="97"/>
        <v>225851.22</v>
      </c>
      <c r="L216" s="600">
        <f t="shared" si="95"/>
        <v>721</v>
      </c>
      <c r="M216" s="46"/>
      <c r="N216" s="46"/>
      <c r="O216" s="46"/>
      <c r="P216" s="46"/>
      <c r="Q216" s="46"/>
    </row>
    <row r="217" spans="1:17" s="45" customFormat="1">
      <c r="A217" s="600">
        <f t="shared" si="98"/>
        <v>722</v>
      </c>
      <c r="B217" s="45" t="s">
        <v>83</v>
      </c>
      <c r="C217" s="50">
        <f t="shared" si="104"/>
        <v>2022</v>
      </c>
      <c r="D217" s="110" t="s">
        <v>109</v>
      </c>
      <c r="E217" s="110" t="s">
        <v>109</v>
      </c>
      <c r="F217" s="601">
        <v>0</v>
      </c>
      <c r="G217" s="601">
        <f t="shared" si="102"/>
        <v>218212.76072897165</v>
      </c>
      <c r="H217" s="636">
        <f>$H$93</f>
        <v>3.5999999999999997E-2</v>
      </c>
      <c r="I217" s="18">
        <f t="shared" ref="I217" si="111">ROUND((F217/2+G216+J214)*H217/12,2)</f>
        <v>673.51</v>
      </c>
      <c r="J217" s="18">
        <f t="shared" si="100"/>
        <v>8311.9699999999993</v>
      </c>
      <c r="K217" s="18">
        <f t="shared" si="97"/>
        <v>226524.73</v>
      </c>
      <c r="L217" s="600">
        <f t="shared" si="95"/>
        <v>722</v>
      </c>
      <c r="M217" s="46"/>
      <c r="N217" s="46"/>
      <c r="O217" s="46"/>
      <c r="P217" s="46"/>
      <c r="Q217" s="46"/>
    </row>
    <row r="218" spans="1:17" s="45" customFormat="1">
      <c r="A218" s="600">
        <f t="shared" si="98"/>
        <v>723</v>
      </c>
      <c r="B218" s="45" t="s">
        <v>84</v>
      </c>
      <c r="C218" s="50">
        <f t="shared" si="104"/>
        <v>2022</v>
      </c>
      <c r="D218" s="110" t="s">
        <v>109</v>
      </c>
      <c r="E218" s="110" t="s">
        <v>109</v>
      </c>
      <c r="F218" s="601">
        <v>0</v>
      </c>
      <c r="G218" s="601">
        <f t="shared" si="102"/>
        <v>218212.76072897165</v>
      </c>
      <c r="H218" s="636">
        <f>$H$94</f>
        <v>4.9099999999999998E-2</v>
      </c>
      <c r="I218" s="18">
        <f t="shared" ref="I218" si="112">ROUND((F218/2+G217+J217)*H218/12,2)</f>
        <v>926.86</v>
      </c>
      <c r="J218" s="18">
        <f t="shared" si="100"/>
        <v>9238.83</v>
      </c>
      <c r="K218" s="18">
        <f t="shared" si="97"/>
        <v>227451.59</v>
      </c>
      <c r="L218" s="600">
        <f t="shared" si="95"/>
        <v>723</v>
      </c>
      <c r="M218" s="46"/>
      <c r="N218" s="46"/>
      <c r="O218" s="46"/>
      <c r="P218" s="46"/>
      <c r="Q218" s="46"/>
    </row>
    <row r="219" spans="1:17" s="45" customFormat="1">
      <c r="A219" s="600">
        <f t="shared" si="98"/>
        <v>724</v>
      </c>
      <c r="B219" s="45" t="s">
        <v>85</v>
      </c>
      <c r="C219" s="50">
        <f t="shared" si="104"/>
        <v>2022</v>
      </c>
      <c r="D219" s="110" t="s">
        <v>109</v>
      </c>
      <c r="E219" s="110" t="s">
        <v>109</v>
      </c>
      <c r="F219" s="601">
        <v>0</v>
      </c>
      <c r="G219" s="601">
        <f t="shared" si="102"/>
        <v>218212.76072897165</v>
      </c>
      <c r="H219" s="636">
        <f>$H$95</f>
        <v>4.9099999999999998E-2</v>
      </c>
      <c r="I219" s="18">
        <f t="shared" ref="I219" si="113">ROUND((F219/2+G218+J217)*H219/12,2)</f>
        <v>926.86</v>
      </c>
      <c r="J219" s="18">
        <f t="shared" si="100"/>
        <v>10165.69</v>
      </c>
      <c r="K219" s="18">
        <f t="shared" si="97"/>
        <v>228378.45</v>
      </c>
      <c r="L219" s="600">
        <f t="shared" si="95"/>
        <v>724</v>
      </c>
      <c r="M219" s="46"/>
      <c r="N219" s="46"/>
      <c r="O219" s="46"/>
      <c r="P219" s="46"/>
      <c r="Q219" s="46"/>
    </row>
    <row r="220" spans="1:17" s="45" customFormat="1">
      <c r="A220" s="600">
        <f t="shared" si="98"/>
        <v>725</v>
      </c>
      <c r="B220" s="45" t="s">
        <v>75</v>
      </c>
      <c r="C220" s="50">
        <f t="shared" si="104"/>
        <v>2022</v>
      </c>
      <c r="D220" s="110" t="s">
        <v>109</v>
      </c>
      <c r="E220" s="110" t="s">
        <v>109</v>
      </c>
      <c r="F220" s="601">
        <v>0</v>
      </c>
      <c r="G220" s="601">
        <f t="shared" si="102"/>
        <v>218212.76072897165</v>
      </c>
      <c r="H220" s="636">
        <f>$H$96</f>
        <v>4.9099999999999998E-2</v>
      </c>
      <c r="I220" s="18">
        <f t="shared" ref="I220" si="114">ROUND((F220/2+G219+J217)*H220/12,2)</f>
        <v>926.86</v>
      </c>
      <c r="J220" s="18">
        <f t="shared" si="100"/>
        <v>11092.550000000001</v>
      </c>
      <c r="K220" s="18">
        <f t="shared" si="97"/>
        <v>229305.31</v>
      </c>
      <c r="L220" s="600">
        <f t="shared" si="95"/>
        <v>725</v>
      </c>
      <c r="M220" s="46"/>
      <c r="N220" s="46"/>
      <c r="O220" s="46"/>
      <c r="P220" s="46"/>
      <c r="Q220" s="46"/>
    </row>
    <row r="221" spans="1:17">
      <c r="A221" s="3"/>
      <c r="B221" s="2"/>
    </row>
    <row r="222" spans="1:17" s="45" customFormat="1">
      <c r="A222" s="3" t="s">
        <v>86</v>
      </c>
      <c r="B222" s="613" t="s">
        <v>882</v>
      </c>
      <c r="C222" s="614" t="s">
        <v>62</v>
      </c>
      <c r="D222" s="614" t="s">
        <v>63</v>
      </c>
      <c r="E222" s="614" t="s">
        <v>64</v>
      </c>
      <c r="F222" s="615" t="s">
        <v>65</v>
      </c>
      <c r="G222" s="614" t="s">
        <v>66</v>
      </c>
      <c r="H222" s="614" t="s">
        <v>67</v>
      </c>
      <c r="I222" s="614" t="s">
        <v>68</v>
      </c>
      <c r="J222" s="614" t="s">
        <v>69</v>
      </c>
      <c r="K222" s="616" t="s">
        <v>70</v>
      </c>
      <c r="L222" s="3" t="str">
        <f t="shared" ref="L222:L223" si="115">A222</f>
        <v>Line</v>
      </c>
      <c r="M222" s="46"/>
      <c r="N222" s="46"/>
      <c r="O222" s="46"/>
      <c r="P222" s="46"/>
      <c r="Q222" s="46"/>
    </row>
    <row r="223" spans="1:17" s="45" customFormat="1">
      <c r="A223" s="600">
        <f>A191+100</f>
        <v>800</v>
      </c>
      <c r="B223" s="617" t="s">
        <v>1549</v>
      </c>
      <c r="C223" s="545"/>
      <c r="D223" s="618" t="s">
        <v>87</v>
      </c>
      <c r="E223" s="618" t="s">
        <v>88</v>
      </c>
      <c r="F223" s="619" t="str">
        <f>""&amp;D222&amp;" - "&amp;E222&amp;""</f>
        <v>Col 2 - Col 3</v>
      </c>
      <c r="G223" s="619" t="s">
        <v>112</v>
      </c>
      <c r="H223" s="619" t="s">
        <v>127</v>
      </c>
      <c r="I223" s="619" t="s">
        <v>128</v>
      </c>
      <c r="J223" s="619" t="s">
        <v>113</v>
      </c>
      <c r="K223" s="620" t="str">
        <f>""&amp;G222&amp;" + "&amp;J222&amp;""</f>
        <v>Col 5 + Col 8</v>
      </c>
      <c r="L223" s="600">
        <f t="shared" si="115"/>
        <v>800</v>
      </c>
      <c r="M223" s="46"/>
      <c r="N223" s="46"/>
      <c r="O223" s="46"/>
      <c r="P223" s="46"/>
      <c r="Q223" s="46"/>
    </row>
    <row r="224" spans="1:17" s="45" customFormat="1">
      <c r="A224" s="600"/>
      <c r="B224" s="621"/>
      <c r="C224" s="545"/>
      <c r="D224" s="545"/>
      <c r="E224" s="545"/>
      <c r="F224" s="176"/>
      <c r="G224" s="545" t="s">
        <v>135</v>
      </c>
      <c r="H224" s="545"/>
      <c r="I224" s="545"/>
      <c r="J224" s="545"/>
      <c r="K224" s="622" t="s">
        <v>135</v>
      </c>
      <c r="L224" s="46"/>
      <c r="M224" s="46"/>
      <c r="N224" s="46"/>
      <c r="O224" s="46"/>
      <c r="P224" s="46"/>
      <c r="Q224" s="46"/>
    </row>
    <row r="225" spans="1:17" s="45" customFormat="1">
      <c r="B225" s="621"/>
      <c r="C225" s="545"/>
      <c r="D225" s="176" t="s">
        <v>926</v>
      </c>
      <c r="E225" s="176" t="s">
        <v>926</v>
      </c>
      <c r="F225" s="176"/>
      <c r="G225" s="545" t="s">
        <v>766</v>
      </c>
      <c r="H225" s="545"/>
      <c r="I225" s="545"/>
      <c r="J225" s="545"/>
      <c r="K225" s="622" t="s">
        <v>766</v>
      </c>
      <c r="L225" s="46"/>
      <c r="M225" s="46"/>
      <c r="N225" s="46"/>
      <c r="O225" s="46"/>
      <c r="P225" s="46"/>
      <c r="Q225" s="46"/>
    </row>
    <row r="226" spans="1:17" s="45" customFormat="1">
      <c r="A226" s="600"/>
      <c r="B226" s="617"/>
      <c r="C226" s="545"/>
      <c r="D226" s="545" t="s">
        <v>71</v>
      </c>
      <c r="E226" s="545" t="s">
        <v>92</v>
      </c>
      <c r="F226" s="545" t="s">
        <v>124</v>
      </c>
      <c r="G226" s="545" t="s">
        <v>767</v>
      </c>
      <c r="H226" s="545" t="s">
        <v>185</v>
      </c>
      <c r="I226" s="545" t="s">
        <v>71</v>
      </c>
      <c r="J226" s="545" t="s">
        <v>132</v>
      </c>
      <c r="K226" s="622" t="s">
        <v>1061</v>
      </c>
      <c r="L226" s="46"/>
      <c r="M226" s="46"/>
      <c r="N226" s="46"/>
      <c r="O226" s="46"/>
      <c r="P226" s="46"/>
      <c r="Q226" s="46"/>
    </row>
    <row r="227" spans="1:17" s="45" customFormat="1">
      <c r="A227" s="600"/>
      <c r="B227" s="623" t="s">
        <v>58</v>
      </c>
      <c r="C227" s="624" t="s">
        <v>73</v>
      </c>
      <c r="D227" s="624" t="s">
        <v>1062</v>
      </c>
      <c r="E227" s="624" t="s">
        <v>121</v>
      </c>
      <c r="F227" s="624" t="s">
        <v>136</v>
      </c>
      <c r="G227" s="624" t="s">
        <v>123</v>
      </c>
      <c r="H227" s="624" t="s">
        <v>111</v>
      </c>
      <c r="I227" s="624" t="s">
        <v>72</v>
      </c>
      <c r="J227" s="624" t="s">
        <v>72</v>
      </c>
      <c r="K227" s="625" t="s">
        <v>74</v>
      </c>
      <c r="L227" s="46"/>
      <c r="M227" s="46"/>
      <c r="N227" s="46"/>
      <c r="O227" s="46"/>
      <c r="P227" s="46"/>
      <c r="Q227" s="46"/>
    </row>
    <row r="228" spans="1:17" s="45" customFormat="1">
      <c r="A228" s="600">
        <f>A223+1</f>
        <v>801</v>
      </c>
      <c r="B228" s="45" t="s">
        <v>75</v>
      </c>
      <c r="C228" s="50">
        <f>C229-1</f>
        <v>2020</v>
      </c>
      <c r="D228" s="110" t="s">
        <v>109</v>
      </c>
      <c r="E228" s="110" t="s">
        <v>109</v>
      </c>
      <c r="F228" s="47" t="s">
        <v>109</v>
      </c>
      <c r="G228" s="59">
        <v>0</v>
      </c>
      <c r="H228" s="47" t="s">
        <v>109</v>
      </c>
      <c r="I228" s="47" t="s">
        <v>109</v>
      </c>
      <c r="J228" s="59">
        <v>0</v>
      </c>
      <c r="K228" s="18">
        <f>ROUND((G228+J228),2)</f>
        <v>0</v>
      </c>
      <c r="L228" s="600">
        <f t="shared" ref="L228:L252" si="116">A228</f>
        <v>801</v>
      </c>
      <c r="M228" s="46"/>
      <c r="N228" s="46"/>
      <c r="O228" s="46"/>
      <c r="P228" s="46"/>
      <c r="Q228" s="46"/>
    </row>
    <row r="229" spans="1:17" s="45" customFormat="1">
      <c r="A229" s="600">
        <f>A228+1</f>
        <v>802</v>
      </c>
      <c r="B229" s="45" t="s">
        <v>76</v>
      </c>
      <c r="C229" s="50">
        <f>'1-DRR'!$K$2</f>
        <v>2021</v>
      </c>
      <c r="D229" s="579" t="str">
        <f>IF(E229="N/A","N/A",($F$42*'9-WholesaleRevenues'!G14))</f>
        <v>N/A</v>
      </c>
      <c r="E229" s="579" t="str">
        <f>IF('9-WholesaleRevenues'!G48="N/A","N/A",'9-WholesaleRevenues'!G48)</f>
        <v>N/A</v>
      </c>
      <c r="F229" s="601">
        <f t="shared" ref="F229:F240" si="117">IF(E229="N/A",0,D229-E229)</f>
        <v>0</v>
      </c>
      <c r="G229" s="601">
        <f>F229+G228</f>
        <v>0</v>
      </c>
      <c r="H229" s="636">
        <f>$H$73</f>
        <v>3.2500000000000001E-2</v>
      </c>
      <c r="I229" s="18">
        <f>IF(E229="N/A",0,ROUND((F229/2+G228+J228)*H229/12,2))</f>
        <v>0</v>
      </c>
      <c r="J229" s="18">
        <f>I229+J228</f>
        <v>0</v>
      </c>
      <c r="K229" s="18">
        <f t="shared" ref="K229:K252" si="118">ROUND((G229+J229),2)</f>
        <v>0</v>
      </c>
      <c r="L229" s="600">
        <f t="shared" si="116"/>
        <v>802</v>
      </c>
      <c r="M229" s="46"/>
      <c r="N229" s="46"/>
      <c r="O229" s="46"/>
      <c r="P229" s="46"/>
      <c r="Q229" s="46"/>
    </row>
    <row r="230" spans="1:17" s="45" customFormat="1">
      <c r="A230" s="600">
        <f t="shared" ref="A230:A252" si="119">A229+1</f>
        <v>803</v>
      </c>
      <c r="B230" s="45" t="s">
        <v>77</v>
      </c>
      <c r="C230" s="50">
        <f>'1-DRR'!$K$2</f>
        <v>2021</v>
      </c>
      <c r="D230" s="579" t="str">
        <f>IF(E230="N/A","N/A",($F$42*'9-WholesaleRevenues'!G15))</f>
        <v>N/A</v>
      </c>
      <c r="E230" s="579" t="str">
        <f>IF('9-WholesaleRevenues'!G49="N/A","N/A",'9-WholesaleRevenues'!G49)</f>
        <v>N/A</v>
      </c>
      <c r="F230" s="601">
        <f t="shared" si="117"/>
        <v>0</v>
      </c>
      <c r="G230" s="601">
        <f t="shared" ref="G230:G240" si="120">F230+G229</f>
        <v>0</v>
      </c>
      <c r="H230" s="636">
        <f>$H$74</f>
        <v>3.2500000000000001E-2</v>
      </c>
      <c r="I230" s="18">
        <f>IF(E230="N/A",0,ROUND((F230/2+G229+J228)*H230/12,2))</f>
        <v>0</v>
      </c>
      <c r="J230" s="18">
        <f>I230+J229</f>
        <v>0</v>
      </c>
      <c r="K230" s="18">
        <f t="shared" si="118"/>
        <v>0</v>
      </c>
      <c r="L230" s="600">
        <f t="shared" si="116"/>
        <v>803</v>
      </c>
      <c r="M230" s="46"/>
      <c r="N230" s="46"/>
      <c r="O230" s="46"/>
      <c r="P230" s="46"/>
      <c r="Q230" s="46"/>
    </row>
    <row r="231" spans="1:17" s="45" customFormat="1">
      <c r="A231" s="600">
        <f t="shared" si="119"/>
        <v>804</v>
      </c>
      <c r="B231" s="45" t="s">
        <v>78</v>
      </c>
      <c r="C231" s="50">
        <f>'1-DRR'!$K$2</f>
        <v>2021</v>
      </c>
      <c r="D231" s="579" t="str">
        <f>IF(E231="N/A","N/A",($F$42*'9-WholesaleRevenues'!G16))</f>
        <v>N/A</v>
      </c>
      <c r="E231" s="579" t="str">
        <f>IF('9-WholesaleRevenues'!G50="N/A","N/A",'9-WholesaleRevenues'!G50)</f>
        <v>N/A</v>
      </c>
      <c r="F231" s="601">
        <f t="shared" si="117"/>
        <v>0</v>
      </c>
      <c r="G231" s="601">
        <f t="shared" si="120"/>
        <v>0</v>
      </c>
      <c r="H231" s="636">
        <f>$H$75</f>
        <v>3.2500000000000001E-2</v>
      </c>
      <c r="I231" s="18">
        <f>IF(E231="N/A",0,ROUND((F231/2+G230+J228)*H231/12,2))</f>
        <v>0</v>
      </c>
      <c r="J231" s="18">
        <f>I231+J230</f>
        <v>0</v>
      </c>
      <c r="K231" s="18">
        <f t="shared" si="118"/>
        <v>0</v>
      </c>
      <c r="L231" s="600">
        <f t="shared" si="116"/>
        <v>804</v>
      </c>
      <c r="M231" s="46"/>
      <c r="N231" s="46"/>
      <c r="O231" s="46"/>
      <c r="P231" s="46"/>
      <c r="Q231" s="46"/>
    </row>
    <row r="232" spans="1:17" s="45" customFormat="1">
      <c r="A232" s="600">
        <f t="shared" si="119"/>
        <v>805</v>
      </c>
      <c r="B232" s="45" t="s">
        <v>79</v>
      </c>
      <c r="C232" s="50">
        <f>'1-DRR'!$K$2</f>
        <v>2021</v>
      </c>
      <c r="D232" s="579" t="str">
        <f>IF(E232="N/A","N/A",($F$42*'9-WholesaleRevenues'!G17))</f>
        <v>N/A</v>
      </c>
      <c r="E232" s="579" t="str">
        <f>IF('9-WholesaleRevenues'!G51="N/A","N/A",'9-WholesaleRevenues'!G51)</f>
        <v>N/A</v>
      </c>
      <c r="F232" s="601">
        <f t="shared" si="117"/>
        <v>0</v>
      </c>
      <c r="G232" s="601">
        <f t="shared" si="120"/>
        <v>0</v>
      </c>
      <c r="H232" s="636">
        <f>$H$76</f>
        <v>3.2500000000000001E-2</v>
      </c>
      <c r="I232" s="18">
        <f>IF(E232="N/A",0,ROUND((F232/2+G231+J231)*H232/12,2))</f>
        <v>0</v>
      </c>
      <c r="J232" s="18">
        <f t="shared" ref="J232:J252" si="121">I232+J231</f>
        <v>0</v>
      </c>
      <c r="K232" s="18">
        <f t="shared" si="118"/>
        <v>0</v>
      </c>
      <c r="L232" s="600">
        <f t="shared" si="116"/>
        <v>805</v>
      </c>
      <c r="M232" s="46"/>
      <c r="N232" s="46"/>
      <c r="O232" s="46"/>
      <c r="P232" s="46"/>
      <c r="Q232" s="46"/>
    </row>
    <row r="233" spans="1:17" s="45" customFormat="1">
      <c r="A233" s="600">
        <f t="shared" si="119"/>
        <v>806</v>
      </c>
      <c r="B233" s="45" t="s">
        <v>61</v>
      </c>
      <c r="C233" s="50">
        <f>'1-DRR'!$K$2</f>
        <v>2021</v>
      </c>
      <c r="D233" s="579" t="str">
        <f>IF(E233="N/A","N/A",($F$42*'9-WholesaleRevenues'!G18))</f>
        <v>N/A</v>
      </c>
      <c r="E233" s="579" t="str">
        <f>IF('9-WholesaleRevenues'!G52="N/A","N/A",'9-WholesaleRevenues'!G52)</f>
        <v>N/A</v>
      </c>
      <c r="F233" s="601">
        <f t="shared" si="117"/>
        <v>0</v>
      </c>
      <c r="G233" s="601">
        <f t="shared" si="120"/>
        <v>0</v>
      </c>
      <c r="H233" s="636">
        <f>$H$77</f>
        <v>3.2500000000000001E-2</v>
      </c>
      <c r="I233" s="18">
        <f>IF(E233="N/A",0,ROUND((F233/2+G232+J231)*H233/12,2))</f>
        <v>0</v>
      </c>
      <c r="J233" s="18">
        <f t="shared" si="121"/>
        <v>0</v>
      </c>
      <c r="K233" s="18">
        <f t="shared" si="118"/>
        <v>0</v>
      </c>
      <c r="L233" s="600">
        <f t="shared" si="116"/>
        <v>806</v>
      </c>
      <c r="M233" s="46"/>
      <c r="N233" s="46"/>
      <c r="O233" s="46"/>
      <c r="P233" s="46"/>
      <c r="Q233" s="46"/>
    </row>
    <row r="234" spans="1:17" s="45" customFormat="1">
      <c r="A234" s="600">
        <f t="shared" si="119"/>
        <v>807</v>
      </c>
      <c r="B234" s="45" t="s">
        <v>80</v>
      </c>
      <c r="C234" s="50">
        <f>'1-DRR'!$K$2</f>
        <v>2021</v>
      </c>
      <c r="D234" s="579">
        <f>IF(E234="N/A","N/A",($F$42*'9-WholesaleRevenues'!G19))</f>
        <v>12704.381763831019</v>
      </c>
      <c r="E234" s="579">
        <f>IF('9-WholesaleRevenues'!G53="N/A","N/A",'9-WholesaleRevenues'!G53)</f>
        <v>8060.8000000000011</v>
      </c>
      <c r="F234" s="601">
        <f t="shared" si="117"/>
        <v>4643.5817638310182</v>
      </c>
      <c r="G234" s="601">
        <f t="shared" si="120"/>
        <v>4643.5817638310182</v>
      </c>
      <c r="H234" s="636">
        <f>$H$78</f>
        <v>3.2500000000000001E-2</v>
      </c>
      <c r="I234" s="18">
        <f>IF(E234="N/A",0,ROUND((F234/2+G233+J231)*H234/12,2))</f>
        <v>6.29</v>
      </c>
      <c r="J234" s="18">
        <f t="shared" si="121"/>
        <v>6.29</v>
      </c>
      <c r="K234" s="18">
        <f t="shared" si="118"/>
        <v>4649.87</v>
      </c>
      <c r="L234" s="600">
        <f t="shared" si="116"/>
        <v>807</v>
      </c>
      <c r="M234" s="46"/>
      <c r="N234" s="46"/>
      <c r="O234" s="46"/>
      <c r="P234" s="46"/>
      <c r="Q234" s="46"/>
    </row>
    <row r="235" spans="1:17" s="45" customFormat="1">
      <c r="A235" s="600">
        <f t="shared" si="119"/>
        <v>808</v>
      </c>
      <c r="B235" s="45" t="s">
        <v>81</v>
      </c>
      <c r="C235" s="50">
        <f>'1-DRR'!$K$2</f>
        <v>2021</v>
      </c>
      <c r="D235" s="579">
        <f>IF(E235="N/A","N/A",($F$42*'9-WholesaleRevenues'!G20))</f>
        <v>13499.561408437619</v>
      </c>
      <c r="E235" s="579">
        <f>IF('9-WholesaleRevenues'!G54="N/A","N/A",'9-WholesaleRevenues'!G54)</f>
        <v>8060.8000000000011</v>
      </c>
      <c r="F235" s="601">
        <f t="shared" si="117"/>
        <v>5438.7614084376182</v>
      </c>
      <c r="G235" s="601">
        <f t="shared" si="120"/>
        <v>10082.343172268636</v>
      </c>
      <c r="H235" s="636">
        <f>$H$79</f>
        <v>3.2500000000000001E-2</v>
      </c>
      <c r="I235" s="18">
        <f>IF(E235="N/A",0,ROUND((F235/2+G234+J234)*H235/12,2))</f>
        <v>19.96</v>
      </c>
      <c r="J235" s="18">
        <f t="shared" si="121"/>
        <v>26.25</v>
      </c>
      <c r="K235" s="18">
        <f t="shared" si="118"/>
        <v>10108.59</v>
      </c>
      <c r="L235" s="600">
        <f t="shared" si="116"/>
        <v>808</v>
      </c>
      <c r="M235" s="46"/>
      <c r="N235" s="46"/>
      <c r="O235" s="46"/>
      <c r="P235" s="46"/>
      <c r="Q235" s="46"/>
    </row>
    <row r="236" spans="1:17" s="45" customFormat="1">
      <c r="A236" s="600">
        <f t="shared" si="119"/>
        <v>809</v>
      </c>
      <c r="B236" s="45" t="s">
        <v>82</v>
      </c>
      <c r="C236" s="50">
        <f>'1-DRR'!$K$2</f>
        <v>2021</v>
      </c>
      <c r="D236" s="579">
        <f>IF(E236="N/A","N/A",($F$42*'9-WholesaleRevenues'!G21))</f>
        <v>12500.963715210726</v>
      </c>
      <c r="E236" s="579">
        <f>IF('9-WholesaleRevenues'!G55="N/A","N/A",'9-WholesaleRevenues'!G55)</f>
        <v>8060.8000000000011</v>
      </c>
      <c r="F236" s="601">
        <f t="shared" si="117"/>
        <v>4440.1637152107251</v>
      </c>
      <c r="G236" s="601">
        <f t="shared" si="120"/>
        <v>14522.506887479361</v>
      </c>
      <c r="H236" s="636">
        <f>$H$80</f>
        <v>3.2500000000000001E-2</v>
      </c>
      <c r="I236" s="18">
        <f>IF(E236="N/A",0,ROUND((F236/2+G235+J234)*H236/12,2))</f>
        <v>33.340000000000003</v>
      </c>
      <c r="J236" s="18">
        <f t="shared" si="121"/>
        <v>59.59</v>
      </c>
      <c r="K236" s="18">
        <f t="shared" si="118"/>
        <v>14582.1</v>
      </c>
      <c r="L236" s="600">
        <f t="shared" si="116"/>
        <v>809</v>
      </c>
      <c r="M236" s="46"/>
      <c r="N236" s="46"/>
      <c r="O236" s="46"/>
      <c r="P236" s="46"/>
      <c r="Q236" s="46"/>
    </row>
    <row r="237" spans="1:17" s="45" customFormat="1">
      <c r="A237" s="600">
        <f t="shared" si="119"/>
        <v>810</v>
      </c>
      <c r="B237" s="45" t="s">
        <v>83</v>
      </c>
      <c r="C237" s="50">
        <f>'1-DRR'!$K$2</f>
        <v>2021</v>
      </c>
      <c r="D237" s="579">
        <f>IF(E237="N/A","N/A",($F$42*'9-WholesaleRevenues'!G22))</f>
        <v>12981.7700119496</v>
      </c>
      <c r="E237" s="579">
        <f>IF('9-WholesaleRevenues'!G56="N/A","N/A",'9-WholesaleRevenues'!G56)</f>
        <v>8060.8000000000011</v>
      </c>
      <c r="F237" s="601">
        <f t="shared" si="117"/>
        <v>4920.9700119495992</v>
      </c>
      <c r="G237" s="601">
        <f t="shared" si="120"/>
        <v>19443.476899428962</v>
      </c>
      <c r="H237" s="636">
        <f>$H$81</f>
        <v>3.2500000000000001E-2</v>
      </c>
      <c r="I237" s="18">
        <f>IF(E237="N/A",0,ROUND((F237/2+G236+J234)*H237/12,2))</f>
        <v>46.01</v>
      </c>
      <c r="J237" s="18">
        <f t="shared" si="121"/>
        <v>105.6</v>
      </c>
      <c r="K237" s="18">
        <f t="shared" si="118"/>
        <v>19549.080000000002</v>
      </c>
      <c r="L237" s="600">
        <f t="shared" si="116"/>
        <v>810</v>
      </c>
      <c r="M237" s="46"/>
      <c r="N237" s="46"/>
      <c r="O237" s="46"/>
      <c r="P237" s="46"/>
      <c r="Q237" s="46"/>
    </row>
    <row r="238" spans="1:17" s="45" customFormat="1">
      <c r="A238" s="600">
        <f t="shared" si="119"/>
        <v>811</v>
      </c>
      <c r="B238" s="45" t="s">
        <v>84</v>
      </c>
      <c r="C238" s="50">
        <f>'1-DRR'!$K$2</f>
        <v>2021</v>
      </c>
      <c r="D238" s="579">
        <f>IF(E238="N/A","N/A",($F$42*'9-WholesaleRevenues'!G23))</f>
        <v>12482.471165336154</v>
      </c>
      <c r="E238" s="579">
        <f>IF('9-WholesaleRevenues'!G57="N/A","N/A",'9-WholesaleRevenues'!G57)</f>
        <v>8060.8000000000011</v>
      </c>
      <c r="F238" s="601">
        <f t="shared" si="117"/>
        <v>4421.6711653361526</v>
      </c>
      <c r="G238" s="601">
        <f t="shared" si="120"/>
        <v>23865.148064765115</v>
      </c>
      <c r="H238" s="636">
        <f>$H$82</f>
        <v>3.2500000000000001E-2</v>
      </c>
      <c r="I238" s="18">
        <f>IF(E238="N/A",0,ROUND((F238/2+G237+J237)*H238/12,2))</f>
        <v>58.93</v>
      </c>
      <c r="J238" s="18">
        <f t="shared" si="121"/>
        <v>164.53</v>
      </c>
      <c r="K238" s="18">
        <f t="shared" si="118"/>
        <v>24029.68</v>
      </c>
      <c r="L238" s="600">
        <f t="shared" si="116"/>
        <v>811</v>
      </c>
      <c r="M238" s="46"/>
      <c r="N238" s="46"/>
      <c r="O238" s="46"/>
      <c r="P238" s="46"/>
      <c r="Q238" s="46"/>
    </row>
    <row r="239" spans="1:17" s="45" customFormat="1">
      <c r="A239" s="600">
        <f t="shared" si="119"/>
        <v>812</v>
      </c>
      <c r="B239" s="45" t="s">
        <v>85</v>
      </c>
      <c r="C239" s="50">
        <f>'1-DRR'!$K$2</f>
        <v>2021</v>
      </c>
      <c r="D239" s="579">
        <f>IF(E239="N/A","N/A",($F$42*'9-WholesaleRevenues'!G24))</f>
        <v>14165.293203922214</v>
      </c>
      <c r="E239" s="579">
        <f>IF('9-WholesaleRevenues'!G58="N/A","N/A",'9-WholesaleRevenues'!G58)</f>
        <v>8060.8000000000011</v>
      </c>
      <c r="F239" s="601">
        <f t="shared" si="117"/>
        <v>6104.4932039222131</v>
      </c>
      <c r="G239" s="601">
        <f t="shared" si="120"/>
        <v>29969.64126868733</v>
      </c>
      <c r="H239" s="636">
        <f>$H$83</f>
        <v>3.2500000000000001E-2</v>
      </c>
      <c r="I239" s="18">
        <f>IF(E239="N/A",0,ROUND((F239/2+G238+J237)*H239/12,2))</f>
        <v>73.19</v>
      </c>
      <c r="J239" s="18">
        <f t="shared" si="121"/>
        <v>237.72</v>
      </c>
      <c r="K239" s="18">
        <f t="shared" si="118"/>
        <v>30207.360000000001</v>
      </c>
      <c r="L239" s="600">
        <f t="shared" si="116"/>
        <v>812</v>
      </c>
      <c r="M239" s="46"/>
      <c r="N239" s="46"/>
      <c r="O239" s="46"/>
      <c r="P239" s="46"/>
      <c r="Q239" s="46"/>
    </row>
    <row r="240" spans="1:17" s="45" customFormat="1">
      <c r="A240" s="600">
        <f t="shared" si="119"/>
        <v>813</v>
      </c>
      <c r="B240" s="45" t="s">
        <v>75</v>
      </c>
      <c r="C240" s="50">
        <f>'1-DRR'!$K$2</f>
        <v>2021</v>
      </c>
      <c r="D240" s="579">
        <f>IF(E240="N/A","N/A",($F$42*'9-WholesaleRevenues'!G25))</f>
        <v>14997.457948277957</v>
      </c>
      <c r="E240" s="579">
        <f>IF('9-WholesaleRevenues'!G59="N/A","N/A",'9-WholesaleRevenues'!G59)</f>
        <v>8060.8000000000011</v>
      </c>
      <c r="F240" s="601">
        <f t="shared" si="117"/>
        <v>6936.6579482779562</v>
      </c>
      <c r="G240" s="601">
        <f t="shared" si="120"/>
        <v>36906.299216965286</v>
      </c>
      <c r="H240" s="636">
        <f>$H$84</f>
        <v>3.2500000000000001E-2</v>
      </c>
      <c r="I240" s="18">
        <f>IF(E240="N/A",0,ROUND((F240/2+G239+J237)*H240/12,2))</f>
        <v>90.85</v>
      </c>
      <c r="J240" s="18">
        <f t="shared" si="121"/>
        <v>328.57</v>
      </c>
      <c r="K240" s="18">
        <f t="shared" si="118"/>
        <v>37234.870000000003</v>
      </c>
      <c r="L240" s="600">
        <f t="shared" si="116"/>
        <v>813</v>
      </c>
      <c r="M240" s="46"/>
      <c r="N240" s="46"/>
      <c r="O240" s="46"/>
      <c r="P240" s="46"/>
      <c r="Q240" s="46"/>
    </row>
    <row r="241" spans="1:17" s="45" customFormat="1">
      <c r="A241" s="600">
        <f t="shared" si="119"/>
        <v>814</v>
      </c>
      <c r="B241" s="45" t="s">
        <v>76</v>
      </c>
      <c r="C241" s="50">
        <f>C240+1</f>
        <v>2022</v>
      </c>
      <c r="D241" s="110" t="s">
        <v>109</v>
      </c>
      <c r="E241" s="110" t="s">
        <v>109</v>
      </c>
      <c r="F241" s="601">
        <v>0</v>
      </c>
      <c r="G241" s="601">
        <f>F241+G240</f>
        <v>36906.299216965286</v>
      </c>
      <c r="H241" s="636">
        <f>$H$85</f>
        <v>3.2500000000000001E-2</v>
      </c>
      <c r="I241" s="18">
        <f t="shared" ref="I241" si="122">ROUND((F241/2+G240+J240)*H241/12,2)</f>
        <v>100.84</v>
      </c>
      <c r="J241" s="18">
        <f t="shared" si="121"/>
        <v>429.40999999999997</v>
      </c>
      <c r="K241" s="18">
        <f t="shared" si="118"/>
        <v>37335.71</v>
      </c>
      <c r="L241" s="600">
        <f t="shared" si="116"/>
        <v>814</v>
      </c>
      <c r="M241" s="46"/>
      <c r="N241" s="46"/>
      <c r="O241" s="46"/>
      <c r="P241" s="46"/>
      <c r="Q241" s="46"/>
    </row>
    <row r="242" spans="1:17" s="45" customFormat="1">
      <c r="A242" s="600">
        <f t="shared" si="119"/>
        <v>815</v>
      </c>
      <c r="B242" s="45" t="s">
        <v>77</v>
      </c>
      <c r="C242" s="50">
        <f>C241</f>
        <v>2022</v>
      </c>
      <c r="D242" s="110" t="s">
        <v>109</v>
      </c>
      <c r="E242" s="110" t="s">
        <v>109</v>
      </c>
      <c r="F242" s="601">
        <v>0</v>
      </c>
      <c r="G242" s="601">
        <f t="shared" ref="G242:G252" si="123">F242+G241</f>
        <v>36906.299216965286</v>
      </c>
      <c r="H242" s="636">
        <f>$H$86</f>
        <v>3.2500000000000001E-2</v>
      </c>
      <c r="I242" s="18">
        <f t="shared" ref="I242" si="124">ROUND((F242/2+G241+J240)*H242/12,2)</f>
        <v>100.84</v>
      </c>
      <c r="J242" s="18">
        <f t="shared" si="121"/>
        <v>530.25</v>
      </c>
      <c r="K242" s="18">
        <f t="shared" si="118"/>
        <v>37436.550000000003</v>
      </c>
      <c r="L242" s="600">
        <f t="shared" si="116"/>
        <v>815</v>
      </c>
      <c r="M242" s="46"/>
      <c r="N242" s="46"/>
      <c r="O242" s="46"/>
      <c r="P242" s="46"/>
      <c r="Q242" s="46"/>
    </row>
    <row r="243" spans="1:17" s="45" customFormat="1">
      <c r="A243" s="600">
        <f t="shared" si="119"/>
        <v>816</v>
      </c>
      <c r="B243" s="45" t="s">
        <v>78</v>
      </c>
      <c r="C243" s="50">
        <f t="shared" ref="C243:C252" si="125">C242</f>
        <v>2022</v>
      </c>
      <c r="D243" s="110" t="s">
        <v>109</v>
      </c>
      <c r="E243" s="110" t="s">
        <v>109</v>
      </c>
      <c r="F243" s="601">
        <v>0</v>
      </c>
      <c r="G243" s="601">
        <f t="shared" si="123"/>
        <v>36906.299216965286</v>
      </c>
      <c r="H243" s="636">
        <f>$H$87</f>
        <v>3.2500000000000001E-2</v>
      </c>
      <c r="I243" s="18">
        <f t="shared" ref="I243" si="126">ROUND((F243/2+G242+J240)*H243/12,2)</f>
        <v>100.84</v>
      </c>
      <c r="J243" s="18">
        <f t="shared" si="121"/>
        <v>631.09</v>
      </c>
      <c r="K243" s="18">
        <f t="shared" si="118"/>
        <v>37537.39</v>
      </c>
      <c r="L243" s="600">
        <f t="shared" si="116"/>
        <v>816</v>
      </c>
      <c r="M243" s="46"/>
      <c r="N243" s="46"/>
      <c r="O243" s="46"/>
      <c r="P243" s="46"/>
      <c r="Q243" s="46"/>
    </row>
    <row r="244" spans="1:17" s="45" customFormat="1">
      <c r="A244" s="600">
        <f t="shared" si="119"/>
        <v>817</v>
      </c>
      <c r="B244" s="45" t="s">
        <v>79</v>
      </c>
      <c r="C244" s="50">
        <f t="shared" si="125"/>
        <v>2022</v>
      </c>
      <c r="D244" s="110" t="s">
        <v>109</v>
      </c>
      <c r="E244" s="110" t="s">
        <v>109</v>
      </c>
      <c r="F244" s="601">
        <v>0</v>
      </c>
      <c r="G244" s="601">
        <f t="shared" si="123"/>
        <v>36906.299216965286</v>
      </c>
      <c r="H244" s="636">
        <f>$H$88</f>
        <v>3.2500000000000001E-2</v>
      </c>
      <c r="I244" s="18">
        <f t="shared" ref="I244" si="127">ROUND((F244/2+G243+J243)*H244/12,2)</f>
        <v>101.66</v>
      </c>
      <c r="J244" s="18">
        <f t="shared" si="121"/>
        <v>732.75</v>
      </c>
      <c r="K244" s="18">
        <f t="shared" si="118"/>
        <v>37639.050000000003</v>
      </c>
      <c r="L244" s="600">
        <f t="shared" si="116"/>
        <v>817</v>
      </c>
      <c r="M244" s="46"/>
      <c r="N244" s="46"/>
      <c r="O244" s="46"/>
      <c r="P244" s="46"/>
      <c r="Q244" s="46"/>
    </row>
    <row r="245" spans="1:17" s="45" customFormat="1">
      <c r="A245" s="600">
        <f t="shared" si="119"/>
        <v>818</v>
      </c>
      <c r="B245" s="45" t="s">
        <v>61</v>
      </c>
      <c r="C245" s="50">
        <f t="shared" si="125"/>
        <v>2022</v>
      </c>
      <c r="D245" s="110" t="s">
        <v>109</v>
      </c>
      <c r="E245" s="110" t="s">
        <v>109</v>
      </c>
      <c r="F245" s="601">
        <v>0</v>
      </c>
      <c r="G245" s="601">
        <f t="shared" si="123"/>
        <v>36906.299216965286</v>
      </c>
      <c r="H245" s="636">
        <f>$H$89</f>
        <v>3.2500000000000001E-2</v>
      </c>
      <c r="I245" s="18">
        <f t="shared" ref="I245" si="128">ROUND((F245/2+G244+J243)*H245/12,2)</f>
        <v>101.66</v>
      </c>
      <c r="J245" s="18">
        <f t="shared" si="121"/>
        <v>834.41</v>
      </c>
      <c r="K245" s="18">
        <f t="shared" si="118"/>
        <v>37740.71</v>
      </c>
      <c r="L245" s="600">
        <f t="shared" si="116"/>
        <v>818</v>
      </c>
      <c r="M245" s="46"/>
      <c r="N245" s="46"/>
      <c r="O245" s="46"/>
      <c r="P245" s="46"/>
      <c r="Q245" s="46"/>
    </row>
    <row r="246" spans="1:17" s="45" customFormat="1">
      <c r="A246" s="600">
        <f t="shared" si="119"/>
        <v>819</v>
      </c>
      <c r="B246" s="45" t="s">
        <v>80</v>
      </c>
      <c r="C246" s="50">
        <f t="shared" si="125"/>
        <v>2022</v>
      </c>
      <c r="D246" s="110" t="s">
        <v>109</v>
      </c>
      <c r="E246" s="110" t="s">
        <v>109</v>
      </c>
      <c r="F246" s="601">
        <v>0</v>
      </c>
      <c r="G246" s="601">
        <f t="shared" si="123"/>
        <v>36906.299216965286</v>
      </c>
      <c r="H246" s="636">
        <f>$H$90</f>
        <v>3.2500000000000001E-2</v>
      </c>
      <c r="I246" s="18">
        <f t="shared" ref="I246" si="129">ROUND((F246/2+G245+J243)*H246/12,2)</f>
        <v>101.66</v>
      </c>
      <c r="J246" s="18">
        <f t="shared" si="121"/>
        <v>936.06999999999994</v>
      </c>
      <c r="K246" s="18">
        <f t="shared" si="118"/>
        <v>37842.370000000003</v>
      </c>
      <c r="L246" s="600">
        <f t="shared" si="116"/>
        <v>819</v>
      </c>
      <c r="M246" s="46"/>
      <c r="N246" s="46"/>
      <c r="O246" s="46"/>
      <c r="P246" s="46"/>
      <c r="Q246" s="46"/>
    </row>
    <row r="247" spans="1:17" s="45" customFormat="1">
      <c r="A247" s="600">
        <f t="shared" si="119"/>
        <v>820</v>
      </c>
      <c r="B247" s="45" t="s">
        <v>81</v>
      </c>
      <c r="C247" s="50">
        <f t="shared" si="125"/>
        <v>2022</v>
      </c>
      <c r="D247" s="110" t="s">
        <v>109</v>
      </c>
      <c r="E247" s="110" t="s">
        <v>109</v>
      </c>
      <c r="F247" s="601">
        <v>0</v>
      </c>
      <c r="G247" s="601">
        <f t="shared" si="123"/>
        <v>36906.299216965286</v>
      </c>
      <c r="H247" s="636">
        <f>$H$91</f>
        <v>3.5999999999999997E-2</v>
      </c>
      <c r="I247" s="18">
        <f t="shared" ref="I247" si="130">ROUND((F247/2+G246+J246)*H247/12,2)</f>
        <v>113.53</v>
      </c>
      <c r="J247" s="18">
        <f t="shared" si="121"/>
        <v>1049.5999999999999</v>
      </c>
      <c r="K247" s="18">
        <f t="shared" si="118"/>
        <v>37955.9</v>
      </c>
      <c r="L247" s="600">
        <f t="shared" si="116"/>
        <v>820</v>
      </c>
      <c r="M247" s="46"/>
      <c r="N247" s="46"/>
      <c r="O247" s="46"/>
      <c r="P247" s="46"/>
      <c r="Q247" s="46"/>
    </row>
    <row r="248" spans="1:17" s="45" customFormat="1">
      <c r="A248" s="600">
        <f t="shared" si="119"/>
        <v>821</v>
      </c>
      <c r="B248" s="45" t="s">
        <v>82</v>
      </c>
      <c r="C248" s="50">
        <f t="shared" si="125"/>
        <v>2022</v>
      </c>
      <c r="D248" s="110" t="s">
        <v>109</v>
      </c>
      <c r="E248" s="110" t="s">
        <v>109</v>
      </c>
      <c r="F248" s="601">
        <v>0</v>
      </c>
      <c r="G248" s="601">
        <f t="shared" si="123"/>
        <v>36906.299216965286</v>
      </c>
      <c r="H248" s="636">
        <f>$H$92</f>
        <v>3.5999999999999997E-2</v>
      </c>
      <c r="I248" s="18">
        <f t="shared" ref="I248" si="131">ROUND((F248/2+G247+J246)*H248/12,2)</f>
        <v>113.53</v>
      </c>
      <c r="J248" s="18">
        <f t="shared" si="121"/>
        <v>1163.1299999999999</v>
      </c>
      <c r="K248" s="18">
        <f t="shared" si="118"/>
        <v>38069.43</v>
      </c>
      <c r="L248" s="600">
        <f t="shared" si="116"/>
        <v>821</v>
      </c>
      <c r="M248" s="46"/>
      <c r="N248" s="46"/>
      <c r="O248" s="46"/>
      <c r="P248" s="46"/>
      <c r="Q248" s="46"/>
    </row>
    <row r="249" spans="1:17" s="45" customFormat="1">
      <c r="A249" s="600">
        <f t="shared" si="119"/>
        <v>822</v>
      </c>
      <c r="B249" s="45" t="s">
        <v>83</v>
      </c>
      <c r="C249" s="50">
        <f t="shared" si="125"/>
        <v>2022</v>
      </c>
      <c r="D249" s="110" t="s">
        <v>109</v>
      </c>
      <c r="E249" s="110" t="s">
        <v>109</v>
      </c>
      <c r="F249" s="601">
        <v>0</v>
      </c>
      <c r="G249" s="601">
        <f t="shared" si="123"/>
        <v>36906.299216965286</v>
      </c>
      <c r="H249" s="636">
        <f>$H$93</f>
        <v>3.5999999999999997E-2</v>
      </c>
      <c r="I249" s="18">
        <f t="shared" ref="I249" si="132">ROUND((F249/2+G248+J246)*H249/12,2)</f>
        <v>113.53</v>
      </c>
      <c r="J249" s="18">
        <f t="shared" si="121"/>
        <v>1276.6599999999999</v>
      </c>
      <c r="K249" s="18">
        <f t="shared" si="118"/>
        <v>38182.959999999999</v>
      </c>
      <c r="L249" s="600">
        <f t="shared" si="116"/>
        <v>822</v>
      </c>
      <c r="M249" s="46"/>
      <c r="N249" s="46"/>
      <c r="O249" s="46"/>
      <c r="P249" s="46"/>
      <c r="Q249" s="46"/>
    </row>
    <row r="250" spans="1:17" s="45" customFormat="1">
      <c r="A250" s="600">
        <f t="shared" si="119"/>
        <v>823</v>
      </c>
      <c r="B250" s="45" t="s">
        <v>84</v>
      </c>
      <c r="C250" s="50">
        <f t="shared" si="125"/>
        <v>2022</v>
      </c>
      <c r="D250" s="110" t="s">
        <v>109</v>
      </c>
      <c r="E250" s="110" t="s">
        <v>109</v>
      </c>
      <c r="F250" s="601">
        <v>0</v>
      </c>
      <c r="G250" s="601">
        <f t="shared" si="123"/>
        <v>36906.299216965286</v>
      </c>
      <c r="H250" s="636">
        <f>$H$94</f>
        <v>4.9099999999999998E-2</v>
      </c>
      <c r="I250" s="18">
        <f t="shared" ref="I250" si="133">ROUND((F250/2+G249+J249)*H250/12,2)</f>
        <v>156.22999999999999</v>
      </c>
      <c r="J250" s="18">
        <f t="shared" si="121"/>
        <v>1432.8899999999999</v>
      </c>
      <c r="K250" s="18">
        <f t="shared" si="118"/>
        <v>38339.19</v>
      </c>
      <c r="L250" s="600">
        <f t="shared" si="116"/>
        <v>823</v>
      </c>
      <c r="M250" s="46"/>
      <c r="N250" s="46"/>
      <c r="O250" s="46"/>
      <c r="P250" s="46"/>
      <c r="Q250" s="46"/>
    </row>
    <row r="251" spans="1:17" s="45" customFormat="1">
      <c r="A251" s="600">
        <f t="shared" si="119"/>
        <v>824</v>
      </c>
      <c r="B251" s="45" t="s">
        <v>85</v>
      </c>
      <c r="C251" s="50">
        <f t="shared" si="125"/>
        <v>2022</v>
      </c>
      <c r="D251" s="110" t="s">
        <v>109</v>
      </c>
      <c r="E251" s="110" t="s">
        <v>109</v>
      </c>
      <c r="F251" s="601">
        <v>0</v>
      </c>
      <c r="G251" s="601">
        <f t="shared" si="123"/>
        <v>36906.299216965286</v>
      </c>
      <c r="H251" s="636">
        <f>$H$95</f>
        <v>4.9099999999999998E-2</v>
      </c>
      <c r="I251" s="18">
        <f t="shared" ref="I251" si="134">ROUND((F251/2+G250+J249)*H251/12,2)</f>
        <v>156.22999999999999</v>
      </c>
      <c r="J251" s="18">
        <f t="shared" si="121"/>
        <v>1589.12</v>
      </c>
      <c r="K251" s="18">
        <f t="shared" si="118"/>
        <v>38495.42</v>
      </c>
      <c r="L251" s="600">
        <f t="shared" si="116"/>
        <v>824</v>
      </c>
      <c r="M251" s="46"/>
      <c r="N251" s="46"/>
      <c r="O251" s="46"/>
      <c r="P251" s="46"/>
      <c r="Q251" s="46"/>
    </row>
    <row r="252" spans="1:17" s="45" customFormat="1">
      <c r="A252" s="600">
        <f t="shared" si="119"/>
        <v>825</v>
      </c>
      <c r="B252" s="45" t="s">
        <v>75</v>
      </c>
      <c r="C252" s="50">
        <f t="shared" si="125"/>
        <v>2022</v>
      </c>
      <c r="D252" s="110" t="s">
        <v>109</v>
      </c>
      <c r="E252" s="110" t="s">
        <v>109</v>
      </c>
      <c r="F252" s="601">
        <v>0</v>
      </c>
      <c r="G252" s="601">
        <f t="shared" si="123"/>
        <v>36906.299216965286</v>
      </c>
      <c r="H252" s="636">
        <f>$H$96</f>
        <v>4.9099999999999998E-2</v>
      </c>
      <c r="I252" s="18">
        <f t="shared" ref="I252" si="135">ROUND((F252/2+G251+J249)*H252/12,2)</f>
        <v>156.22999999999999</v>
      </c>
      <c r="J252" s="18">
        <f t="shared" si="121"/>
        <v>1745.35</v>
      </c>
      <c r="K252" s="18">
        <f t="shared" si="118"/>
        <v>38651.65</v>
      </c>
      <c r="L252" s="600">
        <f t="shared" si="116"/>
        <v>825</v>
      </c>
      <c r="M252" s="46"/>
      <c r="N252" s="46"/>
      <c r="O252" s="46"/>
      <c r="P252" s="46"/>
      <c r="Q252" s="46"/>
    </row>
    <row r="253" spans="1:17">
      <c r="A253" s="3"/>
      <c r="B253" s="2"/>
    </row>
    <row r="254" spans="1:17" s="45" customFormat="1">
      <c r="A254" s="3" t="s">
        <v>86</v>
      </c>
      <c r="B254" s="613" t="s">
        <v>882</v>
      </c>
      <c r="C254" s="614" t="s">
        <v>62</v>
      </c>
      <c r="D254" s="614" t="s">
        <v>63</v>
      </c>
      <c r="E254" s="614" t="s">
        <v>64</v>
      </c>
      <c r="F254" s="615" t="s">
        <v>65</v>
      </c>
      <c r="G254" s="614" t="s">
        <v>66</v>
      </c>
      <c r="H254" s="614" t="s">
        <v>67</v>
      </c>
      <c r="I254" s="614" t="s">
        <v>68</v>
      </c>
      <c r="J254" s="614" t="s">
        <v>69</v>
      </c>
      <c r="K254" s="616" t="s">
        <v>70</v>
      </c>
      <c r="L254" s="3" t="str">
        <f t="shared" ref="L254:L255" si="136">A254</f>
        <v>Line</v>
      </c>
      <c r="M254" s="46"/>
      <c r="N254" s="46"/>
      <c r="O254" s="46"/>
      <c r="P254" s="46"/>
      <c r="Q254" s="46"/>
    </row>
    <row r="255" spans="1:17" s="45" customFormat="1">
      <c r="A255" s="600">
        <f>A223+100</f>
        <v>900</v>
      </c>
      <c r="B255" s="617" t="s">
        <v>1067</v>
      </c>
      <c r="C255" s="545"/>
      <c r="D255" s="618" t="s">
        <v>87</v>
      </c>
      <c r="E255" s="618" t="s">
        <v>88</v>
      </c>
      <c r="F255" s="619" t="str">
        <f>""&amp;D254&amp;" - "&amp;E254&amp;""</f>
        <v>Col 2 - Col 3</v>
      </c>
      <c r="G255" s="619" t="s">
        <v>112</v>
      </c>
      <c r="H255" s="619" t="s">
        <v>127</v>
      </c>
      <c r="I255" s="619" t="s">
        <v>128</v>
      </c>
      <c r="J255" s="619" t="s">
        <v>113</v>
      </c>
      <c r="K255" s="620" t="str">
        <f>""&amp;G254&amp;" + "&amp;J254&amp;""</f>
        <v>Col 5 + Col 8</v>
      </c>
      <c r="L255" s="600">
        <f t="shared" si="136"/>
        <v>900</v>
      </c>
      <c r="M255" s="46"/>
      <c r="N255" s="46"/>
      <c r="O255" s="46"/>
      <c r="P255" s="46"/>
      <c r="Q255" s="46"/>
    </row>
    <row r="256" spans="1:17" s="45" customFormat="1">
      <c r="A256" s="600"/>
      <c r="B256" s="621"/>
      <c r="C256" s="545"/>
      <c r="D256" s="545"/>
      <c r="E256" s="545"/>
      <c r="F256" s="176"/>
      <c r="G256" s="545" t="s">
        <v>135</v>
      </c>
      <c r="H256" s="545"/>
      <c r="I256" s="545"/>
      <c r="J256" s="545"/>
      <c r="K256" s="622" t="s">
        <v>135</v>
      </c>
      <c r="L256" s="46"/>
      <c r="M256" s="46"/>
      <c r="N256" s="46"/>
      <c r="O256" s="46"/>
      <c r="P256" s="46"/>
      <c r="Q256" s="46"/>
    </row>
    <row r="257" spans="1:17" s="45" customFormat="1">
      <c r="B257" s="621"/>
      <c r="C257" s="545"/>
      <c r="D257" s="176" t="s">
        <v>926</v>
      </c>
      <c r="E257" s="176" t="s">
        <v>926</v>
      </c>
      <c r="F257" s="176"/>
      <c r="G257" s="545" t="s">
        <v>766</v>
      </c>
      <c r="H257" s="545"/>
      <c r="I257" s="545"/>
      <c r="J257" s="545"/>
      <c r="K257" s="622" t="s">
        <v>766</v>
      </c>
      <c r="L257" s="46"/>
      <c r="M257" s="46"/>
      <c r="N257" s="46"/>
      <c r="O257" s="46"/>
      <c r="P257" s="46"/>
      <c r="Q257" s="46"/>
    </row>
    <row r="258" spans="1:17" s="45" customFormat="1">
      <c r="A258" s="600"/>
      <c r="B258" s="617"/>
      <c r="C258" s="545"/>
      <c r="D258" s="545" t="s">
        <v>71</v>
      </c>
      <c r="E258" s="545" t="s">
        <v>92</v>
      </c>
      <c r="F258" s="545" t="s">
        <v>124</v>
      </c>
      <c r="G258" s="545" t="s">
        <v>767</v>
      </c>
      <c r="H258" s="545" t="s">
        <v>185</v>
      </c>
      <c r="I258" s="545" t="s">
        <v>71</v>
      </c>
      <c r="J258" s="545" t="s">
        <v>132</v>
      </c>
      <c r="K258" s="622" t="s">
        <v>1061</v>
      </c>
      <c r="L258" s="46"/>
      <c r="M258" s="46"/>
      <c r="N258" s="46"/>
      <c r="O258" s="46"/>
      <c r="P258" s="46"/>
      <c r="Q258" s="46"/>
    </row>
    <row r="259" spans="1:17" s="45" customFormat="1">
      <c r="A259" s="600"/>
      <c r="B259" s="623" t="s">
        <v>58</v>
      </c>
      <c r="C259" s="624" t="s">
        <v>73</v>
      </c>
      <c r="D259" s="624" t="s">
        <v>1062</v>
      </c>
      <c r="E259" s="624" t="s">
        <v>121</v>
      </c>
      <c r="F259" s="624" t="s">
        <v>136</v>
      </c>
      <c r="G259" s="624" t="s">
        <v>123</v>
      </c>
      <c r="H259" s="624" t="s">
        <v>111</v>
      </c>
      <c r="I259" s="624" t="s">
        <v>72</v>
      </c>
      <c r="J259" s="624" t="s">
        <v>72</v>
      </c>
      <c r="K259" s="625" t="s">
        <v>74</v>
      </c>
      <c r="L259" s="46"/>
      <c r="M259" s="46"/>
      <c r="N259" s="46"/>
      <c r="O259" s="46"/>
      <c r="P259" s="46"/>
      <c r="Q259" s="46"/>
    </row>
    <row r="260" spans="1:17" s="45" customFormat="1">
      <c r="A260" s="600">
        <f>A255+1</f>
        <v>901</v>
      </c>
      <c r="B260" s="45" t="s">
        <v>75</v>
      </c>
      <c r="C260" s="50">
        <f>C261-1</f>
        <v>2020</v>
      </c>
      <c r="D260" s="110" t="s">
        <v>109</v>
      </c>
      <c r="E260" s="110" t="s">
        <v>109</v>
      </c>
      <c r="F260" s="47" t="s">
        <v>109</v>
      </c>
      <c r="G260" s="59">
        <v>0</v>
      </c>
      <c r="H260" s="47" t="s">
        <v>109</v>
      </c>
      <c r="I260" s="47" t="s">
        <v>109</v>
      </c>
      <c r="J260" s="59">
        <v>0</v>
      </c>
      <c r="K260" s="18">
        <f>ROUND((G260+J260),2)</f>
        <v>0</v>
      </c>
      <c r="L260" s="600">
        <f t="shared" ref="L260:L284" si="137">A260</f>
        <v>901</v>
      </c>
      <c r="M260" s="46"/>
      <c r="N260" s="46"/>
      <c r="O260" s="46"/>
      <c r="P260" s="46"/>
      <c r="Q260" s="46"/>
    </row>
    <row r="261" spans="1:17" s="45" customFormat="1">
      <c r="A261" s="600">
        <f>A260+1</f>
        <v>902</v>
      </c>
      <c r="B261" s="45" t="s">
        <v>76</v>
      </c>
      <c r="C261" s="50">
        <f>'1-DRR'!$K$2</f>
        <v>2021</v>
      </c>
      <c r="D261" s="579" t="str">
        <f>IF(E261="N/A","N/A",($G$42*'9-WholesaleRevenues'!H14))</f>
        <v>N/A</v>
      </c>
      <c r="E261" s="579" t="str">
        <f>IF('9-WholesaleRevenues'!H48="N/A","N/A",'9-WholesaleRevenues'!H48)</f>
        <v>N/A</v>
      </c>
      <c r="F261" s="601">
        <f t="shared" ref="F261:F272" si="138">IF(E261="N/A",0,D261-E261)</f>
        <v>0</v>
      </c>
      <c r="G261" s="601">
        <f>F261+G260</f>
        <v>0</v>
      </c>
      <c r="H261" s="636">
        <f>$H$73</f>
        <v>3.2500000000000001E-2</v>
      </c>
      <c r="I261" s="18">
        <f>IF(E261="N/A",0,ROUND((F261/2+G260+J260)*H261/12,2))</f>
        <v>0</v>
      </c>
      <c r="J261" s="18">
        <f>I261+J260</f>
        <v>0</v>
      </c>
      <c r="K261" s="18">
        <f t="shared" ref="K261:K284" si="139">ROUND((G261+J261),2)</f>
        <v>0</v>
      </c>
      <c r="L261" s="600">
        <f t="shared" si="137"/>
        <v>902</v>
      </c>
      <c r="M261" s="46"/>
      <c r="N261" s="46"/>
      <c r="O261" s="46"/>
      <c r="P261" s="46"/>
      <c r="Q261" s="46"/>
    </row>
    <row r="262" spans="1:17" s="45" customFormat="1">
      <c r="A262" s="600">
        <f t="shared" ref="A262:A284" si="140">A261+1</f>
        <v>903</v>
      </c>
      <c r="B262" s="45" t="s">
        <v>77</v>
      </c>
      <c r="C262" s="50">
        <f>'1-DRR'!$K$2</f>
        <v>2021</v>
      </c>
      <c r="D262" s="579" t="str">
        <f>IF(E262="N/A","N/A",($G$42*'9-WholesaleRevenues'!H15))</f>
        <v>N/A</v>
      </c>
      <c r="E262" s="579" t="str">
        <f>IF('9-WholesaleRevenues'!H49="N/A","N/A",'9-WholesaleRevenues'!H49)</f>
        <v>N/A</v>
      </c>
      <c r="F262" s="601">
        <f t="shared" si="138"/>
        <v>0</v>
      </c>
      <c r="G262" s="601">
        <f t="shared" ref="G262:G272" si="141">F262+G261</f>
        <v>0</v>
      </c>
      <c r="H262" s="636">
        <f>$H$74</f>
        <v>3.2500000000000001E-2</v>
      </c>
      <c r="I262" s="18">
        <f>IF(E262="N/A",0,ROUND((F262/2+G261+J260)*H262/12,2))</f>
        <v>0</v>
      </c>
      <c r="J262" s="18">
        <f>I262+J261</f>
        <v>0</v>
      </c>
      <c r="K262" s="18">
        <f t="shared" si="139"/>
        <v>0</v>
      </c>
      <c r="L262" s="600">
        <f t="shared" si="137"/>
        <v>903</v>
      </c>
      <c r="M262" s="46"/>
      <c r="N262" s="46"/>
      <c r="O262" s="46"/>
      <c r="P262" s="46"/>
      <c r="Q262" s="46"/>
    </row>
    <row r="263" spans="1:17" s="45" customFormat="1">
      <c r="A263" s="600">
        <f t="shared" si="140"/>
        <v>904</v>
      </c>
      <c r="B263" s="45" t="s">
        <v>78</v>
      </c>
      <c r="C263" s="50">
        <f>'1-DRR'!$K$2</f>
        <v>2021</v>
      </c>
      <c r="D263" s="579" t="str">
        <f>IF(E263="N/A","N/A",($G$42*'9-WholesaleRevenues'!H16))</f>
        <v>N/A</v>
      </c>
      <c r="E263" s="579" t="str">
        <f>IF('9-WholesaleRevenues'!H50="N/A","N/A",'9-WholesaleRevenues'!H50)</f>
        <v>N/A</v>
      </c>
      <c r="F263" s="601">
        <f t="shared" si="138"/>
        <v>0</v>
      </c>
      <c r="G263" s="601">
        <f t="shared" si="141"/>
        <v>0</v>
      </c>
      <c r="H263" s="636">
        <f>$H$75</f>
        <v>3.2500000000000001E-2</v>
      </c>
      <c r="I263" s="18">
        <f>IF(E263="N/A",0,ROUND((F263/2+G262+J260)*H263/12,2))</f>
        <v>0</v>
      </c>
      <c r="J263" s="18">
        <f>I263+J262</f>
        <v>0</v>
      </c>
      <c r="K263" s="18">
        <f t="shared" si="139"/>
        <v>0</v>
      </c>
      <c r="L263" s="600">
        <f t="shared" si="137"/>
        <v>904</v>
      </c>
      <c r="M263" s="46"/>
      <c r="N263" s="46"/>
      <c r="O263" s="46"/>
      <c r="P263" s="46"/>
      <c r="Q263" s="46"/>
    </row>
    <row r="264" spans="1:17" s="45" customFormat="1">
      <c r="A264" s="600">
        <f t="shared" si="140"/>
        <v>905</v>
      </c>
      <c r="B264" s="45" t="s">
        <v>79</v>
      </c>
      <c r="C264" s="50">
        <f>'1-DRR'!$K$2</f>
        <v>2021</v>
      </c>
      <c r="D264" s="579" t="str">
        <f>IF(E264="N/A","N/A",($G$42*'9-WholesaleRevenues'!H17))</f>
        <v>N/A</v>
      </c>
      <c r="E264" s="579" t="str">
        <f>IF('9-WholesaleRevenues'!H51="N/A","N/A",'9-WholesaleRevenues'!H51)</f>
        <v>N/A</v>
      </c>
      <c r="F264" s="601">
        <f t="shared" si="138"/>
        <v>0</v>
      </c>
      <c r="G264" s="601">
        <f t="shared" si="141"/>
        <v>0</v>
      </c>
      <c r="H264" s="636">
        <f>$H$76</f>
        <v>3.2500000000000001E-2</v>
      </c>
      <c r="I264" s="18">
        <f>IF(E264="N/A",0,ROUND((F264/2+G263+J263)*H264/12,2))</f>
        <v>0</v>
      </c>
      <c r="J264" s="18">
        <f t="shared" ref="J264:J284" si="142">I264+J263</f>
        <v>0</v>
      </c>
      <c r="K264" s="18">
        <f t="shared" si="139"/>
        <v>0</v>
      </c>
      <c r="L264" s="600">
        <f t="shared" si="137"/>
        <v>905</v>
      </c>
      <c r="M264" s="46"/>
      <c r="N264" s="46"/>
      <c r="O264" s="46"/>
      <c r="P264" s="46"/>
      <c r="Q264" s="46"/>
    </row>
    <row r="265" spans="1:17" s="45" customFormat="1">
      <c r="A265" s="600">
        <f t="shared" si="140"/>
        <v>906</v>
      </c>
      <c r="B265" s="45" t="s">
        <v>61</v>
      </c>
      <c r="C265" s="50">
        <f>'1-DRR'!$K$2</f>
        <v>2021</v>
      </c>
      <c r="D265" s="579" t="str">
        <f>IF(E265="N/A","N/A",($G$42*'9-WholesaleRevenues'!H18))</f>
        <v>N/A</v>
      </c>
      <c r="E265" s="579" t="str">
        <f>IF('9-WholesaleRevenues'!H52="N/A","N/A",'9-WholesaleRevenues'!H52)</f>
        <v>N/A</v>
      </c>
      <c r="F265" s="601">
        <f t="shared" si="138"/>
        <v>0</v>
      </c>
      <c r="G265" s="601">
        <f t="shared" si="141"/>
        <v>0</v>
      </c>
      <c r="H265" s="636">
        <f>$H$77</f>
        <v>3.2500000000000001E-2</v>
      </c>
      <c r="I265" s="18">
        <f>IF(E265="N/A",0,ROUND((F265/2+G264+J263)*H265/12,2))</f>
        <v>0</v>
      </c>
      <c r="J265" s="18">
        <f t="shared" si="142"/>
        <v>0</v>
      </c>
      <c r="K265" s="18">
        <f t="shared" si="139"/>
        <v>0</v>
      </c>
      <c r="L265" s="600">
        <f t="shared" si="137"/>
        <v>906</v>
      </c>
      <c r="M265" s="46"/>
      <c r="N265" s="46"/>
      <c r="O265" s="46"/>
      <c r="P265" s="46"/>
      <c r="Q265" s="46"/>
    </row>
    <row r="266" spans="1:17" s="45" customFormat="1">
      <c r="A266" s="600">
        <f t="shared" si="140"/>
        <v>907</v>
      </c>
      <c r="B266" s="45" t="s">
        <v>80</v>
      </c>
      <c r="C266" s="50">
        <f>'1-DRR'!$K$2</f>
        <v>2021</v>
      </c>
      <c r="D266" s="579">
        <f>IF(E266="N/A","N/A",($G$42*'9-WholesaleRevenues'!H19))</f>
        <v>2029331.7077232813</v>
      </c>
      <c r="E266" s="579">
        <f>IF('9-WholesaleRevenues'!H53="N/A","N/A",'9-WholesaleRevenues'!H53)</f>
        <v>1010885.31</v>
      </c>
      <c r="F266" s="601">
        <f t="shared" si="138"/>
        <v>1018446.3977232813</v>
      </c>
      <c r="G266" s="601">
        <f t="shared" si="141"/>
        <v>1018446.3977232813</v>
      </c>
      <c r="H266" s="636">
        <f>$H$78</f>
        <v>3.2500000000000001E-2</v>
      </c>
      <c r="I266" s="18">
        <f>IF(E266="N/A",0,ROUND((F266/2+G265+J263)*H266/12,2))</f>
        <v>1379.15</v>
      </c>
      <c r="J266" s="18">
        <f t="shared" si="142"/>
        <v>1379.15</v>
      </c>
      <c r="K266" s="18">
        <f t="shared" si="139"/>
        <v>1019825.55</v>
      </c>
      <c r="L266" s="600">
        <f t="shared" si="137"/>
        <v>907</v>
      </c>
      <c r="M266" s="46"/>
      <c r="N266" s="46"/>
      <c r="O266" s="46"/>
      <c r="P266" s="46"/>
      <c r="Q266" s="46"/>
    </row>
    <row r="267" spans="1:17" s="45" customFormat="1">
      <c r="A267" s="600">
        <f t="shared" si="140"/>
        <v>908</v>
      </c>
      <c r="B267" s="45" t="s">
        <v>81</v>
      </c>
      <c r="C267" s="50">
        <f>'1-DRR'!$K$2</f>
        <v>2021</v>
      </c>
      <c r="D267" s="579">
        <f>IF(E267="N/A","N/A",($G$42*'9-WholesaleRevenues'!H20))</f>
        <v>1986890.1302651851</v>
      </c>
      <c r="E267" s="579">
        <f>IF('9-WholesaleRevenues'!H54="N/A","N/A",'9-WholesaleRevenues'!H54)</f>
        <v>748409.81</v>
      </c>
      <c r="F267" s="601">
        <f t="shared" si="138"/>
        <v>1238480.3202651851</v>
      </c>
      <c r="G267" s="601">
        <f t="shared" si="141"/>
        <v>2256926.7179884664</v>
      </c>
      <c r="H267" s="636">
        <f>$H$79</f>
        <v>3.2500000000000001E-2</v>
      </c>
      <c r="I267" s="18">
        <f>IF(E267="N/A",0,ROUND((F267/2+G266+J266)*H267/12,2))</f>
        <v>4439.1400000000003</v>
      </c>
      <c r="J267" s="18">
        <f t="shared" si="142"/>
        <v>5818.2900000000009</v>
      </c>
      <c r="K267" s="18">
        <f t="shared" si="139"/>
        <v>2262745.0099999998</v>
      </c>
      <c r="L267" s="600">
        <f t="shared" si="137"/>
        <v>908</v>
      </c>
      <c r="M267" s="46"/>
      <c r="N267" s="46"/>
      <c r="O267" s="46"/>
      <c r="P267" s="46"/>
      <c r="Q267" s="46"/>
    </row>
    <row r="268" spans="1:17" s="45" customFormat="1">
      <c r="A268" s="600">
        <f t="shared" si="140"/>
        <v>909</v>
      </c>
      <c r="B268" s="45" t="s">
        <v>82</v>
      </c>
      <c r="C268" s="50">
        <f>'1-DRR'!$K$2</f>
        <v>2021</v>
      </c>
      <c r="D268" s="579">
        <f>IF(E268="N/A","N/A",($G$42*'9-WholesaleRevenues'!H21))</f>
        <v>1849374.7304877748</v>
      </c>
      <c r="E268" s="579">
        <f>IF('9-WholesaleRevenues'!H55="N/A","N/A",'9-WholesaleRevenues'!H55)</f>
        <v>879647.56</v>
      </c>
      <c r="F268" s="601">
        <f t="shared" si="138"/>
        <v>969727.17048777477</v>
      </c>
      <c r="G268" s="601">
        <f t="shared" si="141"/>
        <v>3226653.8884762414</v>
      </c>
      <c r="H268" s="636">
        <f>$H$80</f>
        <v>3.2500000000000001E-2</v>
      </c>
      <c r="I268" s="18">
        <f>IF(E268="N/A",0,ROUND((F268/2+G267+J266)*H268/12,2))</f>
        <v>7429.42</v>
      </c>
      <c r="J268" s="18">
        <f t="shared" si="142"/>
        <v>13247.710000000001</v>
      </c>
      <c r="K268" s="18">
        <f t="shared" si="139"/>
        <v>3239901.6</v>
      </c>
      <c r="L268" s="600">
        <f t="shared" si="137"/>
        <v>909</v>
      </c>
      <c r="M268" s="46"/>
      <c r="N268" s="46"/>
      <c r="O268" s="46"/>
      <c r="P268" s="46"/>
      <c r="Q268" s="46"/>
    </row>
    <row r="269" spans="1:17" s="45" customFormat="1">
      <c r="A269" s="600">
        <f t="shared" si="140"/>
        <v>910</v>
      </c>
      <c r="B269" s="45" t="s">
        <v>83</v>
      </c>
      <c r="C269" s="50">
        <f>'1-DRR'!$K$2</f>
        <v>2021</v>
      </c>
      <c r="D269" s="579">
        <f>IF(E269="N/A","N/A",($G$42*'9-WholesaleRevenues'!H22))</f>
        <v>1676509.1341629589</v>
      </c>
      <c r="E269" s="579">
        <f>IF('9-WholesaleRevenues'!H56="N/A","N/A",'9-WholesaleRevenues'!H56)</f>
        <v>879647.56</v>
      </c>
      <c r="F269" s="601">
        <f t="shared" si="138"/>
        <v>796861.57416295889</v>
      </c>
      <c r="G269" s="601">
        <f t="shared" si="141"/>
        <v>4023515.4626392005</v>
      </c>
      <c r="H269" s="636">
        <f>$H$81</f>
        <v>3.2500000000000001E-2</v>
      </c>
      <c r="I269" s="18">
        <f>IF(E269="N/A",0,ROUND((F269/2+G268+J266)*H269/12,2))</f>
        <v>9821.67</v>
      </c>
      <c r="J269" s="18">
        <f t="shared" si="142"/>
        <v>23069.38</v>
      </c>
      <c r="K269" s="18">
        <f t="shared" si="139"/>
        <v>4046584.84</v>
      </c>
      <c r="L269" s="600">
        <f t="shared" si="137"/>
        <v>910</v>
      </c>
      <c r="M269" s="46"/>
      <c r="N269" s="46"/>
      <c r="O269" s="46"/>
      <c r="P269" s="46"/>
      <c r="Q269" s="46"/>
    </row>
    <row r="270" spans="1:17" s="45" customFormat="1">
      <c r="A270" s="600">
        <f t="shared" si="140"/>
        <v>911</v>
      </c>
      <c r="B270" s="45" t="s">
        <v>84</v>
      </c>
      <c r="C270" s="50">
        <f>'1-DRR'!$K$2</f>
        <v>2021</v>
      </c>
      <c r="D270" s="579">
        <f>IF(E270="N/A","N/A",($G$42*'9-WholesaleRevenues'!H23))</f>
        <v>1592607.5344251508</v>
      </c>
      <c r="E270" s="579">
        <f>IF('9-WholesaleRevenues'!H57="N/A","N/A",'9-WholesaleRevenues'!H57)</f>
        <v>879647.50999999989</v>
      </c>
      <c r="F270" s="601">
        <f t="shared" si="138"/>
        <v>712960.02442515094</v>
      </c>
      <c r="G270" s="601">
        <f t="shared" si="141"/>
        <v>4736475.4870643513</v>
      </c>
      <c r="H270" s="636">
        <f>$H$82</f>
        <v>3.2500000000000001E-2</v>
      </c>
      <c r="I270" s="18">
        <f>IF(E270="N/A",0,ROUND((F270/2+G269+J269)*H270/12,2))</f>
        <v>11924.97</v>
      </c>
      <c r="J270" s="18">
        <f t="shared" si="142"/>
        <v>34994.35</v>
      </c>
      <c r="K270" s="18">
        <f t="shared" si="139"/>
        <v>4771469.84</v>
      </c>
      <c r="L270" s="600">
        <f t="shared" si="137"/>
        <v>911</v>
      </c>
      <c r="M270" s="46"/>
      <c r="N270" s="46"/>
      <c r="O270" s="46"/>
      <c r="P270" s="46"/>
      <c r="Q270" s="46"/>
    </row>
    <row r="271" spans="1:17" s="45" customFormat="1">
      <c r="A271" s="600">
        <f t="shared" si="140"/>
        <v>912</v>
      </c>
      <c r="B271" s="45" t="s">
        <v>85</v>
      </c>
      <c r="C271" s="50">
        <f>'1-DRR'!$K$2</f>
        <v>2021</v>
      </c>
      <c r="D271" s="579">
        <f>IF(E271="N/A","N/A",($G$42*'9-WholesaleRevenues'!H24))</f>
        <v>931074.79026914923</v>
      </c>
      <c r="E271" s="579">
        <f>IF('9-WholesaleRevenues'!H58="N/A","N/A",'9-WholesaleRevenues'!H58)</f>
        <v>879647.55</v>
      </c>
      <c r="F271" s="601">
        <f t="shared" si="138"/>
        <v>51427.240269149188</v>
      </c>
      <c r="G271" s="601">
        <f t="shared" si="141"/>
        <v>4787902.727333501</v>
      </c>
      <c r="H271" s="636">
        <f>$H$83</f>
        <v>3.2500000000000001E-2</v>
      </c>
      <c r="I271" s="18">
        <f>IF(E271="N/A",0,ROUND((F271/2+G270+J269)*H271/12,2))</f>
        <v>12960.08</v>
      </c>
      <c r="J271" s="18">
        <f t="shared" si="142"/>
        <v>47954.43</v>
      </c>
      <c r="K271" s="18">
        <f t="shared" si="139"/>
        <v>4835857.16</v>
      </c>
      <c r="L271" s="600">
        <f t="shared" si="137"/>
        <v>912</v>
      </c>
      <c r="M271" s="46"/>
      <c r="N271" s="46"/>
      <c r="O271" s="46"/>
      <c r="P271" s="46"/>
      <c r="Q271" s="46"/>
    </row>
    <row r="272" spans="1:17" s="45" customFormat="1">
      <c r="A272" s="600">
        <f t="shared" si="140"/>
        <v>913</v>
      </c>
      <c r="B272" s="45" t="s">
        <v>75</v>
      </c>
      <c r="C272" s="50">
        <f>'1-DRR'!$K$2</f>
        <v>2021</v>
      </c>
      <c r="D272" s="579">
        <f>IF(E272="N/A","N/A",($G$42*'9-WholesaleRevenues'!H25))</f>
        <v>863009.4510147213</v>
      </c>
      <c r="E272" s="579">
        <f>IF('9-WholesaleRevenues'!H59="N/A","N/A",'9-WholesaleRevenues'!H59)</f>
        <v>886159.53</v>
      </c>
      <c r="F272" s="601">
        <f t="shared" si="138"/>
        <v>-23150.078985278727</v>
      </c>
      <c r="G272" s="601">
        <f t="shared" si="141"/>
        <v>4764752.6483482225</v>
      </c>
      <c r="H272" s="636">
        <f>$H$84</f>
        <v>3.2500000000000001E-2</v>
      </c>
      <c r="I272" s="18">
        <f>IF(E272="N/A",0,ROUND((F272/2+G271+J269)*H272/12,2))</f>
        <v>12998.37</v>
      </c>
      <c r="J272" s="18">
        <f t="shared" si="142"/>
        <v>60952.800000000003</v>
      </c>
      <c r="K272" s="18">
        <f t="shared" si="139"/>
        <v>4825705.45</v>
      </c>
      <c r="L272" s="600">
        <f t="shared" si="137"/>
        <v>913</v>
      </c>
      <c r="M272" s="46"/>
      <c r="N272" s="46"/>
      <c r="O272" s="46"/>
      <c r="P272" s="46"/>
      <c r="Q272" s="46"/>
    </row>
    <row r="273" spans="1:17" s="45" customFormat="1">
      <c r="A273" s="600">
        <f t="shared" si="140"/>
        <v>914</v>
      </c>
      <c r="B273" s="45" t="s">
        <v>76</v>
      </c>
      <c r="C273" s="50">
        <f>C272+1</f>
        <v>2022</v>
      </c>
      <c r="D273" s="110" t="s">
        <v>109</v>
      </c>
      <c r="E273" s="110" t="s">
        <v>109</v>
      </c>
      <c r="F273" s="601">
        <v>0</v>
      </c>
      <c r="G273" s="601">
        <f>F273+G272</f>
        <v>4764752.6483482225</v>
      </c>
      <c r="H273" s="636">
        <f>$H$85</f>
        <v>3.2500000000000001E-2</v>
      </c>
      <c r="I273" s="18">
        <f t="shared" ref="I273" si="143">ROUND((F273/2+G272+J272)*H273/12,2)</f>
        <v>13069.62</v>
      </c>
      <c r="J273" s="18">
        <f t="shared" si="142"/>
        <v>74022.42</v>
      </c>
      <c r="K273" s="18">
        <f t="shared" si="139"/>
        <v>4838775.07</v>
      </c>
      <c r="L273" s="600">
        <f t="shared" si="137"/>
        <v>914</v>
      </c>
      <c r="M273" s="46"/>
      <c r="N273" s="46"/>
      <c r="O273" s="46"/>
      <c r="P273" s="46"/>
      <c r="Q273" s="46"/>
    </row>
    <row r="274" spans="1:17" s="45" customFormat="1">
      <c r="A274" s="600">
        <f t="shared" si="140"/>
        <v>915</v>
      </c>
      <c r="B274" s="45" t="s">
        <v>77</v>
      </c>
      <c r="C274" s="50">
        <f>C273</f>
        <v>2022</v>
      </c>
      <c r="D274" s="110" t="s">
        <v>109</v>
      </c>
      <c r="E274" s="110" t="s">
        <v>109</v>
      </c>
      <c r="F274" s="601">
        <v>0</v>
      </c>
      <c r="G274" s="601">
        <f t="shared" ref="G274:G284" si="144">F274+G273</f>
        <v>4764752.6483482225</v>
      </c>
      <c r="H274" s="636">
        <f>$H$86</f>
        <v>3.2500000000000001E-2</v>
      </c>
      <c r="I274" s="18">
        <f t="shared" ref="I274" si="145">ROUND((F274/2+G273+J272)*H274/12,2)</f>
        <v>13069.62</v>
      </c>
      <c r="J274" s="18">
        <f t="shared" si="142"/>
        <v>87092.04</v>
      </c>
      <c r="K274" s="18">
        <f t="shared" si="139"/>
        <v>4851844.6900000004</v>
      </c>
      <c r="L274" s="600">
        <f t="shared" si="137"/>
        <v>915</v>
      </c>
      <c r="M274" s="46"/>
      <c r="N274" s="46"/>
      <c r="O274" s="46"/>
      <c r="P274" s="46"/>
      <c r="Q274" s="46"/>
    </row>
    <row r="275" spans="1:17" s="45" customFormat="1">
      <c r="A275" s="600">
        <f t="shared" si="140"/>
        <v>916</v>
      </c>
      <c r="B275" s="45" t="s">
        <v>78</v>
      </c>
      <c r="C275" s="50">
        <f t="shared" ref="C275:C284" si="146">C274</f>
        <v>2022</v>
      </c>
      <c r="D275" s="110" t="s">
        <v>109</v>
      </c>
      <c r="E275" s="110" t="s">
        <v>109</v>
      </c>
      <c r="F275" s="601">
        <v>0</v>
      </c>
      <c r="G275" s="601">
        <f t="shared" si="144"/>
        <v>4764752.6483482225</v>
      </c>
      <c r="H275" s="636">
        <f>$H$87</f>
        <v>3.2500000000000001E-2</v>
      </c>
      <c r="I275" s="18">
        <f t="shared" ref="I275" si="147">ROUND((F275/2+G274+J272)*H275/12,2)</f>
        <v>13069.62</v>
      </c>
      <c r="J275" s="18">
        <f t="shared" si="142"/>
        <v>100161.65999999999</v>
      </c>
      <c r="K275" s="18">
        <f t="shared" si="139"/>
        <v>4864914.3099999996</v>
      </c>
      <c r="L275" s="600">
        <f t="shared" si="137"/>
        <v>916</v>
      </c>
      <c r="M275" s="46"/>
      <c r="N275" s="46"/>
      <c r="O275" s="46"/>
      <c r="P275" s="46"/>
      <c r="Q275" s="46"/>
    </row>
    <row r="276" spans="1:17" s="45" customFormat="1">
      <c r="A276" s="600">
        <f t="shared" si="140"/>
        <v>917</v>
      </c>
      <c r="B276" s="45" t="s">
        <v>79</v>
      </c>
      <c r="C276" s="50">
        <f t="shared" si="146"/>
        <v>2022</v>
      </c>
      <c r="D276" s="110" t="s">
        <v>109</v>
      </c>
      <c r="E276" s="110" t="s">
        <v>109</v>
      </c>
      <c r="F276" s="601">
        <v>0</v>
      </c>
      <c r="G276" s="601">
        <f t="shared" si="144"/>
        <v>4764752.6483482225</v>
      </c>
      <c r="H276" s="636">
        <f>$H$88</f>
        <v>3.2500000000000001E-2</v>
      </c>
      <c r="I276" s="18">
        <f t="shared" ref="I276" si="148">ROUND((F276/2+G275+J275)*H276/12,2)</f>
        <v>13175.81</v>
      </c>
      <c r="J276" s="18">
        <f t="shared" si="142"/>
        <v>113337.46999999999</v>
      </c>
      <c r="K276" s="18">
        <f t="shared" si="139"/>
        <v>4878090.12</v>
      </c>
      <c r="L276" s="600">
        <f t="shared" si="137"/>
        <v>917</v>
      </c>
      <c r="M276" s="46"/>
      <c r="N276" s="46"/>
      <c r="O276" s="46"/>
      <c r="P276" s="46"/>
      <c r="Q276" s="46"/>
    </row>
    <row r="277" spans="1:17" s="45" customFormat="1">
      <c r="A277" s="600">
        <f t="shared" si="140"/>
        <v>918</v>
      </c>
      <c r="B277" s="45" t="s">
        <v>61</v>
      </c>
      <c r="C277" s="50">
        <f t="shared" si="146"/>
        <v>2022</v>
      </c>
      <c r="D277" s="110" t="s">
        <v>109</v>
      </c>
      <c r="E277" s="110" t="s">
        <v>109</v>
      </c>
      <c r="F277" s="601">
        <v>0</v>
      </c>
      <c r="G277" s="601">
        <f t="shared" si="144"/>
        <v>4764752.6483482225</v>
      </c>
      <c r="H277" s="636">
        <f>$H$89</f>
        <v>3.2500000000000001E-2</v>
      </c>
      <c r="I277" s="18">
        <f t="shared" ref="I277" si="149">ROUND((F277/2+G276+J275)*H277/12,2)</f>
        <v>13175.81</v>
      </c>
      <c r="J277" s="18">
        <f t="shared" si="142"/>
        <v>126513.27999999998</v>
      </c>
      <c r="K277" s="18">
        <f t="shared" si="139"/>
        <v>4891265.93</v>
      </c>
      <c r="L277" s="600">
        <f t="shared" si="137"/>
        <v>918</v>
      </c>
      <c r="M277" s="46"/>
      <c r="N277" s="46"/>
      <c r="O277" s="46"/>
      <c r="P277" s="46"/>
      <c r="Q277" s="46"/>
    </row>
    <row r="278" spans="1:17" s="45" customFormat="1">
      <c r="A278" s="600">
        <f t="shared" si="140"/>
        <v>919</v>
      </c>
      <c r="B278" s="45" t="s">
        <v>80</v>
      </c>
      <c r="C278" s="50">
        <f t="shared" si="146"/>
        <v>2022</v>
      </c>
      <c r="D278" s="110" t="s">
        <v>109</v>
      </c>
      <c r="E278" s="110" t="s">
        <v>109</v>
      </c>
      <c r="F278" s="601">
        <v>0</v>
      </c>
      <c r="G278" s="601">
        <f t="shared" si="144"/>
        <v>4764752.6483482225</v>
      </c>
      <c r="H278" s="636">
        <f>$H$90</f>
        <v>3.2500000000000001E-2</v>
      </c>
      <c r="I278" s="18">
        <f t="shared" ref="I278" si="150">ROUND((F278/2+G277+J275)*H278/12,2)</f>
        <v>13175.81</v>
      </c>
      <c r="J278" s="18">
        <f t="shared" si="142"/>
        <v>139689.09</v>
      </c>
      <c r="K278" s="18">
        <f t="shared" si="139"/>
        <v>4904441.74</v>
      </c>
      <c r="L278" s="600">
        <f t="shared" si="137"/>
        <v>919</v>
      </c>
      <c r="M278" s="46"/>
      <c r="N278" s="46"/>
      <c r="O278" s="46"/>
      <c r="P278" s="46"/>
      <c r="Q278" s="46"/>
    </row>
    <row r="279" spans="1:17" s="45" customFormat="1">
      <c r="A279" s="600">
        <f t="shared" si="140"/>
        <v>920</v>
      </c>
      <c r="B279" s="45" t="s">
        <v>81</v>
      </c>
      <c r="C279" s="50">
        <f t="shared" si="146"/>
        <v>2022</v>
      </c>
      <c r="D279" s="110" t="s">
        <v>109</v>
      </c>
      <c r="E279" s="110" t="s">
        <v>109</v>
      </c>
      <c r="F279" s="601">
        <v>0</v>
      </c>
      <c r="G279" s="601">
        <f t="shared" si="144"/>
        <v>4764752.6483482225</v>
      </c>
      <c r="H279" s="636">
        <f>$H$91</f>
        <v>3.5999999999999997E-2</v>
      </c>
      <c r="I279" s="18">
        <f t="shared" ref="I279" si="151">ROUND((F279/2+G278+J278)*H279/12,2)</f>
        <v>14713.33</v>
      </c>
      <c r="J279" s="18">
        <f t="shared" si="142"/>
        <v>154402.41999999998</v>
      </c>
      <c r="K279" s="18">
        <f t="shared" si="139"/>
        <v>4919155.07</v>
      </c>
      <c r="L279" s="600">
        <f t="shared" si="137"/>
        <v>920</v>
      </c>
      <c r="M279" s="46"/>
      <c r="N279" s="46"/>
      <c r="O279" s="46"/>
      <c r="P279" s="46"/>
      <c r="Q279" s="46"/>
    </row>
    <row r="280" spans="1:17" s="45" customFormat="1">
      <c r="A280" s="600">
        <f t="shared" si="140"/>
        <v>921</v>
      </c>
      <c r="B280" s="45" t="s">
        <v>82</v>
      </c>
      <c r="C280" s="50">
        <f t="shared" si="146"/>
        <v>2022</v>
      </c>
      <c r="D280" s="110" t="s">
        <v>109</v>
      </c>
      <c r="E280" s="110" t="s">
        <v>109</v>
      </c>
      <c r="F280" s="601">
        <v>0</v>
      </c>
      <c r="G280" s="601">
        <f t="shared" si="144"/>
        <v>4764752.6483482225</v>
      </c>
      <c r="H280" s="636">
        <f>$H$92</f>
        <v>3.5999999999999997E-2</v>
      </c>
      <c r="I280" s="18">
        <f t="shared" ref="I280" si="152">ROUND((F280/2+G279+J278)*H280/12,2)</f>
        <v>14713.33</v>
      </c>
      <c r="J280" s="18">
        <f t="shared" si="142"/>
        <v>169115.74999999997</v>
      </c>
      <c r="K280" s="18">
        <f t="shared" si="139"/>
        <v>4933868.4000000004</v>
      </c>
      <c r="L280" s="600">
        <f t="shared" si="137"/>
        <v>921</v>
      </c>
      <c r="M280" s="46"/>
      <c r="N280" s="46"/>
      <c r="O280" s="46"/>
      <c r="P280" s="46"/>
      <c r="Q280" s="46"/>
    </row>
    <row r="281" spans="1:17" s="45" customFormat="1">
      <c r="A281" s="600">
        <f t="shared" si="140"/>
        <v>922</v>
      </c>
      <c r="B281" s="45" t="s">
        <v>83</v>
      </c>
      <c r="C281" s="50">
        <f t="shared" si="146"/>
        <v>2022</v>
      </c>
      <c r="D281" s="110" t="s">
        <v>109</v>
      </c>
      <c r="E281" s="110" t="s">
        <v>109</v>
      </c>
      <c r="F281" s="601">
        <v>0</v>
      </c>
      <c r="G281" s="601">
        <f t="shared" si="144"/>
        <v>4764752.6483482225</v>
      </c>
      <c r="H281" s="636">
        <f>$H$93</f>
        <v>3.5999999999999997E-2</v>
      </c>
      <c r="I281" s="18">
        <f t="shared" ref="I281" si="153">ROUND((F281/2+G280+J278)*H281/12,2)</f>
        <v>14713.33</v>
      </c>
      <c r="J281" s="18">
        <f t="shared" si="142"/>
        <v>183829.07999999996</v>
      </c>
      <c r="K281" s="18">
        <f t="shared" si="139"/>
        <v>4948581.7300000004</v>
      </c>
      <c r="L281" s="600">
        <f t="shared" si="137"/>
        <v>922</v>
      </c>
      <c r="M281" s="46"/>
      <c r="N281" s="46"/>
      <c r="O281" s="46"/>
      <c r="P281" s="46"/>
      <c r="Q281" s="46"/>
    </row>
    <row r="282" spans="1:17" s="45" customFormat="1">
      <c r="A282" s="600">
        <f t="shared" si="140"/>
        <v>923</v>
      </c>
      <c r="B282" s="45" t="s">
        <v>84</v>
      </c>
      <c r="C282" s="50">
        <f t="shared" si="146"/>
        <v>2022</v>
      </c>
      <c r="D282" s="110" t="s">
        <v>109</v>
      </c>
      <c r="E282" s="110" t="s">
        <v>109</v>
      </c>
      <c r="F282" s="601">
        <v>0</v>
      </c>
      <c r="G282" s="601">
        <f t="shared" si="144"/>
        <v>4764752.6483482225</v>
      </c>
      <c r="H282" s="636">
        <f>$H$94</f>
        <v>4.9099999999999998E-2</v>
      </c>
      <c r="I282" s="18">
        <f t="shared" ref="I282" si="154">ROUND((F282/2+G281+J281)*H282/12,2)</f>
        <v>20247.95</v>
      </c>
      <c r="J282" s="18">
        <f t="shared" si="142"/>
        <v>204077.02999999997</v>
      </c>
      <c r="K282" s="18">
        <f t="shared" si="139"/>
        <v>4968829.68</v>
      </c>
      <c r="L282" s="600">
        <f t="shared" si="137"/>
        <v>923</v>
      </c>
      <c r="M282" s="46"/>
      <c r="N282" s="46"/>
      <c r="O282" s="46"/>
      <c r="P282" s="46"/>
      <c r="Q282" s="46"/>
    </row>
    <row r="283" spans="1:17" s="45" customFormat="1">
      <c r="A283" s="600">
        <f t="shared" si="140"/>
        <v>924</v>
      </c>
      <c r="B283" s="45" t="s">
        <v>85</v>
      </c>
      <c r="C283" s="50">
        <f t="shared" si="146"/>
        <v>2022</v>
      </c>
      <c r="D283" s="110" t="s">
        <v>109</v>
      </c>
      <c r="E283" s="110" t="s">
        <v>109</v>
      </c>
      <c r="F283" s="601">
        <v>0</v>
      </c>
      <c r="G283" s="601">
        <f t="shared" si="144"/>
        <v>4764752.6483482225</v>
      </c>
      <c r="H283" s="636">
        <f>$H$95</f>
        <v>4.9099999999999998E-2</v>
      </c>
      <c r="I283" s="18">
        <f t="shared" ref="I283" si="155">ROUND((F283/2+G282+J281)*H283/12,2)</f>
        <v>20247.95</v>
      </c>
      <c r="J283" s="18">
        <f t="shared" si="142"/>
        <v>224324.97999999998</v>
      </c>
      <c r="K283" s="18">
        <f t="shared" si="139"/>
        <v>4989077.63</v>
      </c>
      <c r="L283" s="600">
        <f t="shared" si="137"/>
        <v>924</v>
      </c>
      <c r="M283" s="46"/>
      <c r="N283" s="46"/>
      <c r="O283" s="46"/>
      <c r="P283" s="46"/>
      <c r="Q283" s="46"/>
    </row>
    <row r="284" spans="1:17" s="45" customFormat="1">
      <c r="A284" s="600">
        <f t="shared" si="140"/>
        <v>925</v>
      </c>
      <c r="B284" s="45" t="s">
        <v>75</v>
      </c>
      <c r="C284" s="50">
        <f t="shared" si="146"/>
        <v>2022</v>
      </c>
      <c r="D284" s="110" t="s">
        <v>109</v>
      </c>
      <c r="E284" s="110" t="s">
        <v>109</v>
      </c>
      <c r="F284" s="601">
        <v>0</v>
      </c>
      <c r="G284" s="601">
        <f t="shared" si="144"/>
        <v>4764752.6483482225</v>
      </c>
      <c r="H284" s="636">
        <f>$H$96</f>
        <v>4.9099999999999998E-2</v>
      </c>
      <c r="I284" s="18">
        <f t="shared" ref="I284" si="156">ROUND((F284/2+G283+J281)*H284/12,2)</f>
        <v>20247.95</v>
      </c>
      <c r="J284" s="18">
        <f t="shared" si="142"/>
        <v>244572.93</v>
      </c>
      <c r="K284" s="18">
        <f t="shared" si="139"/>
        <v>5009325.58</v>
      </c>
      <c r="L284" s="600">
        <f t="shared" si="137"/>
        <v>925</v>
      </c>
      <c r="M284" s="46"/>
      <c r="N284" s="46"/>
      <c r="O284" s="46"/>
      <c r="P284" s="46"/>
      <c r="Q284" s="46"/>
    </row>
    <row r="285" spans="1:17" s="45" customFormat="1">
      <c r="A285" s="600"/>
      <c r="C285" s="50"/>
      <c r="D285" s="110"/>
      <c r="E285" s="110"/>
      <c r="F285" s="601"/>
      <c r="G285" s="601"/>
      <c r="H285" s="602"/>
      <c r="I285" s="18"/>
      <c r="J285" s="18"/>
      <c r="K285" s="18"/>
      <c r="L285" s="600"/>
      <c r="M285" s="46"/>
      <c r="N285" s="46"/>
      <c r="O285" s="46"/>
      <c r="P285" s="46"/>
      <c r="Q285" s="46"/>
    </row>
    <row r="286" spans="1:17" s="45" customFormat="1">
      <c r="A286" s="600"/>
      <c r="B286" s="613" t="s">
        <v>882</v>
      </c>
      <c r="C286" s="626"/>
      <c r="D286" s="626"/>
      <c r="E286" s="626"/>
      <c r="F286" s="627"/>
      <c r="G286" s="626" t="s">
        <v>135</v>
      </c>
      <c r="H286" s="626"/>
      <c r="I286" s="626"/>
      <c r="J286" s="626"/>
      <c r="K286" s="628" t="s">
        <v>135</v>
      </c>
      <c r="L286" s="46"/>
      <c r="M286" s="46"/>
      <c r="N286" s="46"/>
      <c r="O286" s="46"/>
      <c r="P286" s="46"/>
      <c r="Q286" s="46"/>
    </row>
    <row r="287" spans="1:17" s="45" customFormat="1">
      <c r="B287" s="617" t="str">
        <f>B255</f>
        <v>WAPA (SA No. 17)</v>
      </c>
      <c r="C287" s="545"/>
      <c r="D287" s="176" t="s">
        <v>927</v>
      </c>
      <c r="E287" s="176" t="s">
        <v>927</v>
      </c>
      <c r="F287" s="176"/>
      <c r="G287" s="545" t="s">
        <v>766</v>
      </c>
      <c r="H287" s="545"/>
      <c r="I287" s="545"/>
      <c r="J287" s="545"/>
      <c r="K287" s="622" t="s">
        <v>766</v>
      </c>
      <c r="L287" s="46"/>
      <c r="M287" s="46"/>
      <c r="N287" s="46"/>
      <c r="O287" s="46"/>
      <c r="P287" s="46"/>
      <c r="Q287" s="46"/>
    </row>
    <row r="288" spans="1:17" s="45" customFormat="1">
      <c r="A288" s="600"/>
      <c r="B288" s="617"/>
      <c r="C288" s="545"/>
      <c r="D288" s="545" t="s">
        <v>71</v>
      </c>
      <c r="E288" s="545" t="s">
        <v>92</v>
      </c>
      <c r="F288" s="545" t="s">
        <v>124</v>
      </c>
      <c r="G288" s="545" t="s">
        <v>767</v>
      </c>
      <c r="H288" s="545" t="s">
        <v>185</v>
      </c>
      <c r="I288" s="545" t="s">
        <v>71</v>
      </c>
      <c r="J288" s="545" t="s">
        <v>132</v>
      </c>
      <c r="K288" s="622" t="s">
        <v>1061</v>
      </c>
      <c r="L288" s="46"/>
      <c r="M288" s="46"/>
      <c r="N288" s="46"/>
      <c r="O288" s="46"/>
      <c r="P288" s="46"/>
      <c r="Q288" s="46"/>
    </row>
    <row r="289" spans="1:17" s="45" customFormat="1">
      <c r="A289" s="600"/>
      <c r="B289" s="623" t="s">
        <v>58</v>
      </c>
      <c r="C289" s="624" t="s">
        <v>73</v>
      </c>
      <c r="D289" s="624" t="s">
        <v>1062</v>
      </c>
      <c r="E289" s="624" t="s">
        <v>121</v>
      </c>
      <c r="F289" s="624" t="s">
        <v>136</v>
      </c>
      <c r="G289" s="624" t="s">
        <v>123</v>
      </c>
      <c r="H289" s="624" t="s">
        <v>111</v>
      </c>
      <c r="I289" s="624" t="s">
        <v>72</v>
      </c>
      <c r="J289" s="624" t="s">
        <v>72</v>
      </c>
      <c r="K289" s="625" t="s">
        <v>74</v>
      </c>
      <c r="L289" s="46"/>
      <c r="M289" s="46"/>
      <c r="N289" s="46"/>
      <c r="O289" s="46"/>
      <c r="P289" s="46"/>
      <c r="Q289" s="46"/>
    </row>
    <row r="290" spans="1:17" s="45" customFormat="1">
      <c r="A290" s="600">
        <f>A284+1</f>
        <v>926</v>
      </c>
      <c r="B290" s="45" t="s">
        <v>75</v>
      </c>
      <c r="C290" s="50">
        <f>C291-1</f>
        <v>2020</v>
      </c>
      <c r="D290" s="110" t="s">
        <v>109</v>
      </c>
      <c r="E290" s="110" t="s">
        <v>109</v>
      </c>
      <c r="F290" s="47" t="s">
        <v>109</v>
      </c>
      <c r="G290" s="59">
        <v>0</v>
      </c>
      <c r="H290" s="47" t="s">
        <v>109</v>
      </c>
      <c r="I290" s="47" t="s">
        <v>109</v>
      </c>
      <c r="J290" s="59">
        <v>0</v>
      </c>
      <c r="K290" s="18">
        <f>ROUND((G290+J290),2)</f>
        <v>0</v>
      </c>
      <c r="L290" s="600">
        <f t="shared" ref="L290:L314" si="157">A290</f>
        <v>926</v>
      </c>
      <c r="M290" s="46"/>
      <c r="N290" s="46"/>
      <c r="O290" s="46"/>
      <c r="P290" s="46"/>
      <c r="Q290" s="46"/>
    </row>
    <row r="291" spans="1:17" s="45" customFormat="1">
      <c r="A291" s="600">
        <f>A290+1</f>
        <v>927</v>
      </c>
      <c r="B291" s="45" t="s">
        <v>76</v>
      </c>
      <c r="C291" s="50">
        <f>'1-DRR'!$K$2</f>
        <v>2021</v>
      </c>
      <c r="D291" s="579" t="str">
        <f>IF(E291="N/A","N/A",'3-ATA'!$E$49*'9-WholesaleRevenues'!E66)</f>
        <v>N/A</v>
      </c>
      <c r="E291" s="579" t="str">
        <f>IF('9-WholesaleRevenues'!E99="N/A","N/A",'9-WholesaleRevenues'!E99)</f>
        <v>N/A</v>
      </c>
      <c r="F291" s="601">
        <f t="shared" ref="F291:F302" si="158">IF(E291="N/A",0,D291-E291)</f>
        <v>0</v>
      </c>
      <c r="G291" s="601">
        <f>F291+G290</f>
        <v>0</v>
      </c>
      <c r="H291" s="636">
        <f>$H$73</f>
        <v>3.2500000000000001E-2</v>
      </c>
      <c r="I291" s="18">
        <f>IF(E291="N/A",0,ROUND((F291/2+G290+J290)*H291/12,2))</f>
        <v>0</v>
      </c>
      <c r="J291" s="18">
        <f>I291+J290</f>
        <v>0</v>
      </c>
      <c r="K291" s="18">
        <f t="shared" ref="K291:K314" si="159">ROUND((G291+J291),2)</f>
        <v>0</v>
      </c>
      <c r="L291" s="600">
        <f t="shared" si="157"/>
        <v>927</v>
      </c>
      <c r="M291" s="46"/>
      <c r="N291" s="46"/>
      <c r="O291" s="46"/>
      <c r="P291" s="46"/>
      <c r="Q291" s="46"/>
    </row>
    <row r="292" spans="1:17" s="45" customFormat="1">
      <c r="A292" s="600">
        <f t="shared" ref="A292:A313" si="160">A291+1</f>
        <v>928</v>
      </c>
      <c r="B292" s="45" t="s">
        <v>77</v>
      </c>
      <c r="C292" s="50">
        <f>'1-DRR'!$K$2</f>
        <v>2021</v>
      </c>
      <c r="D292" s="579" t="str">
        <f>IF(E292="N/A","N/A",'3-ATA'!$E$49*'9-WholesaleRevenues'!E67)</f>
        <v>N/A</v>
      </c>
      <c r="E292" s="579" t="str">
        <f>IF('9-WholesaleRevenues'!E100="N/A","N/A",'9-WholesaleRevenues'!E100)</f>
        <v>N/A</v>
      </c>
      <c r="F292" s="601">
        <f t="shared" si="158"/>
        <v>0</v>
      </c>
      <c r="G292" s="601">
        <f t="shared" ref="G292:G302" si="161">F292+G291</f>
        <v>0</v>
      </c>
      <c r="H292" s="636">
        <f>$H$74</f>
        <v>3.2500000000000001E-2</v>
      </c>
      <c r="I292" s="18">
        <f>IF(E292="N/A",0,ROUND((F292/2+G291+J290)*H292/12,2))</f>
        <v>0</v>
      </c>
      <c r="J292" s="18">
        <f>I292+J291</f>
        <v>0</v>
      </c>
      <c r="K292" s="18">
        <f t="shared" si="159"/>
        <v>0</v>
      </c>
      <c r="L292" s="600">
        <f t="shared" si="157"/>
        <v>928</v>
      </c>
      <c r="M292" s="46"/>
      <c r="N292" s="46"/>
      <c r="O292" s="46"/>
      <c r="P292" s="46"/>
      <c r="Q292" s="46"/>
    </row>
    <row r="293" spans="1:17" s="45" customFormat="1">
      <c r="A293" s="600">
        <f t="shared" si="160"/>
        <v>929</v>
      </c>
      <c r="B293" s="45" t="s">
        <v>78</v>
      </c>
      <c r="C293" s="50">
        <f>'1-DRR'!$K$2</f>
        <v>2021</v>
      </c>
      <c r="D293" s="579" t="str">
        <f>IF(E293="N/A","N/A",'3-ATA'!$E$49*'9-WholesaleRevenues'!E68)</f>
        <v>N/A</v>
      </c>
      <c r="E293" s="579" t="str">
        <f>IF('9-WholesaleRevenues'!E101="N/A","N/A",'9-WholesaleRevenues'!E101)</f>
        <v>N/A</v>
      </c>
      <c r="F293" s="601">
        <f t="shared" si="158"/>
        <v>0</v>
      </c>
      <c r="G293" s="601">
        <f t="shared" si="161"/>
        <v>0</v>
      </c>
      <c r="H293" s="636">
        <f>$H$75</f>
        <v>3.2500000000000001E-2</v>
      </c>
      <c r="I293" s="18">
        <f>IF(E293="N/A",0,ROUND((F293/2+G292+J290)*H293/12,2))</f>
        <v>0</v>
      </c>
      <c r="J293" s="18">
        <f>I293+J292</f>
        <v>0</v>
      </c>
      <c r="K293" s="18">
        <f t="shared" si="159"/>
        <v>0</v>
      </c>
      <c r="L293" s="600">
        <f t="shared" si="157"/>
        <v>929</v>
      </c>
      <c r="M293" s="46"/>
      <c r="N293" s="46"/>
      <c r="O293" s="46"/>
      <c r="P293" s="46"/>
      <c r="Q293" s="46"/>
    </row>
    <row r="294" spans="1:17" s="45" customFormat="1">
      <c r="A294" s="600">
        <f t="shared" si="160"/>
        <v>930</v>
      </c>
      <c r="B294" s="45" t="s">
        <v>79</v>
      </c>
      <c r="C294" s="50">
        <f>'1-DRR'!$K$2</f>
        <v>2021</v>
      </c>
      <c r="D294" s="579" t="str">
        <f>IF(E294="N/A","N/A",'3-ATA'!$E$49*'9-WholesaleRevenues'!E69)</f>
        <v>N/A</v>
      </c>
      <c r="E294" s="579" t="str">
        <f>IF('9-WholesaleRevenues'!E102="N/A","N/A",'9-WholesaleRevenues'!E102)</f>
        <v>N/A</v>
      </c>
      <c r="F294" s="601">
        <f t="shared" si="158"/>
        <v>0</v>
      </c>
      <c r="G294" s="601">
        <f t="shared" si="161"/>
        <v>0</v>
      </c>
      <c r="H294" s="636">
        <f>$H$76</f>
        <v>3.2500000000000001E-2</v>
      </c>
      <c r="I294" s="18">
        <f>IF(E294="N/A",0,ROUND((F294/2+G293+J293)*H294/12,2))</f>
        <v>0</v>
      </c>
      <c r="J294" s="18">
        <f t="shared" ref="J294:J313" si="162">I294+J293</f>
        <v>0</v>
      </c>
      <c r="K294" s="18">
        <f t="shared" si="159"/>
        <v>0</v>
      </c>
      <c r="L294" s="600">
        <f t="shared" si="157"/>
        <v>930</v>
      </c>
      <c r="M294" s="46"/>
      <c r="N294" s="46"/>
      <c r="O294" s="46"/>
      <c r="P294" s="46"/>
      <c r="Q294" s="46"/>
    </row>
    <row r="295" spans="1:17" s="45" customFormat="1">
      <c r="A295" s="600">
        <f t="shared" si="160"/>
        <v>931</v>
      </c>
      <c r="B295" s="45" t="s">
        <v>61</v>
      </c>
      <c r="C295" s="50">
        <f>'1-DRR'!$K$2</f>
        <v>2021</v>
      </c>
      <c r="D295" s="579" t="str">
        <f>IF(E295="N/A","N/A",'3-ATA'!$E$49*'9-WholesaleRevenues'!E70)</f>
        <v>N/A</v>
      </c>
      <c r="E295" s="579" t="str">
        <f>IF('9-WholesaleRevenues'!E103="N/A","N/A",'9-WholesaleRevenues'!E103)</f>
        <v>N/A</v>
      </c>
      <c r="F295" s="601">
        <f t="shared" si="158"/>
        <v>0</v>
      </c>
      <c r="G295" s="601">
        <f t="shared" si="161"/>
        <v>0</v>
      </c>
      <c r="H295" s="636">
        <f>$H$77</f>
        <v>3.2500000000000001E-2</v>
      </c>
      <c r="I295" s="18">
        <f>IF(E295="N/A",0,ROUND((F295/2+G294+J293)*H295/12,2))</f>
        <v>0</v>
      </c>
      <c r="J295" s="18">
        <f t="shared" si="162"/>
        <v>0</v>
      </c>
      <c r="K295" s="18">
        <f t="shared" si="159"/>
        <v>0</v>
      </c>
      <c r="L295" s="600">
        <f t="shared" si="157"/>
        <v>931</v>
      </c>
      <c r="M295" s="46"/>
      <c r="N295" s="46"/>
      <c r="O295" s="46"/>
      <c r="P295" s="46"/>
      <c r="Q295" s="46"/>
    </row>
    <row r="296" spans="1:17" s="45" customFormat="1">
      <c r="A296" s="600">
        <f t="shared" si="160"/>
        <v>932</v>
      </c>
      <c r="B296" s="45" t="s">
        <v>80</v>
      </c>
      <c r="C296" s="50">
        <f>'1-DRR'!$K$2</f>
        <v>2021</v>
      </c>
      <c r="D296" s="579">
        <f>IF(E296="N/A","N/A",'3-ATA'!$E$49*'9-WholesaleRevenues'!E71)</f>
        <v>1315646.9507120079</v>
      </c>
      <c r="E296" s="579">
        <f>IF('9-WholesaleRevenues'!E104="N/A","N/A",'9-WholesaleRevenues'!E104)</f>
        <v>572779.28</v>
      </c>
      <c r="F296" s="601">
        <f t="shared" si="158"/>
        <v>742867.67071200791</v>
      </c>
      <c r="G296" s="601">
        <f t="shared" si="161"/>
        <v>742867.67071200791</v>
      </c>
      <c r="H296" s="636">
        <f>$H$78</f>
        <v>3.2500000000000001E-2</v>
      </c>
      <c r="I296" s="18">
        <f>IF(E296="N/A",0,ROUND((F296/2+G295+J293)*H296/12,2))</f>
        <v>1005.97</v>
      </c>
      <c r="J296" s="18">
        <f t="shared" si="162"/>
        <v>1005.97</v>
      </c>
      <c r="K296" s="18">
        <f t="shared" si="159"/>
        <v>743873.64</v>
      </c>
      <c r="L296" s="600">
        <f t="shared" si="157"/>
        <v>932</v>
      </c>
      <c r="M296" s="46"/>
      <c r="N296" s="46"/>
      <c r="O296" s="46"/>
      <c r="P296" s="46"/>
      <c r="Q296" s="46"/>
    </row>
    <row r="297" spans="1:17" s="45" customFormat="1">
      <c r="A297" s="600">
        <f t="shared" si="160"/>
        <v>933</v>
      </c>
      <c r="B297" s="45" t="s">
        <v>81</v>
      </c>
      <c r="C297" s="50">
        <f>'1-DRR'!$K$2</f>
        <v>2021</v>
      </c>
      <c r="D297" s="579">
        <f>IF(E297="N/A","N/A",'3-ATA'!$E$49*'9-WholesaleRevenues'!E72)</f>
        <v>1276894.3458322941</v>
      </c>
      <c r="E297" s="579">
        <f>IF('9-WholesaleRevenues'!E105="N/A","N/A",'9-WholesaleRevenues'!E105)</f>
        <v>463514.42000000004</v>
      </c>
      <c r="F297" s="601">
        <f t="shared" si="158"/>
        <v>813379.92583229404</v>
      </c>
      <c r="G297" s="601">
        <f t="shared" si="161"/>
        <v>1556247.5965443021</v>
      </c>
      <c r="H297" s="636">
        <f>$H$79</f>
        <v>3.2500000000000001E-2</v>
      </c>
      <c r="I297" s="18">
        <f>IF(E297="N/A",0,ROUND((F297/2+G296+J296)*H297/12,2))</f>
        <v>3116.11</v>
      </c>
      <c r="J297" s="18">
        <f t="shared" si="162"/>
        <v>4122.08</v>
      </c>
      <c r="K297" s="18">
        <f t="shared" si="159"/>
        <v>1560369.68</v>
      </c>
      <c r="L297" s="600">
        <f t="shared" si="157"/>
        <v>933</v>
      </c>
      <c r="M297" s="46"/>
      <c r="N297" s="46"/>
      <c r="O297" s="46"/>
      <c r="P297" s="46"/>
      <c r="Q297" s="46"/>
    </row>
    <row r="298" spans="1:17" s="45" customFormat="1">
      <c r="A298" s="600">
        <f t="shared" si="160"/>
        <v>934</v>
      </c>
      <c r="B298" s="45" t="s">
        <v>82</v>
      </c>
      <c r="C298" s="50">
        <f>'1-DRR'!$K$2</f>
        <v>2021</v>
      </c>
      <c r="D298" s="579">
        <f>IF(E298="N/A","N/A",'3-ATA'!$E$49*'9-WholesaleRevenues'!E73)</f>
        <v>1196026.579263876</v>
      </c>
      <c r="E298" s="579">
        <f>IF('9-WholesaleRevenues'!E106="N/A","N/A",'9-WholesaleRevenues'!E106)</f>
        <v>518146.85000000003</v>
      </c>
      <c r="F298" s="601">
        <f t="shared" si="158"/>
        <v>677879.72926387587</v>
      </c>
      <c r="G298" s="601">
        <f t="shared" si="161"/>
        <v>2234127.3258081777</v>
      </c>
      <c r="H298" s="636">
        <f>$H$80</f>
        <v>3.2500000000000001E-2</v>
      </c>
      <c r="I298" s="18">
        <f>IF(E298="N/A",0,ROUND((F298/2+G297+J296)*H298/12,2))</f>
        <v>5135.5200000000004</v>
      </c>
      <c r="J298" s="18">
        <f t="shared" si="162"/>
        <v>9257.6</v>
      </c>
      <c r="K298" s="18">
        <f t="shared" si="159"/>
        <v>2243384.9300000002</v>
      </c>
      <c r="L298" s="600">
        <f t="shared" si="157"/>
        <v>934</v>
      </c>
      <c r="M298" s="46"/>
      <c r="N298" s="46"/>
      <c r="O298" s="46"/>
      <c r="P298" s="46"/>
      <c r="Q298" s="46"/>
    </row>
    <row r="299" spans="1:17" s="45" customFormat="1">
      <c r="A299" s="600">
        <f t="shared" si="160"/>
        <v>935</v>
      </c>
      <c r="B299" s="45" t="s">
        <v>83</v>
      </c>
      <c r="C299" s="50">
        <f>'1-DRR'!$K$2</f>
        <v>2021</v>
      </c>
      <c r="D299" s="579">
        <f>IF(E299="N/A","N/A",'3-ATA'!$E$49*'9-WholesaleRevenues'!E74)</f>
        <v>1153147.0048858083</v>
      </c>
      <c r="E299" s="579">
        <f>IF('9-WholesaleRevenues'!E107="N/A","N/A",'9-WholesaleRevenues'!E107)</f>
        <v>517906.53</v>
      </c>
      <c r="F299" s="601">
        <f t="shared" si="158"/>
        <v>635240.4748858083</v>
      </c>
      <c r="G299" s="601">
        <f t="shared" si="161"/>
        <v>2869367.800693986</v>
      </c>
      <c r="H299" s="636">
        <f>$H$81</f>
        <v>3.2500000000000001E-2</v>
      </c>
      <c r="I299" s="18">
        <f>IF(E299="N/A",0,ROUND((F299/2+G298+J296)*H299/12,2))</f>
        <v>6913.71</v>
      </c>
      <c r="J299" s="18">
        <f t="shared" si="162"/>
        <v>16171.310000000001</v>
      </c>
      <c r="K299" s="18">
        <f t="shared" si="159"/>
        <v>2885539.11</v>
      </c>
      <c r="L299" s="600">
        <f t="shared" si="157"/>
        <v>935</v>
      </c>
      <c r="M299" s="46"/>
      <c r="N299" s="46"/>
      <c r="O299" s="46"/>
      <c r="P299" s="46"/>
      <c r="Q299" s="46"/>
    </row>
    <row r="300" spans="1:17" s="45" customFormat="1">
      <c r="A300" s="600">
        <f t="shared" si="160"/>
        <v>936</v>
      </c>
      <c r="B300" s="45" t="s">
        <v>84</v>
      </c>
      <c r="C300" s="50">
        <f>'1-DRR'!$K$2</f>
        <v>2021</v>
      </c>
      <c r="D300" s="579">
        <f>IF(E300="N/A","N/A",'3-ATA'!$E$49*'9-WholesaleRevenues'!E75)</f>
        <v>1002182.0910097113</v>
      </c>
      <c r="E300" s="579">
        <f>IF('9-WholesaleRevenues'!E108="N/A","N/A",'9-WholesaleRevenues'!E108)</f>
        <v>519651.77000000014</v>
      </c>
      <c r="F300" s="601">
        <f t="shared" si="158"/>
        <v>482530.32100971113</v>
      </c>
      <c r="G300" s="601">
        <f t="shared" si="161"/>
        <v>3351898.1217036974</v>
      </c>
      <c r="H300" s="636">
        <f>$H$82</f>
        <v>3.2500000000000001E-2</v>
      </c>
      <c r="I300" s="18">
        <f>IF(E300="N/A",0,ROUND((F300/2+G299+J299)*H300/12,2))</f>
        <v>8468.43</v>
      </c>
      <c r="J300" s="18">
        <f t="shared" si="162"/>
        <v>24639.74</v>
      </c>
      <c r="K300" s="18">
        <f t="shared" si="159"/>
        <v>3376537.86</v>
      </c>
      <c r="L300" s="600">
        <f t="shared" si="157"/>
        <v>936</v>
      </c>
      <c r="M300" s="46"/>
      <c r="N300" s="46"/>
      <c r="O300" s="46"/>
      <c r="P300" s="46"/>
      <c r="Q300" s="46"/>
    </row>
    <row r="301" spans="1:17" s="45" customFormat="1">
      <c r="A301" s="600">
        <f t="shared" si="160"/>
        <v>937</v>
      </c>
      <c r="B301" s="45" t="s">
        <v>85</v>
      </c>
      <c r="C301" s="50">
        <f>'1-DRR'!$K$2</f>
        <v>2021</v>
      </c>
      <c r="D301" s="579">
        <f>IF(E301="N/A","N/A",'3-ATA'!$E$49*'9-WholesaleRevenues'!E76)</f>
        <v>804743.63236664422</v>
      </c>
      <c r="E301" s="579">
        <f>IF('9-WholesaleRevenues'!E109="N/A","N/A",'9-WholesaleRevenues'!E109)</f>
        <v>518399.77</v>
      </c>
      <c r="F301" s="601">
        <f t="shared" si="158"/>
        <v>286343.8623666442</v>
      </c>
      <c r="G301" s="601">
        <f t="shared" si="161"/>
        <v>3638241.9840703416</v>
      </c>
      <c r="H301" s="636">
        <f>$H$83</f>
        <v>3.2500000000000001E-2</v>
      </c>
      <c r="I301" s="18">
        <f>IF(E301="N/A",0,ROUND((F301/2+G300+J299)*H301/12,2))</f>
        <v>9509.61</v>
      </c>
      <c r="J301" s="18">
        <f t="shared" si="162"/>
        <v>34149.350000000006</v>
      </c>
      <c r="K301" s="18">
        <f t="shared" si="159"/>
        <v>3672391.33</v>
      </c>
      <c r="L301" s="600">
        <f t="shared" si="157"/>
        <v>937</v>
      </c>
      <c r="M301" s="46"/>
      <c r="N301" s="46"/>
      <c r="O301" s="46"/>
      <c r="P301" s="46"/>
      <c r="Q301" s="46"/>
    </row>
    <row r="302" spans="1:17" s="45" customFormat="1">
      <c r="A302" s="600">
        <f t="shared" si="160"/>
        <v>938</v>
      </c>
      <c r="B302" s="45" t="s">
        <v>75</v>
      </c>
      <c r="C302" s="50">
        <f>'1-DRR'!$K$2</f>
        <v>2021</v>
      </c>
      <c r="D302" s="579">
        <f>IF(E302="N/A","N/A",'3-ATA'!$E$49*'9-WholesaleRevenues'!E77)</f>
        <v>815006.14208854409</v>
      </c>
      <c r="E302" s="579">
        <f>IF('9-WholesaleRevenues'!E110="N/A","N/A",'9-WholesaleRevenues'!E110)</f>
        <v>518399.77</v>
      </c>
      <c r="F302" s="601">
        <f t="shared" si="158"/>
        <v>296606.37208854407</v>
      </c>
      <c r="G302" s="601">
        <f t="shared" si="161"/>
        <v>3934848.3561588856</v>
      </c>
      <c r="H302" s="636">
        <f>$H$84</f>
        <v>3.2500000000000001E-2</v>
      </c>
      <c r="I302" s="18">
        <f>IF(E302="N/A",0,ROUND((F302/2+G301+J299)*H302/12,2))</f>
        <v>10299.02</v>
      </c>
      <c r="J302" s="18">
        <f t="shared" si="162"/>
        <v>44448.37000000001</v>
      </c>
      <c r="K302" s="18">
        <f t="shared" si="159"/>
        <v>3979296.73</v>
      </c>
      <c r="L302" s="600">
        <f t="shared" si="157"/>
        <v>938</v>
      </c>
      <c r="M302" s="46"/>
      <c r="N302" s="46"/>
      <c r="O302" s="46"/>
      <c r="P302" s="46"/>
      <c r="Q302" s="46"/>
    </row>
    <row r="303" spans="1:17" s="45" customFormat="1">
      <c r="A303" s="600">
        <f t="shared" si="160"/>
        <v>939</v>
      </c>
      <c r="B303" s="45" t="s">
        <v>76</v>
      </c>
      <c r="C303" s="50">
        <f>C302+1</f>
        <v>2022</v>
      </c>
      <c r="D303" s="110" t="s">
        <v>109</v>
      </c>
      <c r="E303" s="110" t="s">
        <v>109</v>
      </c>
      <c r="F303" s="601">
        <v>0</v>
      </c>
      <c r="G303" s="601">
        <f>F303+G302</f>
        <v>3934848.3561588856</v>
      </c>
      <c r="H303" s="636">
        <f>$H$85</f>
        <v>3.2500000000000001E-2</v>
      </c>
      <c r="I303" s="18">
        <f t="shared" ref="I303" si="163">ROUND((F303/2+G302+J302)*H303/12,2)</f>
        <v>10777.26</v>
      </c>
      <c r="J303" s="18">
        <f t="shared" si="162"/>
        <v>55225.630000000012</v>
      </c>
      <c r="K303" s="18">
        <f t="shared" si="159"/>
        <v>3990073.99</v>
      </c>
      <c r="L303" s="600">
        <f t="shared" si="157"/>
        <v>939</v>
      </c>
      <c r="M303" s="46"/>
      <c r="N303" s="46"/>
      <c r="O303" s="46"/>
      <c r="P303" s="46"/>
      <c r="Q303" s="46"/>
    </row>
    <row r="304" spans="1:17" s="45" customFormat="1">
      <c r="A304" s="600">
        <f t="shared" si="160"/>
        <v>940</v>
      </c>
      <c r="B304" s="45" t="s">
        <v>77</v>
      </c>
      <c r="C304" s="50">
        <f>C303</f>
        <v>2022</v>
      </c>
      <c r="D304" s="110" t="s">
        <v>109</v>
      </c>
      <c r="E304" s="110" t="s">
        <v>109</v>
      </c>
      <c r="F304" s="601">
        <v>0</v>
      </c>
      <c r="G304" s="601">
        <f t="shared" ref="G304:G313" si="164">F304+G303</f>
        <v>3934848.3561588856</v>
      </c>
      <c r="H304" s="636">
        <f>$H$86</f>
        <v>3.2500000000000001E-2</v>
      </c>
      <c r="I304" s="18">
        <f t="shared" ref="I304" si="165">ROUND((F304/2+G303+J302)*H304/12,2)</f>
        <v>10777.26</v>
      </c>
      <c r="J304" s="18">
        <f t="shared" si="162"/>
        <v>66002.890000000014</v>
      </c>
      <c r="K304" s="18">
        <f t="shared" si="159"/>
        <v>4000851.25</v>
      </c>
      <c r="L304" s="600">
        <f t="shared" si="157"/>
        <v>940</v>
      </c>
      <c r="M304" s="46"/>
      <c r="N304" s="46"/>
      <c r="O304" s="46"/>
      <c r="P304" s="46"/>
      <c r="Q304" s="46"/>
    </row>
    <row r="305" spans="1:17" s="45" customFormat="1">
      <c r="A305" s="600">
        <f t="shared" si="160"/>
        <v>941</v>
      </c>
      <c r="B305" s="45" t="s">
        <v>78</v>
      </c>
      <c r="C305" s="50">
        <f t="shared" ref="C305:C313" si="166">C304</f>
        <v>2022</v>
      </c>
      <c r="D305" s="110" t="s">
        <v>109</v>
      </c>
      <c r="E305" s="110" t="s">
        <v>109</v>
      </c>
      <c r="F305" s="601">
        <v>0</v>
      </c>
      <c r="G305" s="601">
        <f t="shared" si="164"/>
        <v>3934848.3561588856</v>
      </c>
      <c r="H305" s="636">
        <f>$H$87</f>
        <v>3.2500000000000001E-2</v>
      </c>
      <c r="I305" s="18">
        <f t="shared" ref="I305" si="167">ROUND((F305/2+G304+J302)*H305/12,2)</f>
        <v>10777.26</v>
      </c>
      <c r="J305" s="18">
        <f t="shared" si="162"/>
        <v>76780.150000000009</v>
      </c>
      <c r="K305" s="18">
        <f t="shared" si="159"/>
        <v>4011628.51</v>
      </c>
      <c r="L305" s="600">
        <f t="shared" si="157"/>
        <v>941</v>
      </c>
      <c r="M305" s="46"/>
      <c r="N305" s="46"/>
      <c r="O305" s="46"/>
      <c r="P305" s="46"/>
      <c r="Q305" s="46"/>
    </row>
    <row r="306" spans="1:17" s="45" customFormat="1">
      <c r="A306" s="600">
        <f t="shared" si="160"/>
        <v>942</v>
      </c>
      <c r="B306" s="45" t="s">
        <v>79</v>
      </c>
      <c r="C306" s="50">
        <f t="shared" si="166"/>
        <v>2022</v>
      </c>
      <c r="D306" s="110" t="s">
        <v>109</v>
      </c>
      <c r="E306" s="110" t="s">
        <v>109</v>
      </c>
      <c r="F306" s="601">
        <v>0</v>
      </c>
      <c r="G306" s="601">
        <f t="shared" si="164"/>
        <v>3934848.3561588856</v>
      </c>
      <c r="H306" s="636">
        <f>$H$88</f>
        <v>3.2500000000000001E-2</v>
      </c>
      <c r="I306" s="18">
        <f t="shared" ref="I306" si="168">ROUND((F306/2+G305+J305)*H306/12,2)</f>
        <v>10864.83</v>
      </c>
      <c r="J306" s="18">
        <f t="shared" si="162"/>
        <v>87644.98000000001</v>
      </c>
      <c r="K306" s="18">
        <f t="shared" si="159"/>
        <v>4022493.34</v>
      </c>
      <c r="L306" s="600">
        <f t="shared" si="157"/>
        <v>942</v>
      </c>
      <c r="M306" s="46"/>
      <c r="N306" s="46"/>
      <c r="O306" s="46"/>
      <c r="P306" s="46"/>
      <c r="Q306" s="46"/>
    </row>
    <row r="307" spans="1:17" s="45" customFormat="1">
      <c r="A307" s="600">
        <f t="shared" si="160"/>
        <v>943</v>
      </c>
      <c r="B307" s="45" t="s">
        <v>61</v>
      </c>
      <c r="C307" s="50">
        <f t="shared" si="166"/>
        <v>2022</v>
      </c>
      <c r="D307" s="110" t="s">
        <v>109</v>
      </c>
      <c r="E307" s="110" t="s">
        <v>109</v>
      </c>
      <c r="F307" s="601">
        <v>0</v>
      </c>
      <c r="G307" s="601">
        <f t="shared" si="164"/>
        <v>3934848.3561588856</v>
      </c>
      <c r="H307" s="636">
        <f>$H$89</f>
        <v>3.2500000000000001E-2</v>
      </c>
      <c r="I307" s="18">
        <f t="shared" ref="I307" si="169">ROUND((F307/2+G306+J305)*H307/12,2)</f>
        <v>10864.83</v>
      </c>
      <c r="J307" s="18">
        <f t="shared" si="162"/>
        <v>98509.810000000012</v>
      </c>
      <c r="K307" s="18">
        <f t="shared" si="159"/>
        <v>4033358.17</v>
      </c>
      <c r="L307" s="600">
        <f t="shared" si="157"/>
        <v>943</v>
      </c>
      <c r="M307" s="46"/>
      <c r="N307" s="46"/>
      <c r="O307" s="46"/>
      <c r="P307" s="46"/>
      <c r="Q307" s="46"/>
    </row>
    <row r="308" spans="1:17" s="45" customFormat="1">
      <c r="A308" s="600">
        <f t="shared" si="160"/>
        <v>944</v>
      </c>
      <c r="B308" s="45" t="s">
        <v>80</v>
      </c>
      <c r="C308" s="50">
        <f t="shared" si="166"/>
        <v>2022</v>
      </c>
      <c r="D308" s="110" t="s">
        <v>109</v>
      </c>
      <c r="E308" s="110" t="s">
        <v>109</v>
      </c>
      <c r="F308" s="601">
        <v>0</v>
      </c>
      <c r="G308" s="601">
        <f t="shared" si="164"/>
        <v>3934848.3561588856</v>
      </c>
      <c r="H308" s="636">
        <f>$H$90</f>
        <v>3.2500000000000001E-2</v>
      </c>
      <c r="I308" s="18">
        <f t="shared" ref="I308" si="170">ROUND((F308/2+G307+J305)*H308/12,2)</f>
        <v>10864.83</v>
      </c>
      <c r="J308" s="18">
        <f t="shared" si="162"/>
        <v>109374.64000000001</v>
      </c>
      <c r="K308" s="18">
        <f t="shared" si="159"/>
        <v>4044223</v>
      </c>
      <c r="L308" s="600">
        <f t="shared" si="157"/>
        <v>944</v>
      </c>
      <c r="M308" s="46"/>
      <c r="N308" s="46"/>
      <c r="O308" s="46"/>
      <c r="P308" s="46"/>
      <c r="Q308" s="46"/>
    </row>
    <row r="309" spans="1:17" s="45" customFormat="1">
      <c r="A309" s="600">
        <f t="shared" si="160"/>
        <v>945</v>
      </c>
      <c r="B309" s="45" t="s">
        <v>81</v>
      </c>
      <c r="C309" s="50">
        <f t="shared" si="166"/>
        <v>2022</v>
      </c>
      <c r="D309" s="110" t="s">
        <v>109</v>
      </c>
      <c r="E309" s="110" t="s">
        <v>109</v>
      </c>
      <c r="F309" s="601">
        <v>0</v>
      </c>
      <c r="G309" s="601">
        <f t="shared" si="164"/>
        <v>3934848.3561588856</v>
      </c>
      <c r="H309" s="636">
        <f>$H$91</f>
        <v>3.5999999999999997E-2</v>
      </c>
      <c r="I309" s="18">
        <f t="shared" ref="I309" si="171">ROUND((F309/2+G308+J308)*H309/12,2)</f>
        <v>12132.67</v>
      </c>
      <c r="J309" s="18">
        <f t="shared" si="162"/>
        <v>121507.31000000001</v>
      </c>
      <c r="K309" s="18">
        <f t="shared" si="159"/>
        <v>4056355.67</v>
      </c>
      <c r="L309" s="600">
        <f t="shared" si="157"/>
        <v>945</v>
      </c>
      <c r="M309" s="46"/>
      <c r="N309" s="46"/>
      <c r="O309" s="46"/>
      <c r="P309" s="46"/>
      <c r="Q309" s="46"/>
    </row>
    <row r="310" spans="1:17" s="45" customFormat="1">
      <c r="A310" s="600">
        <f t="shared" si="160"/>
        <v>946</v>
      </c>
      <c r="B310" s="45" t="s">
        <v>82</v>
      </c>
      <c r="C310" s="50">
        <f t="shared" si="166"/>
        <v>2022</v>
      </c>
      <c r="D310" s="110" t="s">
        <v>109</v>
      </c>
      <c r="E310" s="110" t="s">
        <v>109</v>
      </c>
      <c r="F310" s="601">
        <v>0</v>
      </c>
      <c r="G310" s="601">
        <f t="shared" si="164"/>
        <v>3934848.3561588856</v>
      </c>
      <c r="H310" s="636">
        <f>$H$92</f>
        <v>3.5999999999999997E-2</v>
      </c>
      <c r="I310" s="18">
        <f t="shared" ref="I310" si="172">ROUND((F310/2+G309+J308)*H310/12,2)</f>
        <v>12132.67</v>
      </c>
      <c r="J310" s="18">
        <f t="shared" si="162"/>
        <v>133639.98000000001</v>
      </c>
      <c r="K310" s="18">
        <f t="shared" si="159"/>
        <v>4068488.34</v>
      </c>
      <c r="L310" s="600">
        <f t="shared" si="157"/>
        <v>946</v>
      </c>
      <c r="M310" s="46"/>
      <c r="N310" s="46"/>
      <c r="O310" s="46"/>
      <c r="P310" s="46"/>
      <c r="Q310" s="46"/>
    </row>
    <row r="311" spans="1:17" s="45" customFormat="1">
      <c r="A311" s="600">
        <f t="shared" si="160"/>
        <v>947</v>
      </c>
      <c r="B311" s="45" t="s">
        <v>83</v>
      </c>
      <c r="C311" s="50">
        <f t="shared" si="166"/>
        <v>2022</v>
      </c>
      <c r="D311" s="110" t="s">
        <v>109</v>
      </c>
      <c r="E311" s="110" t="s">
        <v>109</v>
      </c>
      <c r="F311" s="601">
        <v>0</v>
      </c>
      <c r="G311" s="601">
        <f t="shared" si="164"/>
        <v>3934848.3561588856</v>
      </c>
      <c r="H311" s="636">
        <f>$H$93</f>
        <v>3.5999999999999997E-2</v>
      </c>
      <c r="I311" s="18">
        <f t="shared" ref="I311" si="173">ROUND((F311/2+G310+J308)*H311/12,2)</f>
        <v>12132.67</v>
      </c>
      <c r="J311" s="18">
        <f t="shared" si="162"/>
        <v>145772.65000000002</v>
      </c>
      <c r="K311" s="18">
        <f t="shared" si="159"/>
        <v>4080621.01</v>
      </c>
      <c r="L311" s="600">
        <f t="shared" si="157"/>
        <v>947</v>
      </c>
      <c r="M311" s="46"/>
      <c r="N311" s="46"/>
      <c r="O311" s="46"/>
      <c r="P311" s="46"/>
      <c r="Q311" s="46"/>
    </row>
    <row r="312" spans="1:17" s="45" customFormat="1">
      <c r="A312" s="600">
        <f t="shared" si="160"/>
        <v>948</v>
      </c>
      <c r="B312" s="45" t="s">
        <v>84</v>
      </c>
      <c r="C312" s="50">
        <f t="shared" si="166"/>
        <v>2022</v>
      </c>
      <c r="D312" s="110" t="s">
        <v>109</v>
      </c>
      <c r="E312" s="110" t="s">
        <v>109</v>
      </c>
      <c r="F312" s="601">
        <v>0</v>
      </c>
      <c r="G312" s="601">
        <f t="shared" si="164"/>
        <v>3934848.3561588856</v>
      </c>
      <c r="H312" s="636">
        <f>$H$94</f>
        <v>4.9099999999999998E-2</v>
      </c>
      <c r="I312" s="18">
        <f t="shared" ref="I312" si="174">ROUND((F312/2+G311+J311)*H312/12,2)</f>
        <v>16696.54</v>
      </c>
      <c r="J312" s="18">
        <f t="shared" si="162"/>
        <v>162469.19000000003</v>
      </c>
      <c r="K312" s="18">
        <f t="shared" si="159"/>
        <v>4097317.55</v>
      </c>
      <c r="L312" s="600">
        <f t="shared" si="157"/>
        <v>948</v>
      </c>
      <c r="M312" s="46"/>
      <c r="N312" s="46"/>
      <c r="O312" s="46"/>
      <c r="P312" s="46"/>
      <c r="Q312" s="46"/>
    </row>
    <row r="313" spans="1:17" s="45" customFormat="1">
      <c r="A313" s="600">
        <f t="shared" si="160"/>
        <v>949</v>
      </c>
      <c r="B313" s="45" t="s">
        <v>85</v>
      </c>
      <c r="C313" s="50">
        <f t="shared" si="166"/>
        <v>2022</v>
      </c>
      <c r="D313" s="110" t="s">
        <v>109</v>
      </c>
      <c r="E313" s="110" t="s">
        <v>109</v>
      </c>
      <c r="F313" s="601">
        <v>0</v>
      </c>
      <c r="G313" s="601">
        <f t="shared" si="164"/>
        <v>3934848.3561588856</v>
      </c>
      <c r="H313" s="636">
        <f>$H$95</f>
        <v>4.9099999999999998E-2</v>
      </c>
      <c r="I313" s="18">
        <f t="shared" ref="I313" si="175">ROUND((F313/2+G312+J311)*H313/12,2)</f>
        <v>16696.54</v>
      </c>
      <c r="J313" s="18">
        <f t="shared" si="162"/>
        <v>179165.73000000004</v>
      </c>
      <c r="K313" s="18">
        <f t="shared" si="159"/>
        <v>4114014.09</v>
      </c>
      <c r="L313" s="600">
        <f t="shared" si="157"/>
        <v>949</v>
      </c>
      <c r="M313" s="46"/>
      <c r="N313" s="46"/>
      <c r="O313" s="46"/>
      <c r="P313" s="46"/>
      <c r="Q313" s="46"/>
    </row>
    <row r="314" spans="1:17" s="45" customFormat="1">
      <c r="A314" s="600">
        <f>A313+1</f>
        <v>950</v>
      </c>
      <c r="B314" s="45" t="s">
        <v>75</v>
      </c>
      <c r="C314" s="50">
        <f>C313</f>
        <v>2022</v>
      </c>
      <c r="D314" s="110" t="s">
        <v>109</v>
      </c>
      <c r="E314" s="110" t="s">
        <v>109</v>
      </c>
      <c r="F314" s="601">
        <v>0</v>
      </c>
      <c r="G314" s="601">
        <f>F314+G313</f>
        <v>3934848.3561588856</v>
      </c>
      <c r="H314" s="636">
        <f>$H$96</f>
        <v>4.9099999999999998E-2</v>
      </c>
      <c r="I314" s="18">
        <f>ROUND((F314/2+G313+J311)*H314/12,2)</f>
        <v>16696.54</v>
      </c>
      <c r="J314" s="18">
        <f>I314+J313</f>
        <v>195862.27000000005</v>
      </c>
      <c r="K314" s="18">
        <f t="shared" si="159"/>
        <v>4130710.63</v>
      </c>
      <c r="L314" s="600">
        <f t="shared" si="157"/>
        <v>950</v>
      </c>
      <c r="M314" s="46"/>
      <c r="N314" s="46"/>
      <c r="O314" s="46"/>
      <c r="P314" s="46"/>
      <c r="Q314" s="46"/>
    </row>
    <row r="315" spans="1:17" s="45" customFormat="1">
      <c r="A315" s="600"/>
      <c r="C315" s="50"/>
      <c r="D315" s="110"/>
      <c r="E315" s="110"/>
      <c r="F315" s="601"/>
      <c r="G315" s="601"/>
      <c r="H315" s="602"/>
      <c r="I315" s="18"/>
      <c r="J315" s="18"/>
      <c r="K315" s="18"/>
      <c r="L315" s="600"/>
      <c r="M315" s="46"/>
      <c r="N315" s="46"/>
      <c r="O315" s="46"/>
      <c r="P315" s="46"/>
      <c r="Q315" s="46"/>
    </row>
    <row r="316" spans="1:17" s="45" customFormat="1">
      <c r="A316" s="3" t="s">
        <v>86</v>
      </c>
      <c r="B316" s="613" t="s">
        <v>882</v>
      </c>
      <c r="C316" s="614" t="s">
        <v>62</v>
      </c>
      <c r="D316" s="614" t="s">
        <v>63</v>
      </c>
      <c r="E316" s="614" t="s">
        <v>64</v>
      </c>
      <c r="F316" s="615" t="s">
        <v>65</v>
      </c>
      <c r="G316" s="614" t="s">
        <v>66</v>
      </c>
      <c r="H316" s="614" t="s">
        <v>67</v>
      </c>
      <c r="I316" s="614" t="s">
        <v>68</v>
      </c>
      <c r="J316" s="614" t="s">
        <v>69</v>
      </c>
      <c r="K316" s="616" t="s">
        <v>70</v>
      </c>
      <c r="L316" s="3" t="str">
        <f t="shared" ref="L316:L317" si="176">A316</f>
        <v>Line</v>
      </c>
      <c r="M316" s="46"/>
      <c r="N316" s="46"/>
      <c r="O316" s="46"/>
      <c r="P316" s="46"/>
      <c r="Q316" s="46"/>
    </row>
    <row r="317" spans="1:17" s="45" customFormat="1">
      <c r="A317" s="600">
        <f>A255+100</f>
        <v>1000</v>
      </c>
      <c r="B317" s="617" t="s">
        <v>1066</v>
      </c>
      <c r="C317" s="545"/>
      <c r="D317" s="618" t="s">
        <v>87</v>
      </c>
      <c r="E317" s="618" t="s">
        <v>88</v>
      </c>
      <c r="F317" s="619" t="str">
        <f>""&amp;D316&amp;" - "&amp;E316&amp;""</f>
        <v>Col 2 - Col 3</v>
      </c>
      <c r="G317" s="619" t="s">
        <v>112</v>
      </c>
      <c r="H317" s="619" t="s">
        <v>127</v>
      </c>
      <c r="I317" s="619" t="s">
        <v>128</v>
      </c>
      <c r="J317" s="619" t="s">
        <v>113</v>
      </c>
      <c r="K317" s="620" t="str">
        <f>""&amp;G316&amp;" + "&amp;J316&amp;""</f>
        <v>Col 5 + Col 8</v>
      </c>
      <c r="L317" s="600">
        <f t="shared" si="176"/>
        <v>1000</v>
      </c>
      <c r="M317" s="46"/>
      <c r="N317" s="46"/>
      <c r="O317" s="46"/>
      <c r="P317" s="46"/>
      <c r="Q317" s="46"/>
    </row>
    <row r="318" spans="1:17" s="45" customFormat="1">
      <c r="A318" s="600"/>
      <c r="B318" s="621"/>
      <c r="C318" s="545"/>
      <c r="D318" s="545"/>
      <c r="E318" s="545"/>
      <c r="F318" s="176"/>
      <c r="G318" s="545" t="s">
        <v>135</v>
      </c>
      <c r="H318" s="545"/>
      <c r="I318" s="545"/>
      <c r="J318" s="545"/>
      <c r="K318" s="622" t="s">
        <v>135</v>
      </c>
      <c r="L318" s="46"/>
      <c r="M318" s="46"/>
      <c r="N318" s="46"/>
      <c r="O318" s="46"/>
      <c r="P318" s="46"/>
      <c r="Q318" s="46"/>
    </row>
    <row r="319" spans="1:17" s="45" customFormat="1">
      <c r="B319" s="621"/>
      <c r="C319" s="545"/>
      <c r="D319" s="176" t="s">
        <v>926</v>
      </c>
      <c r="E319" s="176" t="s">
        <v>926</v>
      </c>
      <c r="F319" s="176"/>
      <c r="G319" s="545" t="s">
        <v>766</v>
      </c>
      <c r="H319" s="545"/>
      <c r="I319" s="545"/>
      <c r="J319" s="545"/>
      <c r="K319" s="622" t="s">
        <v>766</v>
      </c>
      <c r="L319" s="46"/>
      <c r="M319" s="46"/>
      <c r="N319" s="46"/>
      <c r="O319" s="46"/>
      <c r="P319" s="46"/>
      <c r="Q319" s="46"/>
    </row>
    <row r="320" spans="1:17" s="45" customFormat="1">
      <c r="A320" s="600"/>
      <c r="B320" s="617"/>
      <c r="C320" s="545"/>
      <c r="D320" s="545" t="s">
        <v>71</v>
      </c>
      <c r="E320" s="545" t="s">
        <v>92</v>
      </c>
      <c r="F320" s="545" t="s">
        <v>124</v>
      </c>
      <c r="G320" s="545" t="s">
        <v>767</v>
      </c>
      <c r="H320" s="545" t="s">
        <v>185</v>
      </c>
      <c r="I320" s="545" t="s">
        <v>71</v>
      </c>
      <c r="J320" s="545" t="s">
        <v>132</v>
      </c>
      <c r="K320" s="622" t="s">
        <v>1061</v>
      </c>
      <c r="L320" s="46"/>
      <c r="M320" s="46"/>
      <c r="N320" s="46"/>
      <c r="O320" s="46"/>
      <c r="P320" s="46"/>
      <c r="Q320" s="46"/>
    </row>
    <row r="321" spans="1:17" s="45" customFormat="1">
      <c r="A321" s="600"/>
      <c r="B321" s="623" t="s">
        <v>58</v>
      </c>
      <c r="C321" s="624" t="s">
        <v>73</v>
      </c>
      <c r="D321" s="624" t="s">
        <v>1062</v>
      </c>
      <c r="E321" s="624" t="s">
        <v>121</v>
      </c>
      <c r="F321" s="624" t="s">
        <v>136</v>
      </c>
      <c r="G321" s="624" t="s">
        <v>123</v>
      </c>
      <c r="H321" s="624" t="s">
        <v>111</v>
      </c>
      <c r="I321" s="624" t="s">
        <v>72</v>
      </c>
      <c r="J321" s="624" t="s">
        <v>72</v>
      </c>
      <c r="K321" s="625" t="s">
        <v>74</v>
      </c>
      <c r="L321" s="46"/>
      <c r="M321" s="46"/>
      <c r="N321" s="46"/>
      <c r="O321" s="46"/>
      <c r="P321" s="46"/>
      <c r="Q321" s="46"/>
    </row>
    <row r="322" spans="1:17" s="45" customFormat="1">
      <c r="A322" s="600">
        <f>A317+1</f>
        <v>1001</v>
      </c>
      <c r="B322" s="45" t="s">
        <v>75</v>
      </c>
      <c r="C322" s="50">
        <f>C323-1</f>
        <v>2020</v>
      </c>
      <c r="D322" s="110" t="s">
        <v>109</v>
      </c>
      <c r="E322" s="110" t="s">
        <v>109</v>
      </c>
      <c r="F322" s="47" t="s">
        <v>109</v>
      </c>
      <c r="G322" s="59">
        <v>0</v>
      </c>
      <c r="H322" s="47" t="s">
        <v>109</v>
      </c>
      <c r="I322" s="47" t="s">
        <v>109</v>
      </c>
      <c r="J322" s="59">
        <v>0</v>
      </c>
      <c r="K322" s="18">
        <f>ROUND((G322+J322),2)</f>
        <v>0</v>
      </c>
      <c r="L322" s="600">
        <f t="shared" ref="L322:L346" si="177">A322</f>
        <v>1001</v>
      </c>
      <c r="M322" s="46"/>
      <c r="N322" s="46"/>
      <c r="O322" s="46"/>
      <c r="P322" s="46"/>
      <c r="Q322" s="46"/>
    </row>
    <row r="323" spans="1:17" s="45" customFormat="1">
      <c r="A323" s="600">
        <f>A322+1</f>
        <v>1002</v>
      </c>
      <c r="B323" s="45" t="s">
        <v>76</v>
      </c>
      <c r="C323" s="50">
        <f>'1-DRR'!$K$2</f>
        <v>2021</v>
      </c>
      <c r="D323" s="579" t="str">
        <f>IF(E323="N/A","N/A",($H$42*'9-WholesaleRevenues'!I14))</f>
        <v>N/A</v>
      </c>
      <c r="E323" s="579" t="str">
        <f>IF('9-WholesaleRevenues'!I48="N/A","N/A",'9-WholesaleRevenues'!I48)</f>
        <v>N/A</v>
      </c>
      <c r="F323" s="601">
        <f t="shared" ref="F323:F334" si="178">IF(E323="N/A",0,D323-E323)</f>
        <v>0</v>
      </c>
      <c r="G323" s="601">
        <f>F323+G322</f>
        <v>0</v>
      </c>
      <c r="H323" s="636">
        <f>$H$73</f>
        <v>3.2500000000000001E-2</v>
      </c>
      <c r="I323" s="18">
        <f>IF(E323="N/A",0,ROUND((F323/2+G322+J322)*H323/12,2))</f>
        <v>0</v>
      </c>
      <c r="J323" s="18">
        <f>I323+J322</f>
        <v>0</v>
      </c>
      <c r="K323" s="18">
        <f t="shared" ref="K323:K346" si="179">ROUND((G323+J323),2)</f>
        <v>0</v>
      </c>
      <c r="L323" s="600">
        <f t="shared" si="177"/>
        <v>1002</v>
      </c>
      <c r="M323" s="46"/>
      <c r="N323" s="46"/>
      <c r="O323" s="46"/>
      <c r="P323" s="46"/>
      <c r="Q323" s="46"/>
    </row>
    <row r="324" spans="1:17" s="45" customFormat="1">
      <c r="A324" s="600">
        <f t="shared" ref="A324:A346" si="180">A323+1</f>
        <v>1003</v>
      </c>
      <c r="B324" s="45" t="s">
        <v>77</v>
      </c>
      <c r="C324" s="50">
        <f>'1-DRR'!$K$2</f>
        <v>2021</v>
      </c>
      <c r="D324" s="579" t="str">
        <f>IF(E324="N/A","N/A",($H$42*'9-WholesaleRevenues'!I15))</f>
        <v>N/A</v>
      </c>
      <c r="E324" s="579" t="str">
        <f>IF('9-WholesaleRevenues'!I49="N/A","N/A",'9-WholesaleRevenues'!I49)</f>
        <v>N/A</v>
      </c>
      <c r="F324" s="601">
        <f t="shared" si="178"/>
        <v>0</v>
      </c>
      <c r="G324" s="601">
        <f t="shared" ref="G324:G334" si="181">F324+G323</f>
        <v>0</v>
      </c>
      <c r="H324" s="636">
        <f>$H$74</f>
        <v>3.2500000000000001E-2</v>
      </c>
      <c r="I324" s="18">
        <f>IF(E324="N/A",0,ROUND((F324/2+G323+J322)*H324/12,2))</f>
        <v>0</v>
      </c>
      <c r="J324" s="18">
        <f>I324+J323</f>
        <v>0</v>
      </c>
      <c r="K324" s="18">
        <f t="shared" si="179"/>
        <v>0</v>
      </c>
      <c r="L324" s="600">
        <f t="shared" si="177"/>
        <v>1003</v>
      </c>
      <c r="M324" s="46"/>
      <c r="N324" s="46"/>
      <c r="O324" s="46"/>
      <c r="P324" s="46"/>
      <c r="Q324" s="46"/>
    </row>
    <row r="325" spans="1:17" s="45" customFormat="1">
      <c r="A325" s="600">
        <f t="shared" si="180"/>
        <v>1004</v>
      </c>
      <c r="B325" s="45" t="s">
        <v>78</v>
      </c>
      <c r="C325" s="50">
        <f>'1-DRR'!$K$2</f>
        <v>2021</v>
      </c>
      <c r="D325" s="579" t="str">
        <f>IF(E325="N/A","N/A",($H$42*'9-WholesaleRevenues'!I16))</f>
        <v>N/A</v>
      </c>
      <c r="E325" s="579" t="str">
        <f>IF('9-WholesaleRevenues'!I50="N/A","N/A",'9-WholesaleRevenues'!I50)</f>
        <v>N/A</v>
      </c>
      <c r="F325" s="601">
        <f t="shared" si="178"/>
        <v>0</v>
      </c>
      <c r="G325" s="601">
        <f t="shared" si="181"/>
        <v>0</v>
      </c>
      <c r="H325" s="636">
        <f>$H$75</f>
        <v>3.2500000000000001E-2</v>
      </c>
      <c r="I325" s="18">
        <f>IF(E325="N/A",0,ROUND((F325/2+G324+J322)*H325/12,2))</f>
        <v>0</v>
      </c>
      <c r="J325" s="18">
        <f>I325+J324</f>
        <v>0</v>
      </c>
      <c r="K325" s="18">
        <f t="shared" si="179"/>
        <v>0</v>
      </c>
      <c r="L325" s="600">
        <f t="shared" si="177"/>
        <v>1004</v>
      </c>
      <c r="M325" s="46"/>
      <c r="N325" s="46"/>
      <c r="O325" s="46"/>
      <c r="P325" s="46"/>
      <c r="Q325" s="46"/>
    </row>
    <row r="326" spans="1:17" s="45" customFormat="1">
      <c r="A326" s="600">
        <f t="shared" si="180"/>
        <v>1005</v>
      </c>
      <c r="B326" s="45" t="s">
        <v>79</v>
      </c>
      <c r="C326" s="50">
        <f>'1-DRR'!$K$2</f>
        <v>2021</v>
      </c>
      <c r="D326" s="579" t="str">
        <f>IF(E326="N/A","N/A",($H$42*'9-WholesaleRevenues'!I17))</f>
        <v>N/A</v>
      </c>
      <c r="E326" s="579" t="str">
        <f>IF('9-WholesaleRevenues'!I51="N/A","N/A",'9-WholesaleRevenues'!I51)</f>
        <v>N/A</v>
      </c>
      <c r="F326" s="601">
        <f t="shared" si="178"/>
        <v>0</v>
      </c>
      <c r="G326" s="601">
        <f t="shared" si="181"/>
        <v>0</v>
      </c>
      <c r="H326" s="636">
        <f>$H$76</f>
        <v>3.2500000000000001E-2</v>
      </c>
      <c r="I326" s="18">
        <f>IF(E326="N/A",0,ROUND((F326/2+G325+J325)*H326/12,2))</f>
        <v>0</v>
      </c>
      <c r="J326" s="18">
        <f t="shared" ref="J326:J346" si="182">I326+J325</f>
        <v>0</v>
      </c>
      <c r="K326" s="18">
        <f t="shared" si="179"/>
        <v>0</v>
      </c>
      <c r="L326" s="600">
        <f t="shared" si="177"/>
        <v>1005</v>
      </c>
      <c r="M326" s="46"/>
      <c r="N326" s="46"/>
      <c r="O326" s="46"/>
      <c r="P326" s="46"/>
      <c r="Q326" s="46"/>
    </row>
    <row r="327" spans="1:17" s="45" customFormat="1">
      <c r="A327" s="600">
        <f t="shared" si="180"/>
        <v>1006</v>
      </c>
      <c r="B327" s="45" t="s">
        <v>61</v>
      </c>
      <c r="C327" s="50">
        <f>'1-DRR'!$K$2</f>
        <v>2021</v>
      </c>
      <c r="D327" s="579" t="str">
        <f>IF(E327="N/A","N/A",($H$42*'9-WholesaleRevenues'!I18))</f>
        <v>N/A</v>
      </c>
      <c r="E327" s="579" t="str">
        <f>IF('9-WholesaleRevenues'!I52="N/A","N/A",'9-WholesaleRevenues'!I52)</f>
        <v>N/A</v>
      </c>
      <c r="F327" s="601">
        <f t="shared" si="178"/>
        <v>0</v>
      </c>
      <c r="G327" s="601">
        <f t="shared" si="181"/>
        <v>0</v>
      </c>
      <c r="H327" s="636">
        <f>$H$77</f>
        <v>3.2500000000000001E-2</v>
      </c>
      <c r="I327" s="18">
        <f>IF(E327="N/A",0,ROUND((F327/2+G326+J325)*H327/12,2))</f>
        <v>0</v>
      </c>
      <c r="J327" s="18">
        <f t="shared" si="182"/>
        <v>0</v>
      </c>
      <c r="K327" s="18">
        <f t="shared" si="179"/>
        <v>0</v>
      </c>
      <c r="L327" s="600">
        <f t="shared" si="177"/>
        <v>1006</v>
      </c>
      <c r="M327" s="46"/>
      <c r="N327" s="46"/>
      <c r="O327" s="46"/>
      <c r="P327" s="46"/>
      <c r="Q327" s="46"/>
    </row>
    <row r="328" spans="1:17" s="45" customFormat="1">
      <c r="A328" s="600">
        <f t="shared" si="180"/>
        <v>1007</v>
      </c>
      <c r="B328" s="45" t="s">
        <v>80</v>
      </c>
      <c r="C328" s="50">
        <f>'1-DRR'!$K$2</f>
        <v>2021</v>
      </c>
      <c r="D328" s="579">
        <f>IF(E328="N/A","N/A",($H$42*'9-WholesaleRevenues'!I19))</f>
        <v>1210.0939421671978</v>
      </c>
      <c r="E328" s="579">
        <f>IF('9-WholesaleRevenues'!I53="N/A","N/A",'9-WholesaleRevenues'!I53)</f>
        <v>917.09999999999991</v>
      </c>
      <c r="F328" s="601">
        <f t="shared" si="178"/>
        <v>292.99394216719793</v>
      </c>
      <c r="G328" s="601">
        <f t="shared" si="181"/>
        <v>292.99394216719793</v>
      </c>
      <c r="H328" s="636">
        <f>$H$78</f>
        <v>3.2500000000000001E-2</v>
      </c>
      <c r="I328" s="18">
        <f>IF(E328="N/A",0,ROUND((F328/2+G327+J325)*H328/12,2))</f>
        <v>0.4</v>
      </c>
      <c r="J328" s="18">
        <f t="shared" si="182"/>
        <v>0.4</v>
      </c>
      <c r="K328" s="18">
        <f t="shared" si="179"/>
        <v>293.39</v>
      </c>
      <c r="L328" s="600">
        <f t="shared" si="177"/>
        <v>1007</v>
      </c>
      <c r="M328" s="46"/>
      <c r="N328" s="46"/>
      <c r="O328" s="46"/>
      <c r="P328" s="46"/>
      <c r="Q328" s="46"/>
    </row>
    <row r="329" spans="1:17" s="45" customFormat="1">
      <c r="A329" s="600">
        <f t="shared" si="180"/>
        <v>1008</v>
      </c>
      <c r="B329" s="45" t="s">
        <v>81</v>
      </c>
      <c r="C329" s="50">
        <f>'1-DRR'!$K$2</f>
        <v>2021</v>
      </c>
      <c r="D329" s="579">
        <f>IF(E329="N/A","N/A",($H$42*'9-WholesaleRevenues'!I20))</f>
        <v>1316.2425335853732</v>
      </c>
      <c r="E329" s="579">
        <f>IF('9-WholesaleRevenues'!I54="N/A","N/A",'9-WholesaleRevenues'!I54)</f>
        <v>917.09999999999991</v>
      </c>
      <c r="F329" s="601">
        <f t="shared" si="178"/>
        <v>399.14253358537326</v>
      </c>
      <c r="G329" s="601">
        <f t="shared" si="181"/>
        <v>692.13647575257119</v>
      </c>
      <c r="H329" s="636">
        <f>$H$79</f>
        <v>3.2500000000000001E-2</v>
      </c>
      <c r="I329" s="18">
        <f>IF(E329="N/A",0,ROUND((F329/2+G328+J328)*H329/12,2))</f>
        <v>1.34</v>
      </c>
      <c r="J329" s="18">
        <f t="shared" si="182"/>
        <v>1.7400000000000002</v>
      </c>
      <c r="K329" s="18">
        <f t="shared" si="179"/>
        <v>693.88</v>
      </c>
      <c r="L329" s="600">
        <f t="shared" si="177"/>
        <v>1008</v>
      </c>
      <c r="M329" s="46"/>
      <c r="N329" s="46"/>
      <c r="O329" s="46"/>
      <c r="P329" s="46"/>
      <c r="Q329" s="46"/>
    </row>
    <row r="330" spans="1:17" s="45" customFormat="1">
      <c r="A330" s="600">
        <f t="shared" si="180"/>
        <v>1009</v>
      </c>
      <c r="B330" s="45" t="s">
        <v>82</v>
      </c>
      <c r="C330" s="50">
        <f>'1-DRR'!$K$2</f>
        <v>2021</v>
      </c>
      <c r="D330" s="579">
        <f>IF(E330="N/A","N/A",($H$42*'9-WholesaleRevenues'!I21))</f>
        <v>1379.9316884362784</v>
      </c>
      <c r="E330" s="579">
        <f>IF('9-WholesaleRevenues'!I55="N/A","N/A",'9-WholesaleRevenues'!I55)</f>
        <v>917.09999999999991</v>
      </c>
      <c r="F330" s="601">
        <f t="shared" si="178"/>
        <v>462.83168843627845</v>
      </c>
      <c r="G330" s="601">
        <f t="shared" si="181"/>
        <v>1154.9681641888496</v>
      </c>
      <c r="H330" s="636">
        <f>$H$80</f>
        <v>3.2500000000000001E-2</v>
      </c>
      <c r="I330" s="18">
        <f>IF(E330="N/A",0,ROUND((F330/2+G329+J328)*H330/12,2))</f>
        <v>2.5</v>
      </c>
      <c r="J330" s="18">
        <f t="shared" si="182"/>
        <v>4.24</v>
      </c>
      <c r="K330" s="18">
        <f t="shared" si="179"/>
        <v>1159.21</v>
      </c>
      <c r="L330" s="600">
        <f t="shared" si="177"/>
        <v>1009</v>
      </c>
      <c r="M330" s="46"/>
      <c r="N330" s="46"/>
      <c r="O330" s="46"/>
      <c r="P330" s="46"/>
      <c r="Q330" s="46"/>
    </row>
    <row r="331" spans="1:17" s="45" customFormat="1">
      <c r="A331" s="600">
        <f t="shared" si="180"/>
        <v>1010</v>
      </c>
      <c r="B331" s="45" t="s">
        <v>83</v>
      </c>
      <c r="C331" s="50">
        <f>'1-DRR'!$K$2</f>
        <v>2021</v>
      </c>
      <c r="D331" s="579">
        <f>IF(E331="N/A","N/A",($H$42*'9-WholesaleRevenues'!I22))</f>
        <v>1082.7156324653877</v>
      </c>
      <c r="E331" s="579">
        <f>IF('9-WholesaleRevenues'!I56="N/A","N/A",'9-WholesaleRevenues'!I56)</f>
        <v>917.09999999999991</v>
      </c>
      <c r="F331" s="601">
        <f t="shared" si="178"/>
        <v>165.61563246538776</v>
      </c>
      <c r="G331" s="601">
        <f t="shared" si="181"/>
        <v>1320.5837966542374</v>
      </c>
      <c r="H331" s="636">
        <f>$H$81</f>
        <v>3.2500000000000001E-2</v>
      </c>
      <c r="I331" s="18">
        <f>IF(E331="N/A",0,ROUND((F331/2+G330+J328)*H331/12,2))</f>
        <v>3.35</v>
      </c>
      <c r="J331" s="18">
        <f t="shared" si="182"/>
        <v>7.59</v>
      </c>
      <c r="K331" s="18">
        <f t="shared" si="179"/>
        <v>1328.17</v>
      </c>
      <c r="L331" s="600">
        <f t="shared" si="177"/>
        <v>1010</v>
      </c>
      <c r="M331" s="46"/>
      <c r="N331" s="46"/>
      <c r="O331" s="46"/>
      <c r="P331" s="46"/>
      <c r="Q331" s="46"/>
    </row>
    <row r="332" spans="1:17" s="45" customFormat="1">
      <c r="A332" s="600">
        <f t="shared" si="180"/>
        <v>1011</v>
      </c>
      <c r="B332" s="45" t="s">
        <v>84</v>
      </c>
      <c r="C332" s="50">
        <f>'1-DRR'!$K$2</f>
        <v>2021</v>
      </c>
      <c r="D332" s="579">
        <f>IF(E332="N/A","N/A",($H$42*'9-WholesaleRevenues'!I23))</f>
        <v>1146.4047873162929</v>
      </c>
      <c r="E332" s="579">
        <f>IF('9-WholesaleRevenues'!I57="N/A","N/A",'9-WholesaleRevenues'!I57)</f>
        <v>917.09999999999991</v>
      </c>
      <c r="F332" s="601">
        <f t="shared" si="178"/>
        <v>229.30478731629296</v>
      </c>
      <c r="G332" s="601">
        <f t="shared" si="181"/>
        <v>1549.8885839705304</v>
      </c>
      <c r="H332" s="636">
        <f>$H$82</f>
        <v>3.2500000000000001E-2</v>
      </c>
      <c r="I332" s="18">
        <f>IF(E332="N/A",0,ROUND((F332/2+G331+J331)*H332/12,2))</f>
        <v>3.91</v>
      </c>
      <c r="J332" s="18">
        <f t="shared" si="182"/>
        <v>11.5</v>
      </c>
      <c r="K332" s="18">
        <f t="shared" si="179"/>
        <v>1561.39</v>
      </c>
      <c r="L332" s="600">
        <f t="shared" si="177"/>
        <v>1011</v>
      </c>
      <c r="M332" s="46"/>
      <c r="N332" s="46"/>
      <c r="O332" s="46"/>
      <c r="P332" s="46"/>
      <c r="Q332" s="46"/>
    </row>
    <row r="333" spans="1:17" s="45" customFormat="1">
      <c r="A333" s="600">
        <f t="shared" si="180"/>
        <v>1012</v>
      </c>
      <c r="B333" s="45" t="s">
        <v>85</v>
      </c>
      <c r="C333" s="50">
        <f>'1-DRR'!$K$2</f>
        <v>2021</v>
      </c>
      <c r="D333" s="579">
        <f>IF(E333="N/A","N/A",($H$42*'9-WholesaleRevenues'!I24))</f>
        <v>1379.9316884362784</v>
      </c>
      <c r="E333" s="579">
        <f>IF('9-WholesaleRevenues'!I58="N/A","N/A",'9-WholesaleRevenues'!I58)</f>
        <v>917.09999999999991</v>
      </c>
      <c r="F333" s="601">
        <f t="shared" si="178"/>
        <v>462.83168843627845</v>
      </c>
      <c r="G333" s="601">
        <f t="shared" si="181"/>
        <v>2012.7202724068088</v>
      </c>
      <c r="H333" s="636">
        <f>$H$83</f>
        <v>3.2500000000000001E-2</v>
      </c>
      <c r="I333" s="18">
        <f>IF(E333="N/A",0,ROUND((F333/2+G332+J331)*H333/12,2))</f>
        <v>4.84</v>
      </c>
      <c r="J333" s="18">
        <f t="shared" si="182"/>
        <v>16.34</v>
      </c>
      <c r="K333" s="18">
        <f t="shared" si="179"/>
        <v>2029.06</v>
      </c>
      <c r="L333" s="600">
        <f t="shared" si="177"/>
        <v>1012</v>
      </c>
      <c r="M333" s="46"/>
      <c r="N333" s="46"/>
      <c r="O333" s="46"/>
      <c r="P333" s="46"/>
      <c r="Q333" s="46"/>
    </row>
    <row r="334" spans="1:17" s="45" customFormat="1">
      <c r="A334" s="600">
        <f t="shared" si="180"/>
        <v>1013</v>
      </c>
      <c r="B334" s="45" t="s">
        <v>75</v>
      </c>
      <c r="C334" s="50">
        <f>'1-DRR'!$K$2</f>
        <v>2021</v>
      </c>
      <c r="D334" s="579">
        <f>IF(E334="N/A","N/A",($H$42*'9-WholesaleRevenues'!I25))</f>
        <v>1889.4449272435195</v>
      </c>
      <c r="E334" s="579">
        <f>IF('9-WholesaleRevenues'!I59="N/A","N/A",'9-WholesaleRevenues'!I59)</f>
        <v>917.09999999999991</v>
      </c>
      <c r="F334" s="601">
        <f t="shared" si="178"/>
        <v>972.34492724351958</v>
      </c>
      <c r="G334" s="601">
        <f t="shared" si="181"/>
        <v>2985.0651996503284</v>
      </c>
      <c r="H334" s="636">
        <f>$H$84</f>
        <v>3.2500000000000001E-2</v>
      </c>
      <c r="I334" s="18">
        <f>IF(E334="N/A",0,ROUND((F334/2+G333+J331)*H334/12,2))</f>
        <v>6.79</v>
      </c>
      <c r="J334" s="18">
        <f t="shared" si="182"/>
        <v>23.13</v>
      </c>
      <c r="K334" s="18">
        <f t="shared" si="179"/>
        <v>3008.2</v>
      </c>
      <c r="L334" s="600">
        <f t="shared" si="177"/>
        <v>1013</v>
      </c>
      <c r="M334" s="46"/>
      <c r="N334" s="46"/>
      <c r="O334" s="46"/>
      <c r="P334" s="46"/>
      <c r="Q334" s="46"/>
    </row>
    <row r="335" spans="1:17" s="45" customFormat="1">
      <c r="A335" s="600">
        <f t="shared" si="180"/>
        <v>1014</v>
      </c>
      <c r="B335" s="45" t="s">
        <v>76</v>
      </c>
      <c r="C335" s="50">
        <f>C334+1</f>
        <v>2022</v>
      </c>
      <c r="D335" s="110" t="s">
        <v>109</v>
      </c>
      <c r="E335" s="110" t="s">
        <v>109</v>
      </c>
      <c r="F335" s="601">
        <v>0</v>
      </c>
      <c r="G335" s="601">
        <f>F335+G334</f>
        <v>2985.0651996503284</v>
      </c>
      <c r="H335" s="636">
        <f>$H$85</f>
        <v>3.2500000000000001E-2</v>
      </c>
      <c r="I335" s="18">
        <f t="shared" ref="I335" si="183">ROUND((F335/2+G334+J334)*H335/12,2)</f>
        <v>8.15</v>
      </c>
      <c r="J335" s="18">
        <f t="shared" si="182"/>
        <v>31.28</v>
      </c>
      <c r="K335" s="18">
        <f t="shared" si="179"/>
        <v>3016.35</v>
      </c>
      <c r="L335" s="600">
        <f t="shared" si="177"/>
        <v>1014</v>
      </c>
      <c r="M335" s="46"/>
      <c r="N335" s="46"/>
      <c r="O335" s="46"/>
      <c r="P335" s="46"/>
      <c r="Q335" s="46"/>
    </row>
    <row r="336" spans="1:17" s="45" customFormat="1">
      <c r="A336" s="600">
        <f t="shared" si="180"/>
        <v>1015</v>
      </c>
      <c r="B336" s="45" t="s">
        <v>77</v>
      </c>
      <c r="C336" s="50">
        <f>C335</f>
        <v>2022</v>
      </c>
      <c r="D336" s="110" t="s">
        <v>109</v>
      </c>
      <c r="E336" s="110" t="s">
        <v>109</v>
      </c>
      <c r="F336" s="601">
        <v>0</v>
      </c>
      <c r="G336" s="601">
        <f t="shared" ref="G336:G346" si="184">F336+G335</f>
        <v>2985.0651996503284</v>
      </c>
      <c r="H336" s="636">
        <f>$H$86</f>
        <v>3.2500000000000001E-2</v>
      </c>
      <c r="I336" s="18">
        <f t="shared" ref="I336" si="185">ROUND((F336/2+G335+J334)*H336/12,2)</f>
        <v>8.15</v>
      </c>
      <c r="J336" s="18">
        <f t="shared" si="182"/>
        <v>39.43</v>
      </c>
      <c r="K336" s="18">
        <f t="shared" si="179"/>
        <v>3024.5</v>
      </c>
      <c r="L336" s="600">
        <f t="shared" si="177"/>
        <v>1015</v>
      </c>
      <c r="M336" s="46"/>
      <c r="N336" s="46"/>
      <c r="O336" s="46"/>
      <c r="P336" s="46"/>
      <c r="Q336" s="46"/>
    </row>
    <row r="337" spans="1:17" s="45" customFormat="1">
      <c r="A337" s="600">
        <f t="shared" si="180"/>
        <v>1016</v>
      </c>
      <c r="B337" s="45" t="s">
        <v>78</v>
      </c>
      <c r="C337" s="50">
        <f t="shared" ref="C337:C346" si="186">C336</f>
        <v>2022</v>
      </c>
      <c r="D337" s="110" t="s">
        <v>109</v>
      </c>
      <c r="E337" s="110" t="s">
        <v>109</v>
      </c>
      <c r="F337" s="601">
        <v>0</v>
      </c>
      <c r="G337" s="601">
        <f t="shared" si="184"/>
        <v>2985.0651996503284</v>
      </c>
      <c r="H337" s="636">
        <f>$H$87</f>
        <v>3.2500000000000001E-2</v>
      </c>
      <c r="I337" s="18">
        <f t="shared" ref="I337" si="187">ROUND((F337/2+G336+J334)*H337/12,2)</f>
        <v>8.15</v>
      </c>
      <c r="J337" s="18">
        <f t="shared" si="182"/>
        <v>47.58</v>
      </c>
      <c r="K337" s="18">
        <f t="shared" si="179"/>
        <v>3032.65</v>
      </c>
      <c r="L337" s="600">
        <f t="shared" si="177"/>
        <v>1016</v>
      </c>
      <c r="M337" s="46"/>
      <c r="N337" s="46"/>
      <c r="O337" s="46"/>
      <c r="P337" s="46"/>
      <c r="Q337" s="46"/>
    </row>
    <row r="338" spans="1:17" s="45" customFormat="1">
      <c r="A338" s="600">
        <f t="shared" si="180"/>
        <v>1017</v>
      </c>
      <c r="B338" s="45" t="s">
        <v>79</v>
      </c>
      <c r="C338" s="50">
        <f t="shared" si="186"/>
        <v>2022</v>
      </c>
      <c r="D338" s="110" t="s">
        <v>109</v>
      </c>
      <c r="E338" s="110" t="s">
        <v>109</v>
      </c>
      <c r="F338" s="601">
        <v>0</v>
      </c>
      <c r="G338" s="601">
        <f t="shared" si="184"/>
        <v>2985.0651996503284</v>
      </c>
      <c r="H338" s="636">
        <f>$H$88</f>
        <v>3.2500000000000001E-2</v>
      </c>
      <c r="I338" s="18">
        <f t="shared" ref="I338" si="188">ROUND((F338/2+G337+J337)*H338/12,2)</f>
        <v>8.2100000000000009</v>
      </c>
      <c r="J338" s="18">
        <f t="shared" si="182"/>
        <v>55.79</v>
      </c>
      <c r="K338" s="18">
        <f t="shared" si="179"/>
        <v>3040.86</v>
      </c>
      <c r="L338" s="600">
        <f t="shared" si="177"/>
        <v>1017</v>
      </c>
      <c r="M338" s="46"/>
      <c r="N338" s="46"/>
      <c r="O338" s="46"/>
      <c r="P338" s="46"/>
      <c r="Q338" s="46"/>
    </row>
    <row r="339" spans="1:17" s="45" customFormat="1">
      <c r="A339" s="600">
        <f t="shared" si="180"/>
        <v>1018</v>
      </c>
      <c r="B339" s="45" t="s">
        <v>61</v>
      </c>
      <c r="C339" s="50">
        <f t="shared" si="186"/>
        <v>2022</v>
      </c>
      <c r="D339" s="110" t="s">
        <v>109</v>
      </c>
      <c r="E339" s="110" t="s">
        <v>109</v>
      </c>
      <c r="F339" s="601">
        <v>0</v>
      </c>
      <c r="G339" s="601">
        <f t="shared" si="184"/>
        <v>2985.0651996503284</v>
      </c>
      <c r="H339" s="636">
        <f>$H$89</f>
        <v>3.2500000000000001E-2</v>
      </c>
      <c r="I339" s="18">
        <f t="shared" ref="I339" si="189">ROUND((F339/2+G338+J337)*H339/12,2)</f>
        <v>8.2100000000000009</v>
      </c>
      <c r="J339" s="18">
        <f t="shared" si="182"/>
        <v>64</v>
      </c>
      <c r="K339" s="18">
        <f t="shared" si="179"/>
        <v>3049.07</v>
      </c>
      <c r="L339" s="600">
        <f t="shared" si="177"/>
        <v>1018</v>
      </c>
      <c r="M339" s="46"/>
      <c r="N339" s="46"/>
      <c r="O339" s="46"/>
      <c r="P339" s="46"/>
      <c r="Q339" s="46"/>
    </row>
    <row r="340" spans="1:17" s="45" customFormat="1">
      <c r="A340" s="600">
        <f t="shared" si="180"/>
        <v>1019</v>
      </c>
      <c r="B340" s="45" t="s">
        <v>80</v>
      </c>
      <c r="C340" s="50">
        <f t="shared" si="186"/>
        <v>2022</v>
      </c>
      <c r="D340" s="110" t="s">
        <v>109</v>
      </c>
      <c r="E340" s="110" t="s">
        <v>109</v>
      </c>
      <c r="F340" s="601">
        <v>0</v>
      </c>
      <c r="G340" s="601">
        <f t="shared" si="184"/>
        <v>2985.0651996503284</v>
      </c>
      <c r="H340" s="636">
        <f>$H$90</f>
        <v>3.2500000000000001E-2</v>
      </c>
      <c r="I340" s="18">
        <f t="shared" ref="I340" si="190">ROUND((F340/2+G339+J337)*H340/12,2)</f>
        <v>8.2100000000000009</v>
      </c>
      <c r="J340" s="18">
        <f t="shared" si="182"/>
        <v>72.210000000000008</v>
      </c>
      <c r="K340" s="18">
        <f t="shared" si="179"/>
        <v>3057.28</v>
      </c>
      <c r="L340" s="600">
        <f t="shared" si="177"/>
        <v>1019</v>
      </c>
      <c r="M340" s="46"/>
      <c r="N340" s="46"/>
      <c r="O340" s="46"/>
      <c r="P340" s="46"/>
      <c r="Q340" s="46"/>
    </row>
    <row r="341" spans="1:17" s="45" customFormat="1">
      <c r="A341" s="600">
        <f t="shared" si="180"/>
        <v>1020</v>
      </c>
      <c r="B341" s="45" t="s">
        <v>81</v>
      </c>
      <c r="C341" s="50">
        <f t="shared" si="186"/>
        <v>2022</v>
      </c>
      <c r="D341" s="110" t="s">
        <v>109</v>
      </c>
      <c r="E341" s="110" t="s">
        <v>109</v>
      </c>
      <c r="F341" s="601">
        <v>0</v>
      </c>
      <c r="G341" s="601">
        <f t="shared" si="184"/>
        <v>2985.0651996503284</v>
      </c>
      <c r="H341" s="636">
        <f>$H$91</f>
        <v>3.5999999999999997E-2</v>
      </c>
      <c r="I341" s="18">
        <f t="shared" ref="I341" si="191">ROUND((F341/2+G340+J340)*H341/12,2)</f>
        <v>9.17</v>
      </c>
      <c r="J341" s="18">
        <f t="shared" si="182"/>
        <v>81.38000000000001</v>
      </c>
      <c r="K341" s="18">
        <f t="shared" si="179"/>
        <v>3066.45</v>
      </c>
      <c r="L341" s="600">
        <f t="shared" si="177"/>
        <v>1020</v>
      </c>
      <c r="M341" s="46"/>
      <c r="N341" s="46"/>
      <c r="O341" s="46"/>
      <c r="P341" s="46"/>
      <c r="Q341" s="46"/>
    </row>
    <row r="342" spans="1:17" s="45" customFormat="1">
      <c r="A342" s="600">
        <f t="shared" si="180"/>
        <v>1021</v>
      </c>
      <c r="B342" s="45" t="s">
        <v>82</v>
      </c>
      <c r="C342" s="50">
        <f t="shared" si="186"/>
        <v>2022</v>
      </c>
      <c r="D342" s="110" t="s">
        <v>109</v>
      </c>
      <c r="E342" s="110" t="s">
        <v>109</v>
      </c>
      <c r="F342" s="601">
        <v>0</v>
      </c>
      <c r="G342" s="601">
        <f t="shared" si="184"/>
        <v>2985.0651996503284</v>
      </c>
      <c r="H342" s="636">
        <f>$H$92</f>
        <v>3.5999999999999997E-2</v>
      </c>
      <c r="I342" s="18">
        <f t="shared" ref="I342" si="192">ROUND((F342/2+G341+J340)*H342/12,2)</f>
        <v>9.17</v>
      </c>
      <c r="J342" s="18">
        <f t="shared" si="182"/>
        <v>90.550000000000011</v>
      </c>
      <c r="K342" s="18">
        <f t="shared" si="179"/>
        <v>3075.62</v>
      </c>
      <c r="L342" s="600">
        <f t="shared" si="177"/>
        <v>1021</v>
      </c>
      <c r="M342" s="46"/>
      <c r="N342" s="46"/>
      <c r="O342" s="46"/>
      <c r="P342" s="46"/>
      <c r="Q342" s="46"/>
    </row>
    <row r="343" spans="1:17" s="45" customFormat="1">
      <c r="A343" s="600">
        <f t="shared" si="180"/>
        <v>1022</v>
      </c>
      <c r="B343" s="45" t="s">
        <v>83</v>
      </c>
      <c r="C343" s="50">
        <f t="shared" si="186"/>
        <v>2022</v>
      </c>
      <c r="D343" s="110" t="s">
        <v>109</v>
      </c>
      <c r="E343" s="110" t="s">
        <v>109</v>
      </c>
      <c r="F343" s="601">
        <v>0</v>
      </c>
      <c r="G343" s="601">
        <f t="shared" si="184"/>
        <v>2985.0651996503284</v>
      </c>
      <c r="H343" s="636">
        <f>$H$93</f>
        <v>3.5999999999999997E-2</v>
      </c>
      <c r="I343" s="18">
        <f t="shared" ref="I343" si="193">ROUND((F343/2+G342+J340)*H343/12,2)</f>
        <v>9.17</v>
      </c>
      <c r="J343" s="18">
        <f t="shared" si="182"/>
        <v>99.720000000000013</v>
      </c>
      <c r="K343" s="18">
        <f t="shared" si="179"/>
        <v>3084.79</v>
      </c>
      <c r="L343" s="600">
        <f t="shared" si="177"/>
        <v>1022</v>
      </c>
      <c r="M343" s="46"/>
      <c r="N343" s="46"/>
      <c r="O343" s="46"/>
      <c r="P343" s="46"/>
      <c r="Q343" s="46"/>
    </row>
    <row r="344" spans="1:17" s="45" customFormat="1">
      <c r="A344" s="600">
        <f t="shared" si="180"/>
        <v>1023</v>
      </c>
      <c r="B344" s="45" t="s">
        <v>84</v>
      </c>
      <c r="C344" s="50">
        <f t="shared" si="186"/>
        <v>2022</v>
      </c>
      <c r="D344" s="110" t="s">
        <v>109</v>
      </c>
      <c r="E344" s="110" t="s">
        <v>109</v>
      </c>
      <c r="F344" s="601">
        <v>0</v>
      </c>
      <c r="G344" s="601">
        <f t="shared" si="184"/>
        <v>2985.0651996503284</v>
      </c>
      <c r="H344" s="636">
        <f>$H$94</f>
        <v>4.9099999999999998E-2</v>
      </c>
      <c r="I344" s="18">
        <f t="shared" ref="I344" si="194">ROUND((F344/2+G343+J343)*H344/12,2)</f>
        <v>12.62</v>
      </c>
      <c r="J344" s="18">
        <f t="shared" si="182"/>
        <v>112.34000000000002</v>
      </c>
      <c r="K344" s="18">
        <f t="shared" si="179"/>
        <v>3097.41</v>
      </c>
      <c r="L344" s="600">
        <f t="shared" si="177"/>
        <v>1023</v>
      </c>
      <c r="M344" s="46"/>
      <c r="N344" s="46"/>
      <c r="O344" s="46"/>
      <c r="P344" s="46"/>
      <c r="Q344" s="46"/>
    </row>
    <row r="345" spans="1:17" s="45" customFormat="1">
      <c r="A345" s="600">
        <f t="shared" si="180"/>
        <v>1024</v>
      </c>
      <c r="B345" s="45" t="s">
        <v>85</v>
      </c>
      <c r="C345" s="50">
        <f t="shared" si="186"/>
        <v>2022</v>
      </c>
      <c r="D345" s="110" t="s">
        <v>109</v>
      </c>
      <c r="E345" s="110" t="s">
        <v>109</v>
      </c>
      <c r="F345" s="601">
        <v>0</v>
      </c>
      <c r="G345" s="601">
        <f t="shared" si="184"/>
        <v>2985.0651996503284</v>
      </c>
      <c r="H345" s="636">
        <f>$H$95</f>
        <v>4.9099999999999998E-2</v>
      </c>
      <c r="I345" s="18">
        <f t="shared" ref="I345" si="195">ROUND((F345/2+G344+J343)*H345/12,2)</f>
        <v>12.62</v>
      </c>
      <c r="J345" s="18">
        <f t="shared" si="182"/>
        <v>124.96000000000002</v>
      </c>
      <c r="K345" s="18">
        <f t="shared" si="179"/>
        <v>3110.03</v>
      </c>
      <c r="L345" s="600">
        <f t="shared" si="177"/>
        <v>1024</v>
      </c>
      <c r="M345" s="46"/>
      <c r="N345" s="46"/>
      <c r="O345" s="46"/>
      <c r="P345" s="46"/>
      <c r="Q345" s="46"/>
    </row>
    <row r="346" spans="1:17" s="45" customFormat="1">
      <c r="A346" s="600">
        <f t="shared" si="180"/>
        <v>1025</v>
      </c>
      <c r="B346" s="45" t="s">
        <v>75</v>
      </c>
      <c r="C346" s="50">
        <f t="shared" si="186"/>
        <v>2022</v>
      </c>
      <c r="D346" s="110" t="s">
        <v>109</v>
      </c>
      <c r="E346" s="110" t="s">
        <v>109</v>
      </c>
      <c r="F346" s="601">
        <v>0</v>
      </c>
      <c r="G346" s="601">
        <f t="shared" si="184"/>
        <v>2985.0651996503284</v>
      </c>
      <c r="H346" s="636">
        <f>$H$96</f>
        <v>4.9099999999999998E-2</v>
      </c>
      <c r="I346" s="18">
        <f t="shared" ref="I346" si="196">ROUND((F346/2+G345+J343)*H346/12,2)</f>
        <v>12.62</v>
      </c>
      <c r="J346" s="18">
        <f t="shared" si="182"/>
        <v>137.58000000000001</v>
      </c>
      <c r="K346" s="18">
        <f t="shared" si="179"/>
        <v>3122.65</v>
      </c>
      <c r="L346" s="600">
        <f t="shared" si="177"/>
        <v>1025</v>
      </c>
      <c r="M346" s="46"/>
      <c r="N346" s="46"/>
      <c r="O346" s="46"/>
      <c r="P346" s="46"/>
      <c r="Q346" s="46"/>
    </row>
    <row r="347" spans="1:17" s="45" customFormat="1">
      <c r="A347" s="600"/>
      <c r="C347" s="50"/>
      <c r="D347" s="110"/>
      <c r="E347" s="110"/>
      <c r="F347" s="601"/>
      <c r="G347" s="18"/>
      <c r="H347" s="18"/>
      <c r="I347" s="18"/>
      <c r="J347" s="600"/>
      <c r="K347" s="46"/>
      <c r="L347" s="46"/>
      <c r="M347" s="46"/>
      <c r="N347" s="46"/>
      <c r="O347" s="46"/>
    </row>
    <row r="348" spans="1:17" s="45" customFormat="1">
      <c r="A348" s="716" t="s">
        <v>370</v>
      </c>
      <c r="B348" s="717" t="s">
        <v>370</v>
      </c>
      <c r="C348" s="50"/>
      <c r="D348" s="110"/>
      <c r="E348" s="110"/>
      <c r="F348" s="601"/>
      <c r="G348" s="18"/>
      <c r="H348" s="18"/>
      <c r="I348" s="18"/>
      <c r="J348" s="600"/>
      <c r="K348" s="46"/>
      <c r="L348" s="46"/>
      <c r="M348" s="46"/>
      <c r="N348" s="46"/>
      <c r="O348" s="46"/>
    </row>
    <row r="350" spans="1:17" ht="15" customHeight="1">
      <c r="B350" s="163" t="s">
        <v>1651</v>
      </c>
      <c r="C350" s="163"/>
      <c r="D350" s="163"/>
      <c r="E350" s="163"/>
      <c r="F350" s="163"/>
      <c r="G350" s="163"/>
      <c r="H350" s="163"/>
      <c r="I350" s="163"/>
      <c r="J350" s="163"/>
      <c r="K350" s="163"/>
    </row>
    <row r="351" spans="1:17" ht="15" customHeight="1">
      <c r="B351" s="163" t="s">
        <v>1655</v>
      </c>
      <c r="C351" s="163"/>
      <c r="D351" s="163"/>
      <c r="E351" s="163"/>
      <c r="F351" s="163"/>
      <c r="G351" s="163"/>
      <c r="H351" s="163"/>
      <c r="I351" s="163"/>
      <c r="J351" s="163"/>
      <c r="K351" s="163"/>
    </row>
    <row r="352" spans="1:17">
      <c r="B352" s="163" t="s">
        <v>1452</v>
      </c>
      <c r="C352" s="163"/>
      <c r="D352" s="163"/>
      <c r="E352" s="163"/>
      <c r="F352" s="163"/>
      <c r="G352" s="163"/>
      <c r="H352" s="163"/>
      <c r="I352" s="163"/>
      <c r="J352" s="163"/>
      <c r="K352" s="163"/>
    </row>
    <row r="353" spans="2:11">
      <c r="B353" s="163" t="s">
        <v>1453</v>
      </c>
      <c r="C353" s="163"/>
      <c r="D353" s="163"/>
      <c r="E353" s="163"/>
      <c r="F353" s="163"/>
      <c r="G353" s="163"/>
      <c r="H353" s="163"/>
      <c r="I353" s="163"/>
      <c r="J353" s="163"/>
      <c r="K353" s="163"/>
    </row>
    <row r="354" spans="2:11" ht="15" customHeight="1">
      <c r="B354" s="963" t="s">
        <v>1455</v>
      </c>
      <c r="C354" s="963"/>
      <c r="D354" s="963"/>
      <c r="E354" s="963"/>
      <c r="F354" s="963"/>
      <c r="G354" s="963"/>
      <c r="H354" s="963"/>
      <c r="I354" s="963"/>
      <c r="J354" s="963"/>
      <c r="K354" s="963"/>
    </row>
    <row r="355" spans="2:11">
      <c r="B355" s="963"/>
      <c r="C355" s="963"/>
      <c r="D355" s="963"/>
      <c r="E355" s="963"/>
      <c r="F355" s="963"/>
      <c r="G355" s="963"/>
      <c r="H355" s="963"/>
      <c r="I355" s="963"/>
      <c r="J355" s="963"/>
      <c r="K355" s="963"/>
    </row>
    <row r="356" spans="2:11" ht="15" customHeight="1">
      <c r="B356" s="163" t="s">
        <v>1454</v>
      </c>
      <c r="C356" s="163"/>
      <c r="D356" s="163"/>
      <c r="E356" s="163"/>
      <c r="F356" s="163"/>
      <c r="G356" s="163"/>
      <c r="H356" s="163"/>
      <c r="I356" s="163"/>
      <c r="J356" s="163"/>
      <c r="K356" s="163"/>
    </row>
    <row r="357" spans="2:11" s="116" customFormat="1" ht="15" customHeight="1">
      <c r="B357" s="966" t="s">
        <v>1618</v>
      </c>
      <c r="C357" s="966"/>
      <c r="D357" s="966"/>
      <c r="E357" s="966"/>
      <c r="F357" s="966"/>
      <c r="G357" s="966"/>
      <c r="H357" s="966"/>
      <c r="I357" s="966"/>
      <c r="J357" s="966"/>
      <c r="K357" s="795"/>
    </row>
    <row r="358" spans="2:11" s="116" customFormat="1">
      <c r="B358" s="965" t="s">
        <v>1619</v>
      </c>
      <c r="C358" s="965"/>
      <c r="D358" s="965"/>
      <c r="E358" s="965"/>
      <c r="F358" s="965"/>
      <c r="G358" s="965"/>
      <c r="H358" s="965"/>
      <c r="I358" s="965"/>
      <c r="J358" s="965"/>
      <c r="K358" s="795"/>
    </row>
    <row r="359" spans="2:11" s="116" customFormat="1">
      <c r="B359" s="965"/>
      <c r="C359" s="965"/>
      <c r="D359" s="965"/>
      <c r="E359" s="965"/>
      <c r="F359" s="965"/>
      <c r="G359" s="965"/>
      <c r="H359" s="965"/>
      <c r="I359" s="965"/>
      <c r="J359" s="965"/>
      <c r="K359" s="795"/>
    </row>
    <row r="360" spans="2:11">
      <c r="B360" s="962" t="s">
        <v>1673</v>
      </c>
      <c r="C360" s="962"/>
      <c r="D360" s="962"/>
      <c r="E360" s="962"/>
      <c r="F360" s="962"/>
      <c r="G360" s="962"/>
      <c r="H360" s="962"/>
      <c r="I360" s="962"/>
      <c r="J360" s="962"/>
    </row>
    <row r="361" spans="2:11">
      <c r="B361" s="962"/>
      <c r="C361" s="962"/>
      <c r="D361" s="962"/>
      <c r="E361" s="962"/>
      <c r="F361" s="962"/>
      <c r="G361" s="962"/>
      <c r="H361" s="962"/>
      <c r="I361" s="962"/>
      <c r="J361" s="962"/>
    </row>
  </sheetData>
  <mergeCells count="6">
    <mergeCell ref="B360:J361"/>
    <mergeCell ref="B55:K56"/>
    <mergeCell ref="B354:K355"/>
    <mergeCell ref="B57:I57"/>
    <mergeCell ref="B358:J359"/>
    <mergeCell ref="B357:J357"/>
  </mergeCells>
  <phoneticPr fontId="104" type="noConversion"/>
  <printOptions horizontalCentered="1"/>
  <pageMargins left="1" right="1" top="1" bottom="1" header="0.5" footer="0.5"/>
  <pageSetup scale="51" fitToHeight="0" orientation="landscape" r:id="rId1"/>
  <headerFooter>
    <oddHeader>&amp;C&amp;"-,Bold"&amp;12Pacific Gas and Electric Company
Formula Rate Model
Schedule 3-ATA</oddHeader>
    <oddFooter>&amp;C&amp;1#&amp;"Calibri"&amp;12&amp;K000000Internal</oddFooter>
  </headerFooter>
  <rowBreaks count="7" manualBreakCount="7">
    <brk id="35" max="11" man="1"/>
    <brk id="65" max="11" man="1"/>
    <brk id="126" max="11" man="1"/>
    <brk id="188" max="11" man="1"/>
    <brk id="220" max="11" man="1"/>
    <brk id="252" max="11" man="1"/>
    <brk id="314" max="11" man="1"/>
  </rowBreaks>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74327-C010-4C42-AA49-7BF4687EF42B}">
  <sheetPr codeName="Sheet7">
    <pageSetUpPr fitToPage="1"/>
  </sheetPr>
  <dimension ref="A1:M54"/>
  <sheetViews>
    <sheetView view="pageBreakPreview" zoomScale="85" zoomScaleNormal="100" zoomScaleSheetLayoutView="85" zoomScalePageLayoutView="85" workbookViewId="0">
      <selection activeCell="G13" sqref="G13"/>
    </sheetView>
  </sheetViews>
  <sheetFormatPr defaultRowHeight="15"/>
  <cols>
    <col min="1" max="1" width="4.7109375" style="505" bestFit="1" customWidth="1"/>
    <col min="2" max="2" width="51" customWidth="1"/>
    <col min="3" max="3" width="24.42578125" customWidth="1"/>
    <col min="4" max="4" width="19.5703125" bestFit="1" customWidth="1"/>
    <col min="5" max="5" width="25" bestFit="1" customWidth="1"/>
    <col min="6" max="6" width="22.85546875" bestFit="1" customWidth="1"/>
    <col min="7" max="7" width="17" bestFit="1" customWidth="1"/>
    <col min="8" max="8" width="19.85546875" bestFit="1" customWidth="1"/>
    <col min="9" max="9" width="15.5703125" bestFit="1" customWidth="1"/>
    <col min="10" max="10" width="39.5703125" bestFit="1" customWidth="1"/>
    <col min="11" max="11" width="4.7109375" style="505" bestFit="1" customWidth="1"/>
    <col min="14" max="14" width="11.85546875" bestFit="1" customWidth="1"/>
  </cols>
  <sheetData>
    <row r="1" spans="1:11">
      <c r="B1" s="2" t="s">
        <v>1220</v>
      </c>
      <c r="C1" s="45"/>
      <c r="D1" s="45"/>
      <c r="J1" s="8" t="str">
        <f>CONCATENATE("Rate Year: ",'1-DRR'!$K$1)</f>
        <v>Rate Year: 2023</v>
      </c>
    </row>
    <row r="2" spans="1:11">
      <c r="B2" s="54" t="s">
        <v>122</v>
      </c>
    </row>
    <row r="4" spans="1:11">
      <c r="B4" s="60" t="s">
        <v>922</v>
      </c>
      <c r="C4" s="60"/>
      <c r="D4" s="60"/>
      <c r="E4" s="60"/>
      <c r="F4" s="60"/>
      <c r="G4" s="60"/>
      <c r="H4" s="60"/>
      <c r="I4" s="60"/>
      <c r="J4" s="60"/>
    </row>
    <row r="5" spans="1:11">
      <c r="E5" s="47"/>
    </row>
    <row r="6" spans="1:11">
      <c r="A6" s="3" t="s">
        <v>86</v>
      </c>
      <c r="C6" s="3" t="s">
        <v>1425</v>
      </c>
      <c r="D6" s="3" t="s">
        <v>38</v>
      </c>
      <c r="K6" s="600"/>
    </row>
    <row r="7" spans="1:11">
      <c r="A7" s="600">
        <v>100</v>
      </c>
      <c r="C7" s="727">
        <f>'1-DRR'!I120</f>
        <v>4250481128.5735259</v>
      </c>
      <c r="D7" s="741" t="s">
        <v>1656</v>
      </c>
      <c r="K7" s="600"/>
    </row>
    <row r="8" spans="1:11">
      <c r="K8" s="3" t="s">
        <v>86</v>
      </c>
    </row>
    <row r="9" spans="1:11" s="116" customFormat="1">
      <c r="A9" s="320"/>
      <c r="B9" s="317"/>
      <c r="C9" s="193" t="s">
        <v>1502</v>
      </c>
      <c r="D9" s="324" t="s">
        <v>38</v>
      </c>
      <c r="K9" s="792"/>
    </row>
    <row r="10" spans="1:11" s="116" customFormat="1">
      <c r="A10" s="320" t="s">
        <v>1499</v>
      </c>
      <c r="B10" s="317"/>
      <c r="C10" s="841">
        <v>-2000000</v>
      </c>
      <c r="D10" s="318" t="s">
        <v>88</v>
      </c>
      <c r="K10" s="792"/>
    </row>
    <row r="11" spans="1:11" s="732" customFormat="1">
      <c r="A11" s="782"/>
      <c r="K11" s="3"/>
    </row>
    <row r="12" spans="1:11" ht="30">
      <c r="A12" s="505">
        <f>A7+1</f>
        <v>101</v>
      </c>
      <c r="B12" s="413"/>
      <c r="C12" s="586" t="s">
        <v>1674</v>
      </c>
      <c r="D12" s="586" t="s">
        <v>1676</v>
      </c>
      <c r="E12" s="793" t="s">
        <v>1677</v>
      </c>
      <c r="F12" s="586" t="s">
        <v>1678</v>
      </c>
      <c r="G12" s="586" t="s">
        <v>1679</v>
      </c>
      <c r="H12" s="587" t="s">
        <v>370</v>
      </c>
      <c r="I12" s="472" t="s">
        <v>38</v>
      </c>
      <c r="K12" s="505">
        <f>A12</f>
        <v>101</v>
      </c>
    </row>
    <row r="13" spans="1:11">
      <c r="A13" s="505">
        <f>A12+1</f>
        <v>102</v>
      </c>
      <c r="B13" s="6" t="s">
        <v>918</v>
      </c>
      <c r="C13" s="541">
        <f>'3-ATA'!C8</f>
        <v>5.0557938413394532E-3</v>
      </c>
      <c r="D13" s="541">
        <f>'3-ATA'!E8</f>
        <v>1.9127423380396348E-4</v>
      </c>
      <c r="E13" s="541">
        <f>'3-ATA'!F8</f>
        <v>4.3411099644308858E-5</v>
      </c>
      <c r="F13" s="541">
        <f>'3-ATA'!G8</f>
        <v>6.947094035506491E-3</v>
      </c>
      <c r="G13" s="541">
        <f>'3-ATA'!H8</f>
        <v>4.217890685964507E-6</v>
      </c>
      <c r="H13" s="523">
        <f>'3-ATA'!I8</f>
        <v>0</v>
      </c>
      <c r="I13" t="s">
        <v>1239</v>
      </c>
      <c r="K13" s="505">
        <f>A13</f>
        <v>102</v>
      </c>
    </row>
    <row r="14" spans="1:11">
      <c r="A14" s="505">
        <f t="shared" ref="A14:A19" si="0">A13+1</f>
        <v>103</v>
      </c>
      <c r="B14" s="6" t="s">
        <v>1290</v>
      </c>
      <c r="C14" s="556">
        <f>C13*$C$7</f>
        <v>21489556.3125716</v>
      </c>
      <c r="D14" s="556">
        <f t="shared" ref="D14:G14" si="1">D13*$C$7</f>
        <v>813007.52116610715</v>
      </c>
      <c r="E14" s="556">
        <f t="shared" si="1"/>
        <v>184518.05980875972</v>
      </c>
      <c r="F14" s="556">
        <f t="shared" si="1"/>
        <v>29528492.096346039</v>
      </c>
      <c r="G14" s="556">
        <f t="shared" si="1"/>
        <v>17928.064763078182</v>
      </c>
      <c r="H14" s="556">
        <f>H13*$C$7</f>
        <v>0</v>
      </c>
      <c r="I14" t="s">
        <v>1237</v>
      </c>
      <c r="K14" s="505">
        <f>A14</f>
        <v>103</v>
      </c>
    </row>
    <row r="15" spans="1:11" s="317" customFormat="1">
      <c r="A15" s="320" t="s">
        <v>1500</v>
      </c>
      <c r="B15" s="327" t="s">
        <v>1501</v>
      </c>
      <c r="C15" s="364">
        <f>C14/SUM($C$14:$G$14)*$C$10</f>
        <v>-825989.23631929047</v>
      </c>
      <c r="D15" s="364">
        <f>D14/SUM($C$14:$G$14)*$C$10</f>
        <v>-31249.386993484713</v>
      </c>
      <c r="E15" s="364">
        <f>E14/SUM($C$14:$G$14)*$C$10</f>
        <v>-7092.2791095222983</v>
      </c>
      <c r="F15" s="364">
        <f>F14/SUM($C$14:$G$14)*$C$10</f>
        <v>-1134980.0005899868</v>
      </c>
      <c r="G15" s="364">
        <f>G14/SUM($C$14:$G$14)*$C$10</f>
        <v>-689.09698771559442</v>
      </c>
      <c r="H15" s="364">
        <v>0</v>
      </c>
      <c r="I15" s="317" t="s">
        <v>112</v>
      </c>
      <c r="K15" s="320" t="s">
        <v>1500</v>
      </c>
    </row>
    <row r="16" spans="1:11">
      <c r="A16" s="505">
        <f>A14+1</f>
        <v>104</v>
      </c>
      <c r="B16" s="6" t="s">
        <v>940</v>
      </c>
      <c r="C16" s="556">
        <f>'3-ATA'!C59</f>
        <v>533224.43999999994</v>
      </c>
      <c r="D16" s="556">
        <f>'3-ATA'!E59</f>
        <v>229305.31</v>
      </c>
      <c r="E16" s="556">
        <f>'3-ATA'!F59</f>
        <v>38651.65</v>
      </c>
      <c r="F16" s="556">
        <f>'3-ATA'!G59</f>
        <v>5009325.58</v>
      </c>
      <c r="G16" s="556">
        <f>'3-ATA'!H59</f>
        <v>3122.65</v>
      </c>
      <c r="H16" s="556">
        <f>'3-ATA'!I59</f>
        <v>0</v>
      </c>
      <c r="I16" t="s">
        <v>1427</v>
      </c>
      <c r="K16" s="505">
        <f>A16</f>
        <v>104</v>
      </c>
    </row>
    <row r="17" spans="1:13">
      <c r="A17" s="505">
        <f t="shared" si="0"/>
        <v>105</v>
      </c>
      <c r="B17" s="6" t="s">
        <v>1291</v>
      </c>
      <c r="C17" s="556">
        <f>C14+C15+C16</f>
        <v>21196791.516252313</v>
      </c>
      <c r="D17" s="733">
        <f t="shared" ref="D17:H17" si="2">D14+D15+D16</f>
        <v>1011063.4441726224</v>
      </c>
      <c r="E17" s="733">
        <f t="shared" si="2"/>
        <v>216077.43069923742</v>
      </c>
      <c r="F17" s="733">
        <f t="shared" si="2"/>
        <v>33402837.675756052</v>
      </c>
      <c r="G17" s="733">
        <f t="shared" si="2"/>
        <v>20361.617775362589</v>
      </c>
      <c r="H17" s="733">
        <f t="shared" si="2"/>
        <v>0</v>
      </c>
      <c r="I17" s="317" t="s">
        <v>1622</v>
      </c>
      <c r="K17" s="505">
        <f>A17</f>
        <v>105</v>
      </c>
    </row>
    <row r="18" spans="1:13" s="317" customFormat="1">
      <c r="A18" s="321">
        <f t="shared" si="0"/>
        <v>106</v>
      </c>
      <c r="B18" s="799" t="s">
        <v>1620</v>
      </c>
      <c r="C18" s="800">
        <f>'9-WholesaleRevenues'!D26+('9-WholesaleRevenues'!C78*'15-LossFactors'!$C$23/'15-LossFactors'!$C$21)</f>
        <v>1570118.0102010905</v>
      </c>
      <c r="D18" s="800">
        <f>'9-WholesaleRevenues'!F26</f>
        <v>39641</v>
      </c>
      <c r="E18" s="800">
        <f>'9-WholesaleRevenues'!G26</f>
        <v>9287</v>
      </c>
      <c r="F18" s="800">
        <f>'9-WholesaleRevenues'!H26+('9-WholesaleRevenues'!E78*'15-LossFactors'!$C$23/'15-LossFactors'!$C$21)</f>
        <v>2081081.0312514673</v>
      </c>
      <c r="G18" s="800">
        <f>'9-WholesaleRevenues'!I26</f>
        <v>786</v>
      </c>
      <c r="H18" s="800">
        <f>'8-DemandForAllocation'!M24</f>
        <v>0</v>
      </c>
      <c r="I18" s="801" t="s">
        <v>87</v>
      </c>
      <c r="K18" s="320">
        <f>A18</f>
        <v>106</v>
      </c>
    </row>
    <row r="19" spans="1:13">
      <c r="A19" s="505">
        <f t="shared" si="0"/>
        <v>107</v>
      </c>
      <c r="B19" s="6" t="s">
        <v>1240</v>
      </c>
      <c r="C19" s="712">
        <f>C17/C18</f>
        <v>13.500126346259519</v>
      </c>
      <c r="D19" s="712">
        <f t="shared" ref="D19:G19" si="3">D17/D18</f>
        <v>25.505497948402471</v>
      </c>
      <c r="E19" s="712">
        <f t="shared" si="3"/>
        <v>23.266655615294219</v>
      </c>
      <c r="F19" s="712">
        <f t="shared" si="3"/>
        <v>16.050714592150747</v>
      </c>
      <c r="G19" s="712">
        <f t="shared" si="3"/>
        <v>25.905366126415508</v>
      </c>
      <c r="H19" s="540">
        <f>IF(H18=0,0,H17/H18)</f>
        <v>0</v>
      </c>
      <c r="I19" t="s">
        <v>1238</v>
      </c>
      <c r="K19" s="505">
        <f>A19</f>
        <v>107</v>
      </c>
      <c r="M19" s="513"/>
    </row>
    <row r="20" spans="1:13">
      <c r="C20" s="733"/>
      <c r="D20" s="733"/>
      <c r="E20" s="733"/>
      <c r="F20" s="733"/>
      <c r="G20" s="733"/>
    </row>
    <row r="21" spans="1:13">
      <c r="A21" s="600"/>
      <c r="C21" s="3" t="s">
        <v>1426</v>
      </c>
      <c r="F21" s="513"/>
      <c r="K21" s="600"/>
    </row>
    <row r="22" spans="1:13">
      <c r="A22" s="600">
        <f>A19+1</f>
        <v>108</v>
      </c>
      <c r="C22" s="727">
        <f>'1-DRR'!J120</f>
        <v>2587653216.1895437</v>
      </c>
      <c r="K22" s="723">
        <f>A22</f>
        <v>108</v>
      </c>
    </row>
    <row r="23" spans="1:13">
      <c r="I23" s="505"/>
      <c r="K23"/>
    </row>
    <row r="24" spans="1:13" ht="30">
      <c r="B24" s="413"/>
      <c r="C24" s="586" t="s">
        <v>1674</v>
      </c>
      <c r="D24" s="586" t="s">
        <v>1678</v>
      </c>
      <c r="E24" s="472" t="s">
        <v>38</v>
      </c>
    </row>
    <row r="25" spans="1:13">
      <c r="A25" s="505">
        <f>A22+1</f>
        <v>109</v>
      </c>
      <c r="B25" s="6" t="s">
        <v>919</v>
      </c>
      <c r="C25" s="541">
        <f>'3-ATA'!C11</f>
        <v>2.1303495221553716E-3</v>
      </c>
      <c r="D25" s="541">
        <f>'3-ATA'!E11</f>
        <v>1.6305419124263789E-3</v>
      </c>
      <c r="E25" t="s">
        <v>1430</v>
      </c>
      <c r="K25" s="505">
        <f t="shared" ref="K25:K31" si="4">A25</f>
        <v>109</v>
      </c>
    </row>
    <row r="26" spans="1:13">
      <c r="A26" s="505">
        <f>A25+1</f>
        <v>110</v>
      </c>
      <c r="B26" s="6" t="s">
        <v>1292</v>
      </c>
      <c r="C26" s="556">
        <f>C25*$C$22</f>
        <v>5512605.7926132046</v>
      </c>
      <c r="D26" s="556">
        <f t="shared" ref="D26" si="5">D25*$C$22</f>
        <v>4219277.0238219686</v>
      </c>
      <c r="E26" t="s">
        <v>1431</v>
      </c>
      <c r="F26" s="556"/>
      <c r="G26" s="513"/>
      <c r="K26" s="505">
        <f t="shared" si="4"/>
        <v>110</v>
      </c>
    </row>
    <row r="27" spans="1:13">
      <c r="A27" s="505">
        <f t="shared" ref="A27:A31" si="6">A26+1</f>
        <v>111</v>
      </c>
      <c r="B27" s="6" t="s">
        <v>941</v>
      </c>
      <c r="C27" s="556">
        <f>'3-ATA'!C63</f>
        <v>3035268.41</v>
      </c>
      <c r="D27" s="556">
        <f>'3-ATA'!E63</f>
        <v>4130710.63</v>
      </c>
      <c r="E27" t="s">
        <v>1432</v>
      </c>
      <c r="G27" s="513"/>
      <c r="K27" s="505">
        <f t="shared" si="4"/>
        <v>111</v>
      </c>
    </row>
    <row r="28" spans="1:13">
      <c r="A28" s="11">
        <f t="shared" si="6"/>
        <v>112</v>
      </c>
      <c r="B28" s="6" t="s">
        <v>921</v>
      </c>
      <c r="C28" s="556">
        <f>C17-(C19*'9-WholesaleRevenues'!D26)</f>
        <v>10342903.613859469</v>
      </c>
      <c r="D28" s="733">
        <f>F17-(F19*'9-WholesaleRevenues'!H26)</f>
        <v>10934451.458732061</v>
      </c>
      <c r="E28" t="s">
        <v>1498</v>
      </c>
      <c r="F28" s="513"/>
      <c r="K28" s="505">
        <f t="shared" si="4"/>
        <v>112</v>
      </c>
    </row>
    <row r="29" spans="1:13">
      <c r="A29" s="505">
        <f t="shared" si="6"/>
        <v>113</v>
      </c>
      <c r="B29" s="6" t="s">
        <v>1293</v>
      </c>
      <c r="C29" s="556">
        <f>C27+C26+C28</f>
        <v>18890777.816472672</v>
      </c>
      <c r="D29" s="556">
        <f t="shared" ref="D29" si="7">D27+D26+D28</f>
        <v>19284439.112554029</v>
      </c>
      <c r="E29" t="s">
        <v>1433</v>
      </c>
      <c r="F29" s="123"/>
      <c r="K29" s="505">
        <f t="shared" si="4"/>
        <v>113</v>
      </c>
    </row>
    <row r="30" spans="1:13" s="317" customFormat="1">
      <c r="A30" s="321">
        <f t="shared" si="6"/>
        <v>114</v>
      </c>
      <c r="B30" s="799" t="s">
        <v>1621</v>
      </c>
      <c r="C30" s="800">
        <f>'9-WholesaleRevenues'!C78</f>
        <v>722836.58998429461</v>
      </c>
      <c r="D30" s="800">
        <f>'9-WholesaleRevenues'!E78</f>
        <v>642744.12044000009</v>
      </c>
      <c r="E30" s="801" t="s">
        <v>1657</v>
      </c>
      <c r="K30" s="320">
        <f t="shared" si="4"/>
        <v>114</v>
      </c>
    </row>
    <row r="31" spans="1:13">
      <c r="A31" s="505">
        <f t="shared" si="6"/>
        <v>115</v>
      </c>
      <c r="B31" s="6" t="s">
        <v>1241</v>
      </c>
      <c r="C31" s="712">
        <f>C29/C30</f>
        <v>26.134230167959704</v>
      </c>
      <c r="D31" s="712">
        <f t="shared" ref="D31" si="8">D29/D30</f>
        <v>30.003291355434847</v>
      </c>
      <c r="E31" s="471" t="s">
        <v>1434</v>
      </c>
      <c r="K31" s="505">
        <f t="shared" si="4"/>
        <v>115</v>
      </c>
    </row>
    <row r="32" spans="1:13">
      <c r="B32" s="6"/>
      <c r="C32" s="733"/>
      <c r="D32" s="733"/>
      <c r="E32" s="2"/>
    </row>
    <row r="33" spans="1:11">
      <c r="C33" s="712"/>
      <c r="D33" s="712"/>
      <c r="E33" s="712"/>
      <c r="F33" s="731"/>
      <c r="I33" s="731"/>
      <c r="J33" s="513"/>
    </row>
    <row r="34" spans="1:11">
      <c r="B34" s="60" t="s">
        <v>923</v>
      </c>
      <c r="C34" s="60"/>
      <c r="D34" s="60"/>
      <c r="E34" s="60"/>
      <c r="F34" s="60"/>
      <c r="G34" s="60"/>
      <c r="H34" s="60"/>
      <c r="I34" s="60"/>
      <c r="J34" s="60"/>
    </row>
    <row r="35" spans="1:11">
      <c r="A35" s="3" t="s">
        <v>86</v>
      </c>
      <c r="C35" s="3" t="s">
        <v>569</v>
      </c>
      <c r="D35" s="3" t="s">
        <v>38</v>
      </c>
      <c r="K35" s="3" t="s">
        <v>86</v>
      </c>
    </row>
    <row r="36" spans="1:11">
      <c r="A36" s="11">
        <v>200</v>
      </c>
      <c r="B36" t="s">
        <v>1294</v>
      </c>
      <c r="C36" s="513">
        <f>SUM(C14:G14)</f>
        <v>52033502.054655589</v>
      </c>
      <c r="D36" s="473" t="s">
        <v>1469</v>
      </c>
      <c r="K36" s="505">
        <f t="shared" ref="K36:K38" si="9">A36</f>
        <v>200</v>
      </c>
    </row>
    <row r="37" spans="1:11">
      <c r="A37" s="505">
        <f>A36+1</f>
        <v>201</v>
      </c>
      <c r="B37" s="522" t="s">
        <v>924</v>
      </c>
      <c r="C37" s="521">
        <f>SUM(C18:G18)</f>
        <v>3700913.0414525578</v>
      </c>
      <c r="D37" s="728" t="s">
        <v>1428</v>
      </c>
      <c r="K37" s="505">
        <f t="shared" si="9"/>
        <v>201</v>
      </c>
    </row>
    <row r="38" spans="1:11">
      <c r="A38" s="505">
        <f>A37+1</f>
        <v>202</v>
      </c>
      <c r="B38" s="2" t="s">
        <v>925</v>
      </c>
      <c r="C38" s="712">
        <f>C36/C37</f>
        <v>14.059639194935839</v>
      </c>
      <c r="D38" t="s">
        <v>1429</v>
      </c>
      <c r="K38" s="505">
        <f t="shared" si="9"/>
        <v>202</v>
      </c>
    </row>
    <row r="40" spans="1:11">
      <c r="B40" s="60" t="s">
        <v>933</v>
      </c>
      <c r="C40" s="60"/>
      <c r="D40" s="60"/>
      <c r="E40" s="60"/>
      <c r="F40" s="60"/>
      <c r="G40" s="60"/>
      <c r="H40" s="60"/>
      <c r="I40" s="60"/>
      <c r="J40" s="60"/>
    </row>
    <row r="41" spans="1:11" s="163" customFormat="1">
      <c r="A41" s="11"/>
      <c r="B41" s="23" t="s">
        <v>1435</v>
      </c>
      <c r="C41" s="23"/>
      <c r="D41" s="23"/>
      <c r="E41" s="23"/>
      <c r="F41" s="23"/>
      <c r="G41" s="23"/>
      <c r="H41" s="23"/>
      <c r="I41" s="23"/>
      <c r="J41" s="23"/>
      <c r="K41" s="11"/>
    </row>
    <row r="42" spans="1:11">
      <c r="B42" s="2"/>
    </row>
    <row r="43" spans="1:11">
      <c r="A43" s="3" t="s">
        <v>86</v>
      </c>
      <c r="B43" s="9" t="s">
        <v>882</v>
      </c>
      <c r="C43" s="9" t="s">
        <v>934</v>
      </c>
      <c r="D43" s="9" t="s">
        <v>935</v>
      </c>
      <c r="K43" s="3" t="s">
        <v>86</v>
      </c>
    </row>
    <row r="44" spans="1:11">
      <c r="A44" s="505">
        <v>300</v>
      </c>
      <c r="B44" s="515"/>
      <c r="C44" s="515"/>
      <c r="D44" s="525"/>
      <c r="K44" s="505">
        <f>A44</f>
        <v>300</v>
      </c>
    </row>
    <row r="45" spans="1:11">
      <c r="A45" s="505">
        <f>A44+1</f>
        <v>301</v>
      </c>
      <c r="B45" s="515"/>
      <c r="C45" s="515"/>
      <c r="D45" s="525"/>
      <c r="K45" s="505">
        <f t="shared" ref="K45:K47" si="10">A45</f>
        <v>301</v>
      </c>
    </row>
    <row r="46" spans="1:11">
      <c r="A46" s="505">
        <f t="shared" ref="A46:A47" si="11">A45+1</f>
        <v>302</v>
      </c>
      <c r="B46" s="515"/>
      <c r="C46" s="515"/>
      <c r="D46" s="525"/>
      <c r="K46" s="505">
        <f t="shared" si="10"/>
        <v>302</v>
      </c>
    </row>
    <row r="47" spans="1:11">
      <c r="A47" s="505">
        <f t="shared" si="11"/>
        <v>303</v>
      </c>
      <c r="B47" s="515"/>
      <c r="C47" s="515"/>
      <c r="D47" s="525"/>
      <c r="K47" s="505">
        <f t="shared" si="10"/>
        <v>303</v>
      </c>
    </row>
    <row r="48" spans="1:11">
      <c r="A48" s="716" t="s">
        <v>370</v>
      </c>
      <c r="D48" s="526"/>
      <c r="K48" s="505" t="str">
        <f>A48</f>
        <v>…</v>
      </c>
    </row>
    <row r="50" spans="1:11" ht="15" customHeight="1">
      <c r="B50" s="962" t="s">
        <v>1672</v>
      </c>
      <c r="C50" s="962"/>
      <c r="D50" s="962"/>
      <c r="E50" s="962"/>
      <c r="F50" s="962"/>
      <c r="G50" s="962"/>
      <c r="H50" s="962"/>
      <c r="I50" s="962"/>
      <c r="J50" s="962"/>
      <c r="K50" s="737"/>
    </row>
    <row r="51" spans="1:11">
      <c r="B51" s="962"/>
      <c r="C51" s="962"/>
      <c r="D51" s="962"/>
      <c r="E51" s="962"/>
      <c r="F51" s="962"/>
      <c r="G51" s="962"/>
      <c r="H51" s="962"/>
      <c r="I51" s="962"/>
      <c r="J51" s="962"/>
      <c r="K51" s="737"/>
    </row>
    <row r="52" spans="1:11" s="116" customFormat="1">
      <c r="A52" s="789"/>
      <c r="B52" s="966" t="s">
        <v>1623</v>
      </c>
      <c r="C52" s="966"/>
      <c r="D52" s="966"/>
      <c r="E52" s="966"/>
      <c r="F52" s="966"/>
      <c r="G52" s="966"/>
      <c r="H52" s="966"/>
      <c r="I52" s="966"/>
      <c r="J52" s="966"/>
      <c r="K52" s="789"/>
    </row>
    <row r="53" spans="1:11" s="116" customFormat="1">
      <c r="A53" s="789"/>
      <c r="B53" s="965" t="s">
        <v>1624</v>
      </c>
      <c r="C53" s="965"/>
      <c r="D53" s="965"/>
      <c r="E53" s="965"/>
      <c r="F53" s="965"/>
      <c r="G53" s="965"/>
      <c r="H53" s="965"/>
      <c r="I53" s="965"/>
      <c r="J53" s="965"/>
      <c r="K53" s="789"/>
    </row>
    <row r="54" spans="1:11" s="116" customFormat="1">
      <c r="A54" s="789"/>
      <c r="B54" s="965"/>
      <c r="C54" s="965"/>
      <c r="D54" s="965"/>
      <c r="E54" s="965"/>
      <c r="F54" s="965"/>
      <c r="G54" s="965"/>
      <c r="H54" s="965"/>
      <c r="I54" s="965"/>
      <c r="J54" s="965"/>
      <c r="K54" s="789"/>
    </row>
  </sheetData>
  <mergeCells count="3">
    <mergeCell ref="B50:J51"/>
    <mergeCell ref="B52:J52"/>
    <mergeCell ref="B53:J54"/>
  </mergeCells>
  <phoneticPr fontId="104" type="noConversion"/>
  <printOptions horizontalCentered="1"/>
  <pageMargins left="1" right="1" top="1" bottom="1" header="0.5" footer="0.5"/>
  <pageSetup scale="47" fitToHeight="0" orientation="landscape" r:id="rId1"/>
  <headerFooter>
    <oddHeader>&amp;C&amp;"-,Bold"&amp;12Pacific Gas and Electric Company
Formula Rate Model
Schedule 4-WholesaleRates</oddHeader>
    <oddFooter>&amp;C&amp;1#&amp;"Calibri"&amp;12&amp;K000000Internal</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L32"/>
  <sheetViews>
    <sheetView view="pageBreakPreview" zoomScale="90" zoomScaleNormal="100" zoomScaleSheetLayoutView="90" zoomScalePageLayoutView="70" workbookViewId="0">
      <selection activeCell="G13" sqref="G13"/>
    </sheetView>
  </sheetViews>
  <sheetFormatPr defaultColWidth="9.140625" defaultRowHeight="15"/>
  <cols>
    <col min="1" max="1" width="4.85546875" style="84" bestFit="1" customWidth="1"/>
    <col min="2" max="2" width="50.140625" style="88" customWidth="1"/>
    <col min="3" max="3" width="17.85546875" style="89" customWidth="1"/>
    <col min="4" max="4" width="17.85546875" style="84" bestFit="1" customWidth="1"/>
    <col min="5" max="5" width="21.7109375" style="84" customWidth="1"/>
    <col min="6" max="6" width="24" style="84" bestFit="1" customWidth="1"/>
    <col min="7" max="7" width="44.42578125" style="84" customWidth="1"/>
    <col min="8" max="8" width="6.7109375" style="84" bestFit="1" customWidth="1"/>
    <col min="9" max="9" width="29.140625" style="84" bestFit="1" customWidth="1"/>
    <col min="10" max="10" width="17.85546875" style="84" bestFit="1" customWidth="1"/>
    <col min="11" max="11" width="13.42578125" style="84" customWidth="1"/>
    <col min="12" max="12" width="10" style="84" bestFit="1" customWidth="1"/>
    <col min="13" max="14" width="15.5703125" style="84" customWidth="1"/>
    <col min="15" max="15" width="13.42578125" style="84" customWidth="1"/>
    <col min="16" max="16384" width="9.140625" style="84"/>
  </cols>
  <sheetData>
    <row r="1" spans="1:10">
      <c r="B1" s="85" t="s">
        <v>31</v>
      </c>
      <c r="C1" s="86"/>
      <c r="D1" s="86"/>
      <c r="E1" s="86"/>
      <c r="F1" s="86"/>
      <c r="G1" s="8" t="str">
        <f>CONCATENATE("Prior Year: ",'1-DRR'!$K$2)</f>
        <v>Prior Year: 2021</v>
      </c>
      <c r="H1" s="86"/>
      <c r="J1" s="87"/>
    </row>
    <row r="2" spans="1:10">
      <c r="B2" s="54" t="s">
        <v>122</v>
      </c>
      <c r="C2" s="86"/>
      <c r="D2" s="86"/>
      <c r="E2" s="86"/>
      <c r="F2" s="86"/>
      <c r="H2" s="86"/>
      <c r="J2" s="87"/>
    </row>
    <row r="3" spans="1:10">
      <c r="A3" s="3"/>
      <c r="E3" s="3"/>
      <c r="F3" s="86"/>
      <c r="G3" s="86"/>
      <c r="H3" s="86"/>
      <c r="J3" s="87"/>
    </row>
    <row r="4" spans="1:10">
      <c r="B4" s="60" t="s">
        <v>147</v>
      </c>
      <c r="C4" s="60"/>
      <c r="D4" s="60"/>
      <c r="E4" s="60"/>
      <c r="F4" s="60"/>
      <c r="G4" s="60"/>
      <c r="H4" s="23"/>
      <c r="I4" s="88"/>
      <c r="J4" s="90"/>
    </row>
    <row r="5" spans="1:10">
      <c r="B5" s="846" t="s">
        <v>1600</v>
      </c>
      <c r="C5" s="23"/>
      <c r="D5" s="23"/>
      <c r="E5" s="23"/>
      <c r="F5" s="23"/>
      <c r="G5" s="23"/>
      <c r="H5" s="23"/>
      <c r="I5" s="88"/>
      <c r="J5" s="90"/>
    </row>
    <row r="6" spans="1:10">
      <c r="B6" s="23"/>
      <c r="C6" s="23"/>
      <c r="D6" s="23"/>
      <c r="E6" s="23"/>
      <c r="F6" s="23"/>
      <c r="G6" s="23"/>
      <c r="H6" s="23"/>
      <c r="I6" s="88"/>
      <c r="J6" s="90"/>
    </row>
    <row r="7" spans="1:10">
      <c r="A7" s="3" t="s">
        <v>86</v>
      </c>
      <c r="B7" s="3" t="s">
        <v>91</v>
      </c>
      <c r="F7" s="3" t="s">
        <v>57</v>
      </c>
      <c r="G7" s="3" t="s">
        <v>38</v>
      </c>
      <c r="H7" s="3" t="s">
        <v>86</v>
      </c>
      <c r="I7" s="88"/>
      <c r="J7" s="87"/>
    </row>
    <row r="8" spans="1:10">
      <c r="A8" s="91"/>
      <c r="B8" s="92" t="s">
        <v>148</v>
      </c>
      <c r="C8" s="93"/>
      <c r="D8" s="86"/>
      <c r="E8" s="91"/>
      <c r="F8" s="94"/>
      <c r="G8" s="95"/>
      <c r="H8" s="91"/>
      <c r="I8" s="88"/>
      <c r="J8" s="87"/>
    </row>
    <row r="9" spans="1:10">
      <c r="A9" s="91">
        <v>100</v>
      </c>
      <c r="B9" s="87" t="s">
        <v>149</v>
      </c>
      <c r="C9" s="96"/>
      <c r="D9" s="86"/>
      <c r="E9" s="91"/>
      <c r="F9" s="377">
        <v>36443675751.440002</v>
      </c>
      <c r="G9" s="94" t="s">
        <v>628</v>
      </c>
      <c r="H9" s="91">
        <f t="shared" ref="H9:H16" si="0">A9</f>
        <v>100</v>
      </c>
      <c r="I9" s="88"/>
      <c r="J9" s="87"/>
    </row>
    <row r="10" spans="1:10">
      <c r="A10" s="91">
        <f>A9+1</f>
        <v>101</v>
      </c>
      <c r="B10" s="87" t="s">
        <v>150</v>
      </c>
      <c r="C10" s="97"/>
      <c r="D10" s="98"/>
      <c r="E10" s="91"/>
      <c r="F10" s="377">
        <v>0</v>
      </c>
      <c r="G10" s="94" t="s">
        <v>629</v>
      </c>
      <c r="H10" s="91">
        <f t="shared" si="0"/>
        <v>101</v>
      </c>
      <c r="I10" s="88"/>
      <c r="J10" s="87"/>
    </row>
    <row r="11" spans="1:10">
      <c r="A11" s="91">
        <f t="shared" ref="A11:A16" si="1">A10+1</f>
        <v>102</v>
      </c>
      <c r="B11" s="87" t="s">
        <v>151</v>
      </c>
      <c r="C11" s="97"/>
      <c r="D11" s="98"/>
      <c r="E11" s="91"/>
      <c r="F11" s="377">
        <v>0</v>
      </c>
      <c r="G11" s="94" t="s">
        <v>630</v>
      </c>
      <c r="H11" s="91">
        <f t="shared" si="0"/>
        <v>102</v>
      </c>
      <c r="I11" s="88"/>
      <c r="J11" s="87"/>
    </row>
    <row r="12" spans="1:10">
      <c r="A12" s="91">
        <f t="shared" si="1"/>
        <v>103</v>
      </c>
      <c r="B12" s="87" t="s">
        <v>718</v>
      </c>
      <c r="C12" s="97"/>
      <c r="D12" s="98"/>
      <c r="E12" s="91"/>
      <c r="F12" s="377">
        <v>5486057.9100000001</v>
      </c>
      <c r="G12" s="94" t="s">
        <v>631</v>
      </c>
      <c r="H12" s="91">
        <f t="shared" si="0"/>
        <v>103</v>
      </c>
      <c r="I12" s="88"/>
      <c r="J12" s="87"/>
    </row>
    <row r="13" spans="1:10">
      <c r="A13" s="91">
        <f t="shared" si="1"/>
        <v>104</v>
      </c>
      <c r="B13" s="87" t="s">
        <v>719</v>
      </c>
      <c r="C13" s="97"/>
      <c r="D13" s="98"/>
      <c r="E13" s="91"/>
      <c r="F13" s="377">
        <v>26193407.199999999</v>
      </c>
      <c r="G13" s="94" t="s">
        <v>632</v>
      </c>
      <c r="H13" s="91">
        <f t="shared" si="0"/>
        <v>104</v>
      </c>
      <c r="I13" s="88"/>
      <c r="J13" s="87"/>
    </row>
    <row r="14" spans="1:10">
      <c r="A14" s="91">
        <f t="shared" si="1"/>
        <v>105</v>
      </c>
      <c r="B14" s="87" t="s">
        <v>746</v>
      </c>
      <c r="C14" s="97"/>
      <c r="D14" s="98"/>
      <c r="E14" s="91"/>
      <c r="F14" s="377">
        <v>150494395.88999999</v>
      </c>
      <c r="G14" s="94" t="s">
        <v>748</v>
      </c>
      <c r="H14" s="91">
        <f t="shared" si="0"/>
        <v>105</v>
      </c>
      <c r="I14" s="88"/>
      <c r="J14" s="87"/>
    </row>
    <row r="15" spans="1:10">
      <c r="A15" s="91">
        <f t="shared" si="1"/>
        <v>106</v>
      </c>
      <c r="B15" s="87" t="s">
        <v>747</v>
      </c>
      <c r="C15" s="97"/>
      <c r="D15" s="98"/>
      <c r="E15" s="91"/>
      <c r="F15" s="378">
        <v>49489664.189999998</v>
      </c>
      <c r="G15" s="94" t="s">
        <v>749</v>
      </c>
      <c r="H15" s="91">
        <f t="shared" si="0"/>
        <v>106</v>
      </c>
      <c r="I15" s="88"/>
      <c r="J15" s="87"/>
    </row>
    <row r="16" spans="1:10">
      <c r="A16" s="91">
        <f t="shared" si="1"/>
        <v>107</v>
      </c>
      <c r="B16" s="417" t="s">
        <v>152</v>
      </c>
      <c r="C16" s="97"/>
      <c r="D16" s="98"/>
      <c r="E16" s="91"/>
      <c r="F16" s="821">
        <f>((F9+F11+F12)-(F10+F13+F14+F15))</f>
        <v>36222984342.070007</v>
      </c>
      <c r="G16" s="94" t="str">
        <f>CONCATENATE("Lines ((",A9," + ",A11," + ",A12,") - (",A10," + ",A13," + ",A14," + ",A15," ))")</f>
        <v>Lines ((100 + 102 + 103) - (101 + 104 + 105 + 106 ))</v>
      </c>
      <c r="H16" s="91">
        <f t="shared" si="0"/>
        <v>107</v>
      </c>
      <c r="I16" s="100"/>
      <c r="J16" s="99"/>
    </row>
    <row r="17" spans="1:12">
      <c r="A17" s="91"/>
      <c r="B17" s="87"/>
      <c r="C17" s="97"/>
      <c r="D17" s="98"/>
      <c r="E17" s="91"/>
      <c r="F17" s="101"/>
      <c r="G17" s="94"/>
      <c r="H17" s="86"/>
      <c r="J17" s="87"/>
    </row>
    <row r="18" spans="1:12">
      <c r="A18" s="91"/>
      <c r="B18" s="92" t="s">
        <v>153</v>
      </c>
      <c r="C18" s="97"/>
      <c r="D18" s="98"/>
      <c r="E18" s="91"/>
      <c r="F18" s="101"/>
      <c r="G18" s="94"/>
      <c r="H18" s="86"/>
      <c r="J18" s="87"/>
    </row>
    <row r="19" spans="1:12">
      <c r="A19" s="91">
        <f>A16+1</f>
        <v>108</v>
      </c>
      <c r="B19" s="87" t="s">
        <v>621</v>
      </c>
      <c r="C19" s="97"/>
      <c r="D19" s="98"/>
      <c r="E19" s="91"/>
      <c r="F19" s="379">
        <v>1200006997</v>
      </c>
      <c r="G19" s="94" t="s">
        <v>633</v>
      </c>
      <c r="H19" s="91">
        <f t="shared" ref="H19:H26" si="2">A19</f>
        <v>108</v>
      </c>
      <c r="J19" s="87"/>
    </row>
    <row r="20" spans="1:12">
      <c r="A20" s="91">
        <f>A19+1</f>
        <v>109</v>
      </c>
      <c r="B20" s="87" t="s">
        <v>622</v>
      </c>
      <c r="C20" s="97"/>
      <c r="D20" s="98"/>
      <c r="E20" s="91"/>
      <c r="F20" s="377">
        <v>65454865.799999997</v>
      </c>
      <c r="G20" s="94" t="s">
        <v>634</v>
      </c>
      <c r="H20" s="91">
        <f t="shared" si="2"/>
        <v>109</v>
      </c>
      <c r="J20" s="87"/>
    </row>
    <row r="21" spans="1:12">
      <c r="A21" s="91">
        <f t="shared" ref="A21:A24" si="3">A20+1</f>
        <v>110</v>
      </c>
      <c r="B21" s="87" t="s">
        <v>623</v>
      </c>
      <c r="C21" s="97"/>
      <c r="D21" s="98"/>
      <c r="E21" s="91"/>
      <c r="F21" s="377">
        <v>13507902</v>
      </c>
      <c r="G21" s="94" t="s">
        <v>635</v>
      </c>
      <c r="H21" s="91">
        <f t="shared" si="2"/>
        <v>110</v>
      </c>
      <c r="J21" s="87"/>
    </row>
    <row r="22" spans="1:12">
      <c r="A22" s="91">
        <f t="shared" si="3"/>
        <v>111</v>
      </c>
      <c r="B22" s="87" t="s">
        <v>624</v>
      </c>
      <c r="C22" s="97"/>
      <c r="D22" s="98"/>
      <c r="E22" s="91"/>
      <c r="F22" s="377">
        <v>817992</v>
      </c>
      <c r="G22" s="94" t="s">
        <v>636</v>
      </c>
      <c r="H22" s="91">
        <f t="shared" si="2"/>
        <v>111</v>
      </c>
      <c r="J22" s="87"/>
    </row>
    <row r="23" spans="1:12">
      <c r="A23" s="91">
        <f t="shared" si="3"/>
        <v>112</v>
      </c>
      <c r="B23" s="87" t="s">
        <v>625</v>
      </c>
      <c r="C23" s="97"/>
      <c r="D23" s="98"/>
      <c r="E23" s="91"/>
      <c r="F23" s="378">
        <v>139701</v>
      </c>
      <c r="G23" s="94" t="s">
        <v>637</v>
      </c>
      <c r="H23" s="91">
        <f t="shared" si="2"/>
        <v>112</v>
      </c>
      <c r="J23" s="87"/>
    </row>
    <row r="24" spans="1:12">
      <c r="A24" s="91">
        <f t="shared" si="3"/>
        <v>113</v>
      </c>
      <c r="B24" s="417" t="s">
        <v>154</v>
      </c>
      <c r="C24" s="97"/>
      <c r="D24" s="98"/>
      <c r="E24" s="91"/>
      <c r="F24" s="822">
        <f>((F19+F20+F21)-(F22+F23))</f>
        <v>1278012071.8</v>
      </c>
      <c r="G24" s="94" t="str">
        <f>CONCATENATE("Lines ((",A19," + ",A20," + ",A21,") - (",A22," + ",A23,"))")</f>
        <v>Lines ((108 + 109 + 110) - (111 + 112))</v>
      </c>
      <c r="H24" s="91">
        <f t="shared" si="2"/>
        <v>113</v>
      </c>
      <c r="J24" s="87"/>
    </row>
    <row r="25" spans="1:12">
      <c r="A25" s="91"/>
      <c r="B25" s="87"/>
      <c r="C25" s="97"/>
      <c r="D25" s="98"/>
      <c r="E25" s="91"/>
      <c r="F25" s="94"/>
      <c r="G25" s="94"/>
      <c r="H25" s="86"/>
      <c r="J25" s="87"/>
    </row>
    <row r="26" spans="1:12">
      <c r="A26" s="91">
        <f>A24+1</f>
        <v>114</v>
      </c>
      <c r="B26" s="418" t="s">
        <v>155</v>
      </c>
      <c r="C26" s="97"/>
      <c r="D26" s="98"/>
      <c r="E26" s="91"/>
      <c r="F26" s="743">
        <f>ROUND(F24/F16,4)</f>
        <v>3.5299999999999998E-2</v>
      </c>
      <c r="G26" s="94" t="str">
        <f>CONCATENATE("Line ",A24," / ","Line ",A16)</f>
        <v>Line 113 / Line 107</v>
      </c>
      <c r="H26" s="91">
        <f t="shared" si="2"/>
        <v>114</v>
      </c>
      <c r="J26" s="87"/>
    </row>
    <row r="27" spans="1:12">
      <c r="A27" s="91"/>
      <c r="B27" s="102"/>
      <c r="C27" s="97"/>
      <c r="D27" s="98"/>
      <c r="E27" s="91"/>
      <c r="F27" s="86"/>
      <c r="G27" s="86"/>
      <c r="H27" s="86"/>
      <c r="J27" s="87"/>
    </row>
    <row r="28" spans="1:12">
      <c r="A28" s="91"/>
      <c r="B28" s="102"/>
      <c r="C28" s="97"/>
      <c r="D28" s="98"/>
      <c r="E28" s="91"/>
      <c r="F28" s="86"/>
      <c r="G28" s="86"/>
      <c r="H28" s="94"/>
      <c r="J28" s="87"/>
    </row>
    <row r="29" spans="1:12">
      <c r="A29" s="91"/>
      <c r="B29" s="103"/>
      <c r="C29" s="97"/>
      <c r="D29" s="98"/>
      <c r="E29" s="91"/>
      <c r="F29" s="86"/>
      <c r="G29" s="86"/>
      <c r="H29" s="94"/>
      <c r="J29" s="87"/>
    </row>
    <row r="30" spans="1:12" ht="12.75" customHeight="1">
      <c r="A30" s="91"/>
      <c r="B30" s="104"/>
      <c r="C30" s="84"/>
      <c r="D30" s="98"/>
      <c r="E30" s="91"/>
      <c r="F30" s="86"/>
      <c r="G30" s="86"/>
      <c r="H30" s="94"/>
      <c r="J30" s="87"/>
    </row>
    <row r="31" spans="1:12">
      <c r="C31" s="105"/>
    </row>
    <row r="32" spans="1:12">
      <c r="C32" s="105"/>
      <c r="L32" s="87"/>
    </row>
  </sheetData>
  <sheetProtection formatCells="0" formatColumns="0" formatRows="0" insertColumns="0" insertRows="0" insertHyperlinks="0" deleteColumns="0" deleteRows="0" selectLockedCells="1" sort="0" autoFilter="0" pivotTables="0"/>
  <conditionalFormatting sqref="F7:G7">
    <cfRule type="duplicateValues" dxfId="6" priority="1"/>
  </conditionalFormatting>
  <printOptions horizontalCentered="1"/>
  <pageMargins left="1" right="1" top="1" bottom="1" header="0.5" footer="0.5"/>
  <pageSetup scale="61" fitToHeight="0" orientation="landscape" r:id="rId1"/>
  <headerFooter>
    <oddHeader>&amp;C&amp;"-,Bold"&amp;12Pacific Gas and Electric Company
Formula Rate Model
Schedule 5-CostofCap-3</oddHeader>
    <oddFooter>&amp;C&amp;1#&amp;"Calibri"&amp;12&amp;K000000Internal</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O47"/>
  <sheetViews>
    <sheetView view="pageBreakPreview" topLeftCell="A4" zoomScale="110" zoomScaleNormal="115" zoomScaleSheetLayoutView="110" zoomScalePageLayoutView="70" workbookViewId="0">
      <selection activeCell="G13" sqref="G13"/>
    </sheetView>
  </sheetViews>
  <sheetFormatPr defaultColWidth="9.140625" defaultRowHeight="15"/>
  <cols>
    <col min="1" max="1" width="4.5703125" style="12" bestFit="1" customWidth="1"/>
    <col min="2" max="2" width="16" style="12" customWidth="1"/>
    <col min="3" max="3" width="16.140625" style="12" customWidth="1"/>
    <col min="4" max="4" width="15.85546875" style="12" customWidth="1"/>
    <col min="5" max="5" width="15.140625" style="12" customWidth="1"/>
    <col min="6" max="6" width="14.5703125" style="12" bestFit="1" customWidth="1"/>
    <col min="7" max="7" width="13.7109375" style="12" bestFit="1" customWidth="1"/>
    <col min="8" max="8" width="13.28515625" style="12" bestFit="1" customWidth="1"/>
    <col min="9" max="9" width="15.28515625" style="12" bestFit="1" customWidth="1"/>
    <col min="10" max="10" width="15" style="12" customWidth="1"/>
    <col min="11" max="11" width="4.5703125" style="12" bestFit="1" customWidth="1"/>
    <col min="12" max="12" width="9.140625" style="12"/>
    <col min="13" max="13" width="12" style="12" bestFit="1" customWidth="1"/>
    <col min="14" max="14" width="10.5703125" style="12" bestFit="1" customWidth="1"/>
    <col min="15" max="16384" width="9.140625" style="12"/>
  </cols>
  <sheetData>
    <row r="1" spans="1:15">
      <c r="B1" s="2" t="s">
        <v>25</v>
      </c>
      <c r="J1" s="8" t="str">
        <f>CONCATENATE("Prior Year: ",'1-DRR'!$K$2)</f>
        <v>Prior Year: 2021</v>
      </c>
    </row>
    <row r="2" spans="1:15">
      <c r="B2" s="106" t="s">
        <v>122</v>
      </c>
      <c r="C2" s="63"/>
      <c r="J2" s="6"/>
    </row>
    <row r="3" spans="1:15">
      <c r="A3" s="3"/>
      <c r="K3" s="3"/>
      <c r="M3" s="107"/>
      <c r="N3" s="107"/>
      <c r="O3" s="107"/>
    </row>
    <row r="4" spans="1:15">
      <c r="B4" s="108" t="s">
        <v>156</v>
      </c>
      <c r="C4" s="62"/>
      <c r="D4" s="62"/>
      <c r="E4" s="62"/>
      <c r="F4" s="62"/>
      <c r="G4" s="62"/>
      <c r="H4" s="62"/>
      <c r="I4" s="62"/>
      <c r="J4" s="62"/>
      <c r="M4" s="107"/>
      <c r="N4" s="107"/>
      <c r="O4" s="107"/>
    </row>
    <row r="5" spans="1:15">
      <c r="A5" s="3" t="s">
        <v>86</v>
      </c>
      <c r="D5" s="109" t="s">
        <v>91</v>
      </c>
      <c r="E5" s="109" t="s">
        <v>157</v>
      </c>
      <c r="F5" s="109" t="s">
        <v>158</v>
      </c>
      <c r="K5" s="3" t="str">
        <f>A5</f>
        <v>Line</v>
      </c>
      <c r="M5" s="107"/>
      <c r="N5" s="107"/>
      <c r="O5" s="107"/>
    </row>
    <row r="6" spans="1:15">
      <c r="A6" s="69">
        <v>100</v>
      </c>
      <c r="B6" s="110"/>
      <c r="C6" s="110"/>
      <c r="D6" s="110" t="s">
        <v>159</v>
      </c>
      <c r="E6" s="32">
        <f>J30</f>
        <v>13916317.264999999</v>
      </c>
      <c r="F6" s="12" t="str">
        <f>"Line "&amp;A30&amp;", "&amp;J17&amp;""</f>
        <v>Line 208, Col 9</v>
      </c>
      <c r="K6" s="69">
        <f>A6</f>
        <v>100</v>
      </c>
      <c r="M6" s="107"/>
      <c r="N6" s="107"/>
      <c r="O6" s="107"/>
    </row>
    <row r="7" spans="1:15">
      <c r="A7" s="69">
        <f>A6+1</f>
        <v>101</v>
      </c>
      <c r="B7" s="110"/>
      <c r="C7" s="110"/>
      <c r="D7" s="110" t="s">
        <v>160</v>
      </c>
      <c r="E7" s="32">
        <f>G42</f>
        <v>0</v>
      </c>
      <c r="F7" s="12" t="str">
        <f>"Line "&amp;A42&amp;", "&amp;G33&amp;""</f>
        <v>Line 305, Col 6</v>
      </c>
      <c r="K7" s="69">
        <f>A7</f>
        <v>101</v>
      </c>
      <c r="M7" s="107"/>
      <c r="N7" s="107"/>
      <c r="O7" s="107"/>
    </row>
    <row r="8" spans="1:15">
      <c r="A8" s="69">
        <f>A7+1</f>
        <v>102</v>
      </c>
      <c r="B8" s="110"/>
      <c r="C8" s="110"/>
      <c r="D8" s="6" t="s">
        <v>161</v>
      </c>
      <c r="E8" s="392">
        <f>E6+E7</f>
        <v>13916317.264999999</v>
      </c>
      <c r="F8" s="12" t="str">
        <f>"Line "&amp;A6&amp;" + Line "&amp;A7&amp;""</f>
        <v>Line 100 + Line 101</v>
      </c>
      <c r="K8" s="69">
        <f>A8</f>
        <v>102</v>
      </c>
    </row>
    <row r="9" spans="1:15">
      <c r="A9" s="69"/>
      <c r="B9" s="110"/>
      <c r="C9" s="110"/>
      <c r="D9" s="110"/>
      <c r="E9" s="32"/>
      <c r="K9" s="69"/>
    </row>
    <row r="10" spans="1:15">
      <c r="A10" s="69">
        <f>A8+1</f>
        <v>103</v>
      </c>
      <c r="B10" s="110"/>
      <c r="C10" s="110"/>
      <c r="D10" s="110" t="s">
        <v>162</v>
      </c>
      <c r="E10" s="32">
        <f>F30</f>
        <v>257994550</v>
      </c>
      <c r="F10" s="12" t="str">
        <f>"Line "&amp;A30&amp;", "&amp;F17&amp;""</f>
        <v>Line 208, Col 5</v>
      </c>
      <c r="K10" s="69">
        <f>A10</f>
        <v>103</v>
      </c>
    </row>
    <row r="11" spans="1:15">
      <c r="A11" s="69">
        <f>A10+1</f>
        <v>104</v>
      </c>
      <c r="B11" s="110"/>
      <c r="C11" s="110"/>
      <c r="D11" s="110" t="s">
        <v>163</v>
      </c>
      <c r="E11" s="32">
        <f>G30</f>
        <v>-5940273.2340178555</v>
      </c>
      <c r="F11" s="12" t="str">
        <f>"Line "&amp;A30&amp;", "&amp;G17&amp;""</f>
        <v>Line 208, Col 6</v>
      </c>
      <c r="K11" s="69">
        <f>A11</f>
        <v>104</v>
      </c>
    </row>
    <row r="12" spans="1:15">
      <c r="A12" s="69">
        <f>A11+1</f>
        <v>105</v>
      </c>
      <c r="B12" s="110"/>
      <c r="C12" s="110"/>
      <c r="D12" s="6" t="s">
        <v>164</v>
      </c>
      <c r="E12" s="392">
        <f>E10+E11</f>
        <v>252054276.76598215</v>
      </c>
      <c r="F12" s="12" t="str">
        <f>"Line "&amp;A10&amp;" + Line "&amp;A11&amp;""</f>
        <v>Line 103 + Line 104</v>
      </c>
      <c r="K12" s="69">
        <f>A12</f>
        <v>105</v>
      </c>
    </row>
    <row r="13" spans="1:15">
      <c r="A13" s="69"/>
      <c r="B13" s="110"/>
      <c r="C13" s="110"/>
      <c r="D13" s="110"/>
      <c r="K13" s="69"/>
    </row>
    <row r="14" spans="1:15">
      <c r="A14" s="69">
        <f>A12+1</f>
        <v>106</v>
      </c>
      <c r="B14" s="110"/>
      <c r="C14" s="110"/>
      <c r="D14" s="6" t="s">
        <v>165</v>
      </c>
      <c r="E14" s="311">
        <f>E8/E12</f>
        <v>5.5211589517762859E-2</v>
      </c>
      <c r="F14" s="12" t="str">
        <f>"Line "&amp;A8&amp;" / Line "&amp;A12&amp;""</f>
        <v>Line 102 / Line 105</v>
      </c>
      <c r="K14" s="69">
        <f>A14</f>
        <v>106</v>
      </c>
    </row>
    <row r="15" spans="1:15">
      <c r="A15" s="69"/>
      <c r="K15" s="69"/>
    </row>
    <row r="16" spans="1:15">
      <c r="B16" s="65" t="s">
        <v>166</v>
      </c>
      <c r="C16" s="62"/>
      <c r="D16" s="62"/>
      <c r="E16" s="62"/>
      <c r="F16" s="62"/>
      <c r="G16" s="62"/>
      <c r="H16" s="62"/>
      <c r="I16" s="62"/>
      <c r="J16" s="62"/>
    </row>
    <row r="17" spans="1:14">
      <c r="A17" s="69"/>
      <c r="B17" s="112" t="s">
        <v>62</v>
      </c>
      <c r="C17" s="112" t="s">
        <v>63</v>
      </c>
      <c r="D17" s="112" t="s">
        <v>64</v>
      </c>
      <c r="E17" s="112" t="s">
        <v>65</v>
      </c>
      <c r="F17" s="112" t="s">
        <v>66</v>
      </c>
      <c r="G17" s="112" t="s">
        <v>67</v>
      </c>
      <c r="H17" s="112" t="s">
        <v>68</v>
      </c>
      <c r="I17" s="112" t="s">
        <v>69</v>
      </c>
      <c r="J17" s="112" t="s">
        <v>70</v>
      </c>
      <c r="K17" s="69"/>
    </row>
    <row r="18" spans="1:14">
      <c r="A18" s="69"/>
      <c r="B18" s="113" t="s">
        <v>167</v>
      </c>
      <c r="C18" s="113" t="s">
        <v>167</v>
      </c>
      <c r="D18" s="113" t="s">
        <v>168</v>
      </c>
      <c r="E18" s="113" t="s">
        <v>167</v>
      </c>
      <c r="F18" s="113" t="s">
        <v>169</v>
      </c>
      <c r="G18" s="113" t="s">
        <v>167</v>
      </c>
      <c r="H18" s="113" t="s">
        <v>170</v>
      </c>
      <c r="I18" s="114" t="s">
        <v>171</v>
      </c>
      <c r="J18" s="114" t="s">
        <v>172</v>
      </c>
      <c r="K18" s="69"/>
    </row>
    <row r="19" spans="1:14">
      <c r="A19" s="69"/>
      <c r="B19" s="113" t="s">
        <v>87</v>
      </c>
      <c r="C19" s="113" t="s">
        <v>87</v>
      </c>
      <c r="D19" s="113"/>
      <c r="E19" s="113" t="s">
        <v>87</v>
      </c>
      <c r="F19" s="113"/>
      <c r="G19" s="113" t="s">
        <v>87</v>
      </c>
      <c r="H19" s="113"/>
      <c r="I19" s="114"/>
      <c r="J19" s="115" t="s">
        <v>88</v>
      </c>
      <c r="K19" s="69"/>
    </row>
    <row r="20" spans="1:14">
      <c r="A20" s="69"/>
      <c r="G20" s="116"/>
      <c r="J20" s="69"/>
      <c r="K20" s="69"/>
    </row>
    <row r="21" spans="1:14" ht="45">
      <c r="A21" s="3" t="s">
        <v>86</v>
      </c>
      <c r="B21" s="117" t="s">
        <v>173</v>
      </c>
      <c r="C21" s="117" t="s">
        <v>174</v>
      </c>
      <c r="D21" s="117" t="s">
        <v>175</v>
      </c>
      <c r="E21" s="117" t="s">
        <v>176</v>
      </c>
      <c r="F21" s="117" t="s">
        <v>704</v>
      </c>
      <c r="G21" s="117" t="s">
        <v>703</v>
      </c>
      <c r="H21" s="117" t="s">
        <v>177</v>
      </c>
      <c r="I21" s="118" t="s">
        <v>700</v>
      </c>
      <c r="J21" s="117" t="s">
        <v>702</v>
      </c>
      <c r="K21" s="3" t="str">
        <f>A21</f>
        <v>Line</v>
      </c>
    </row>
    <row r="22" spans="1:14">
      <c r="A22" s="69">
        <v>200</v>
      </c>
      <c r="B22" s="323" t="s">
        <v>1480</v>
      </c>
      <c r="C22" s="823">
        <v>1914</v>
      </c>
      <c r="D22" s="825">
        <v>0.06</v>
      </c>
      <c r="E22" s="120">
        <v>1.5</v>
      </c>
      <c r="F22" s="380">
        <v>105291525</v>
      </c>
      <c r="G22" s="302">
        <v>-7366504.2509265905</v>
      </c>
      <c r="H22" s="121">
        <v>4211661</v>
      </c>
      <c r="I22" s="32">
        <f>F22+G22</f>
        <v>97925020.749073416</v>
      </c>
      <c r="J22" s="32">
        <f>(H22*E22)</f>
        <v>6317491.5</v>
      </c>
      <c r="K22" s="69">
        <f t="shared" ref="K22:K30" si="0">A22</f>
        <v>200</v>
      </c>
      <c r="M22" s="40"/>
      <c r="N22" s="40"/>
    </row>
    <row r="23" spans="1:14">
      <c r="A23" s="69">
        <f>A22+1</f>
        <v>201</v>
      </c>
      <c r="B23" s="323" t="s">
        <v>1481</v>
      </c>
      <c r="C23" s="824">
        <v>1929</v>
      </c>
      <c r="D23" s="825">
        <v>5.5E-2</v>
      </c>
      <c r="E23" s="120">
        <v>1.375</v>
      </c>
      <c r="F23" s="380">
        <v>29329075</v>
      </c>
      <c r="G23" s="302">
        <v>-173730</v>
      </c>
      <c r="H23" s="121">
        <v>1173163</v>
      </c>
      <c r="I23" s="32">
        <f t="shared" ref="I23:I29" si="1">F23+G23</f>
        <v>29155345</v>
      </c>
      <c r="J23" s="32">
        <f t="shared" ref="J23:J29" si="2">(H23*E23)</f>
        <v>1613099.125</v>
      </c>
      <c r="K23" s="69">
        <f t="shared" si="0"/>
        <v>201</v>
      </c>
      <c r="M23" s="40"/>
      <c r="N23" s="40"/>
    </row>
    <row r="24" spans="1:14">
      <c r="A24" s="69">
        <f t="shared" ref="A24:A30" si="3">A23+1</f>
        <v>202</v>
      </c>
      <c r="B24" s="323" t="s">
        <v>1482</v>
      </c>
      <c r="C24" s="824">
        <v>15166</v>
      </c>
      <c r="D24" s="825">
        <v>0.05</v>
      </c>
      <c r="E24" s="120">
        <v>1.25</v>
      </c>
      <c r="F24" s="380">
        <v>10000000</v>
      </c>
      <c r="G24" s="302">
        <v>726283</v>
      </c>
      <c r="H24" s="121">
        <v>400000</v>
      </c>
      <c r="I24" s="32">
        <f t="shared" si="1"/>
        <v>10726283</v>
      </c>
      <c r="J24" s="32">
        <f t="shared" si="2"/>
        <v>500000</v>
      </c>
      <c r="K24" s="69">
        <f t="shared" si="0"/>
        <v>202</v>
      </c>
      <c r="M24" s="40"/>
      <c r="N24" s="40"/>
    </row>
    <row r="25" spans="1:14">
      <c r="A25" s="69">
        <f t="shared" si="3"/>
        <v>203</v>
      </c>
      <c r="B25" s="323" t="s">
        <v>1483</v>
      </c>
      <c r="C25" s="824">
        <v>17712</v>
      </c>
      <c r="D25" s="825">
        <v>0.05</v>
      </c>
      <c r="E25" s="120">
        <v>1.25</v>
      </c>
      <c r="F25" s="380">
        <v>44454300</v>
      </c>
      <c r="G25" s="302">
        <v>-716366</v>
      </c>
      <c r="H25" s="121">
        <v>1778172</v>
      </c>
      <c r="I25" s="32">
        <f t="shared" si="1"/>
        <v>43737934</v>
      </c>
      <c r="J25" s="32">
        <f t="shared" si="2"/>
        <v>2222715</v>
      </c>
      <c r="K25" s="69">
        <f t="shared" si="0"/>
        <v>203</v>
      </c>
      <c r="M25" s="40"/>
      <c r="N25" s="40"/>
    </row>
    <row r="26" spans="1:14">
      <c r="A26" s="69">
        <f t="shared" si="3"/>
        <v>204</v>
      </c>
      <c r="B26" s="323" t="s">
        <v>1484</v>
      </c>
      <c r="C26" s="824">
        <v>18022</v>
      </c>
      <c r="D26" s="825">
        <v>0.05</v>
      </c>
      <c r="E26" s="120">
        <v>1.25</v>
      </c>
      <c r="F26" s="380">
        <v>23358050</v>
      </c>
      <c r="G26" s="302">
        <v>542539</v>
      </c>
      <c r="H26" s="121">
        <v>934322</v>
      </c>
      <c r="I26" s="32">
        <f t="shared" si="1"/>
        <v>23900589</v>
      </c>
      <c r="J26" s="32">
        <f t="shared" si="2"/>
        <v>1167902.5</v>
      </c>
      <c r="K26" s="69">
        <f t="shared" si="0"/>
        <v>204</v>
      </c>
      <c r="M26" s="40"/>
      <c r="N26" s="40"/>
    </row>
    <row r="27" spans="1:14">
      <c r="A27" s="69">
        <f t="shared" si="3"/>
        <v>205</v>
      </c>
      <c r="B27" s="323" t="s">
        <v>1485</v>
      </c>
      <c r="C27" s="824">
        <v>18288</v>
      </c>
      <c r="D27" s="825">
        <v>4.8000000000000001E-2</v>
      </c>
      <c r="E27" s="120">
        <v>1.2</v>
      </c>
      <c r="F27" s="380">
        <v>19825775</v>
      </c>
      <c r="G27" s="302">
        <v>1006320.34261801</v>
      </c>
      <c r="H27" s="121">
        <v>793031</v>
      </c>
      <c r="I27" s="32">
        <f t="shared" si="1"/>
        <v>20832095.342618011</v>
      </c>
      <c r="J27" s="32">
        <f t="shared" si="2"/>
        <v>951637.2</v>
      </c>
      <c r="K27" s="69">
        <f t="shared" si="0"/>
        <v>205</v>
      </c>
      <c r="M27" s="40"/>
      <c r="N27" s="40"/>
    </row>
    <row r="28" spans="1:14">
      <c r="A28" s="69">
        <f t="shared" si="3"/>
        <v>206</v>
      </c>
      <c r="B28" s="323" t="s">
        <v>1486</v>
      </c>
      <c r="C28" s="824">
        <v>19897</v>
      </c>
      <c r="D28" s="825">
        <v>4.4999999999999998E-2</v>
      </c>
      <c r="E28" s="120">
        <v>1.125</v>
      </c>
      <c r="F28" s="380">
        <v>15278550</v>
      </c>
      <c r="G28" s="302">
        <v>70693.849467725595</v>
      </c>
      <c r="H28" s="121">
        <v>611142</v>
      </c>
      <c r="I28" s="32">
        <f t="shared" si="1"/>
        <v>15349243.849467726</v>
      </c>
      <c r="J28" s="32">
        <f t="shared" si="2"/>
        <v>687534.75</v>
      </c>
      <c r="K28" s="69">
        <f t="shared" si="0"/>
        <v>206</v>
      </c>
      <c r="M28" s="40"/>
      <c r="N28" s="40"/>
    </row>
    <row r="29" spans="1:14">
      <c r="A29" s="69">
        <f t="shared" si="3"/>
        <v>207</v>
      </c>
      <c r="B29" s="323" t="s">
        <v>1487</v>
      </c>
      <c r="C29" s="824">
        <v>20387</v>
      </c>
      <c r="D29" s="825">
        <v>4.36E-2</v>
      </c>
      <c r="E29" s="120">
        <v>1.0900000000000001</v>
      </c>
      <c r="F29" s="380">
        <v>10457275</v>
      </c>
      <c r="G29" s="302">
        <v>-29509.175177000001</v>
      </c>
      <c r="H29" s="121">
        <v>418291</v>
      </c>
      <c r="I29" s="32">
        <f t="shared" si="1"/>
        <v>10427765.824823</v>
      </c>
      <c r="J29" s="32">
        <f t="shared" si="2"/>
        <v>455937.19000000006</v>
      </c>
      <c r="K29" s="69">
        <f t="shared" si="0"/>
        <v>207</v>
      </c>
      <c r="M29" s="40"/>
      <c r="N29" s="40"/>
    </row>
    <row r="30" spans="1:14">
      <c r="A30" s="69">
        <f t="shared" si="3"/>
        <v>208</v>
      </c>
      <c r="E30" s="122" t="s">
        <v>699</v>
      </c>
      <c r="F30" s="381">
        <f>SUM(F22:F29)</f>
        <v>257994550</v>
      </c>
      <c r="G30" s="381">
        <f>SUM(G22:G29)</f>
        <v>-5940273.2340178555</v>
      </c>
      <c r="H30" s="332">
        <f>SUM(H22:H29)</f>
        <v>10319782</v>
      </c>
      <c r="I30" s="381">
        <f>SUM(I22:I29)</f>
        <v>252054276.76598215</v>
      </c>
      <c r="J30" s="381">
        <f>SUM(J22:J29)</f>
        <v>13916317.264999999</v>
      </c>
      <c r="K30" s="69">
        <f t="shared" si="0"/>
        <v>208</v>
      </c>
      <c r="N30" s="123"/>
    </row>
    <row r="32" spans="1:14">
      <c r="B32" s="65" t="s">
        <v>178</v>
      </c>
      <c r="C32" s="62"/>
      <c r="D32" s="62"/>
      <c r="E32" s="62"/>
      <c r="F32" s="62"/>
      <c r="G32" s="62"/>
      <c r="H32" s="62"/>
      <c r="I32" s="62"/>
      <c r="J32" s="62"/>
    </row>
    <row r="33" spans="1:11">
      <c r="B33" s="112" t="s">
        <v>62</v>
      </c>
      <c r="C33" s="112" t="s">
        <v>63</v>
      </c>
      <c r="D33" s="112" t="s">
        <v>64</v>
      </c>
      <c r="E33" s="112" t="s">
        <v>65</v>
      </c>
      <c r="F33" s="112" t="s">
        <v>66</v>
      </c>
      <c r="G33" s="112" t="s">
        <v>67</v>
      </c>
    </row>
    <row r="34" spans="1:11">
      <c r="B34" s="124"/>
      <c r="C34" s="124"/>
      <c r="D34" s="124"/>
      <c r="E34" s="124"/>
      <c r="F34" s="124"/>
      <c r="G34" s="124"/>
      <c r="H34" s="125"/>
    </row>
    <row r="36" spans="1:11" ht="45">
      <c r="A36" s="3" t="s">
        <v>86</v>
      </c>
      <c r="B36" s="344" t="s">
        <v>24</v>
      </c>
      <c r="C36" s="117" t="s">
        <v>179</v>
      </c>
      <c r="D36" s="345" t="s">
        <v>180</v>
      </c>
      <c r="E36" s="345" t="s">
        <v>705</v>
      </c>
      <c r="F36" s="345" t="s">
        <v>181</v>
      </c>
      <c r="G36" s="345" t="s">
        <v>706</v>
      </c>
      <c r="H36" s="346" t="s">
        <v>182</v>
      </c>
      <c r="I36" s="126"/>
      <c r="K36" s="3" t="str">
        <f t="shared" ref="K36:K42" si="4">A36</f>
        <v>Line</v>
      </c>
    </row>
    <row r="37" spans="1:11">
      <c r="A37" s="69">
        <v>300</v>
      </c>
      <c r="B37" s="127"/>
      <c r="C37" s="128"/>
      <c r="D37" s="129"/>
      <c r="E37" s="129"/>
      <c r="F37" s="119"/>
      <c r="G37" s="129"/>
      <c r="H37" s="130"/>
      <c r="I37" s="24"/>
      <c r="K37" s="69">
        <f t="shared" si="4"/>
        <v>300</v>
      </c>
    </row>
    <row r="38" spans="1:11">
      <c r="A38" s="69">
        <f>A37+1</f>
        <v>301</v>
      </c>
      <c r="B38" s="127"/>
      <c r="C38" s="128"/>
      <c r="D38" s="129"/>
      <c r="E38" s="129"/>
      <c r="F38" s="119"/>
      <c r="G38" s="129"/>
      <c r="H38" s="129"/>
      <c r="I38" s="24"/>
      <c r="K38" s="69">
        <f t="shared" si="4"/>
        <v>301</v>
      </c>
    </row>
    <row r="39" spans="1:11">
      <c r="A39" s="69">
        <f t="shared" ref="A39:A42" si="5">A38+1</f>
        <v>302</v>
      </c>
      <c r="B39" s="127"/>
      <c r="C39" s="128"/>
      <c r="D39" s="129"/>
      <c r="E39" s="129"/>
      <c r="F39" s="119"/>
      <c r="G39" s="129"/>
      <c r="H39" s="129"/>
      <c r="I39" s="24"/>
      <c r="K39" s="69">
        <f t="shared" si="4"/>
        <v>302</v>
      </c>
    </row>
    <row r="40" spans="1:11">
      <c r="A40" s="69">
        <f t="shared" si="5"/>
        <v>303</v>
      </c>
      <c r="B40" s="131"/>
      <c r="C40" s="128"/>
      <c r="D40" s="129"/>
      <c r="E40" s="129"/>
      <c r="F40" s="119"/>
      <c r="G40" s="129"/>
      <c r="H40" s="129"/>
      <c r="I40" s="24"/>
      <c r="K40" s="69">
        <f t="shared" si="4"/>
        <v>303</v>
      </c>
    </row>
    <row r="41" spans="1:11">
      <c r="A41" s="69">
        <f t="shared" si="5"/>
        <v>304</v>
      </c>
      <c r="B41" s="132" t="s">
        <v>183</v>
      </c>
      <c r="C41" s="133"/>
      <c r="D41" s="133"/>
      <c r="E41" s="133"/>
      <c r="F41" s="133"/>
      <c r="G41" s="133"/>
      <c r="H41" s="133"/>
      <c r="I41" s="134"/>
      <c r="K41" s="69">
        <f t="shared" si="4"/>
        <v>304</v>
      </c>
    </row>
    <row r="42" spans="1:11">
      <c r="A42" s="69">
        <f t="shared" si="5"/>
        <v>305</v>
      </c>
      <c r="D42" s="122" t="s">
        <v>701</v>
      </c>
      <c r="E42" s="111">
        <f>SUM(E37:E41)*1000</f>
        <v>0</v>
      </c>
      <c r="F42" s="111"/>
      <c r="G42" s="111">
        <f>SUM(G37:G41)*1000</f>
        <v>0</v>
      </c>
      <c r="K42" s="69">
        <f t="shared" si="4"/>
        <v>305</v>
      </c>
    </row>
    <row r="44" spans="1:11">
      <c r="B44" s="9" t="s">
        <v>89</v>
      </c>
    </row>
    <row r="45" spans="1:11">
      <c r="B45" s="46" t="s">
        <v>626</v>
      </c>
    </row>
    <row r="46" spans="1:11">
      <c r="B46" s="46" t="s">
        <v>627</v>
      </c>
    </row>
    <row r="47" spans="1:11">
      <c r="B47" s="827" t="s">
        <v>1604</v>
      </c>
    </row>
  </sheetData>
  <printOptions horizontalCentered="1"/>
  <pageMargins left="1" right="1" top="1" bottom="1" header="0.5" footer="0.5"/>
  <pageSetup scale="80" fitToHeight="0" orientation="landscape" r:id="rId1"/>
  <headerFooter>
    <oddHeader>&amp;C&amp;"-,Bold"&amp;12Pacific Gas and Electric Company
Formula Rate Model
Schedule 5-CostofCap-4</oddHeader>
    <oddFooter>&amp;C&amp;1#&amp;"Calibri"&amp;12&amp;K000000Internal</oddFooter>
  </headerFooter>
  <rowBreaks count="1" manualBreakCount="1">
    <brk id="31" max="10" man="1"/>
  </rowBreaks>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b06c99b3-cd83-43e5-b4c1-d62f316c1e37" ContentTypeId="0x0101" PreviousValue="false" LastSyncTimeStamp="2020-01-27T23:41:31.003Z"/>
</file>

<file path=customXml/item2.xml><?xml version="1.0" encoding="utf-8"?>
<p:properties xmlns:p="http://schemas.microsoft.com/office/2006/metadata/properties" xmlns:xsi="http://www.w3.org/2001/XMLSchema-instance" xmlns:pc="http://schemas.microsoft.com/office/infopath/2007/PartnerControls">
  <documentManagement>
    <pgeRetentionTriggerDate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TaxCatchAll xmlns="97e57212-3e02-407f-8b2d-05f7d7f19b1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4E3609C5199AE40B0C8A1B9586D8961" ma:contentTypeVersion="16" ma:contentTypeDescription="Create a new document." ma:contentTypeScope="" ma:versionID="3c8b8a11a72f7f1756b4c58ef426f0e7">
  <xsd:schema xmlns:xsd="http://www.w3.org/2001/XMLSchema" xmlns:xs="http://www.w3.org/2001/XMLSchema" xmlns:p="http://schemas.microsoft.com/office/2006/metadata/properties" xmlns:ns2="97e57212-3e02-407f-8b2d-05f7d7f19b15" xmlns:ns3="54d2ddc9-e9d1-4372-9b24-6a2b5c99b697" xmlns:ns4="e88bc686-2a5a-4a8c-98ae-cb9429efaf58" targetNamespace="http://schemas.microsoft.com/office/2006/metadata/properties" ma:root="true" ma:fieldsID="f209efda9b9e88ff10958231c62d66d9" ns2:_="" ns3:_="" ns4:_="">
    <xsd:import namespace="97e57212-3e02-407f-8b2d-05f7d7f19b15"/>
    <xsd:import namespace="54d2ddc9-e9d1-4372-9b24-6a2b5c99b697"/>
    <xsd:import namespace="e88bc686-2a5a-4a8c-98ae-cb9429efaf58"/>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3:MediaServiceSearchPropertie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ma:readOnly="false">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55729ee-09ea-4683-9021-30fabac2bab5}" ma:internalName="TaxCatchAll" ma:showField="CatchAllData" ma:web="e88bc686-2a5a-4a8c-98ae-cb9429efaf58">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55729ee-09ea-4683-9021-30fabac2bab5}" ma:internalName="TaxCatchAllLabel" ma:readOnly="true" ma:showField="CatchAllDataLabel" ma:web="e88bc686-2a5a-4a8c-98ae-cb9429efaf58">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4d2ddc9-e9d1-4372-9b24-6a2b5c99b697"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8bc686-2a5a-4a8c-98ae-cb9429efaf58"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C7709D-23EF-407B-A2EF-BF619D06526B}">
  <ds:schemaRefs>
    <ds:schemaRef ds:uri="Microsoft.SharePoint.Taxonomy.ContentTypeSync"/>
  </ds:schemaRefs>
</ds:datastoreItem>
</file>

<file path=customXml/itemProps2.xml><?xml version="1.0" encoding="utf-8"?>
<ds:datastoreItem xmlns:ds="http://schemas.openxmlformats.org/officeDocument/2006/customXml" ds:itemID="{BE8CDF2E-51A9-4EE3-9FB5-853DE92D28A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97e57212-3e02-407f-8b2d-05f7d7f19b15"/>
    <ds:schemaRef ds:uri="54d2ddc9-e9d1-4372-9b24-6a2b5c99b697"/>
    <ds:schemaRef ds:uri="http://www.w3.org/XML/1998/namespace"/>
    <ds:schemaRef ds:uri="http://purl.org/dc/dcmitype/"/>
  </ds:schemaRefs>
</ds:datastoreItem>
</file>

<file path=customXml/itemProps3.xml><?xml version="1.0" encoding="utf-8"?>
<ds:datastoreItem xmlns:ds="http://schemas.openxmlformats.org/officeDocument/2006/customXml" ds:itemID="{1FD4CBE4-58C8-40B6-AB6E-602FB3E1C042}">
  <ds:schemaRefs>
    <ds:schemaRef ds:uri="http://schemas.microsoft.com/sharepoint/v3/contenttype/forms"/>
  </ds:schemaRefs>
</ds:datastoreItem>
</file>

<file path=customXml/itemProps4.xml><?xml version="1.0" encoding="utf-8"?>
<ds:datastoreItem xmlns:ds="http://schemas.openxmlformats.org/officeDocument/2006/customXml" ds:itemID="{31D9D109-E1F8-4D97-9B4B-A0A051BF4D86}"/>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31</vt:i4>
      </vt:variant>
      <vt:variant>
        <vt:lpstr>Named Ranges</vt:lpstr>
      </vt:variant>
      <vt:variant>
        <vt:i4>31</vt:i4>
      </vt:variant>
    </vt:vector>
  </HeadingPairs>
  <TitlesOfParts>
    <vt:vector size="62" baseType="lpstr">
      <vt:lpstr>Cover Page</vt:lpstr>
      <vt:lpstr>ToC</vt:lpstr>
      <vt:lpstr>Formatting and References</vt:lpstr>
      <vt:lpstr>1-DRR</vt:lpstr>
      <vt:lpstr>2-True-upDRR</vt:lpstr>
      <vt:lpstr>3-ATA</vt:lpstr>
      <vt:lpstr>4-WholesaleRates</vt:lpstr>
      <vt:lpstr>5-CostofCap-3</vt:lpstr>
      <vt:lpstr>5-CostofCap-4</vt:lpstr>
      <vt:lpstr>6-PlantJurisdiction</vt:lpstr>
      <vt:lpstr>7-PlantInService</vt:lpstr>
      <vt:lpstr>8-DemandForAllocation</vt:lpstr>
      <vt:lpstr>9-WholesaleRevenues</vt:lpstr>
      <vt:lpstr>10-AccDep</vt:lpstr>
      <vt:lpstr>11-Depreciation</vt:lpstr>
      <vt:lpstr>12-DepRates</vt:lpstr>
      <vt:lpstr>13-WorkCap</vt:lpstr>
      <vt:lpstr>14-ADIT</vt:lpstr>
      <vt:lpstr>15-LossFactors</vt:lpstr>
      <vt:lpstr>16-UnfundedReserves</vt:lpstr>
      <vt:lpstr>17-RegAssets-1</vt:lpstr>
      <vt:lpstr>17-RegAssets-2</vt:lpstr>
      <vt:lpstr>17-RegAssets-3</vt:lpstr>
      <vt:lpstr>18-OandM</vt:lpstr>
      <vt:lpstr>19-AandG</vt:lpstr>
      <vt:lpstr>20-RevenueCredits</vt:lpstr>
      <vt:lpstr>21-CoO</vt:lpstr>
      <vt:lpstr>22-TaxRates</vt:lpstr>
      <vt:lpstr>23-CustServCharge</vt:lpstr>
      <vt:lpstr>24-Allocators</vt:lpstr>
      <vt:lpstr>25-RevenueFeeFactors</vt:lpstr>
      <vt:lpstr>'10-AccDep'!Print_Area</vt:lpstr>
      <vt:lpstr>'13-WorkCap'!Print_Area</vt:lpstr>
      <vt:lpstr>'14-ADIT'!Print_Area</vt:lpstr>
      <vt:lpstr>'15-LossFactors'!Print_Area</vt:lpstr>
      <vt:lpstr>'16-UnfundedReserves'!Print_Area</vt:lpstr>
      <vt:lpstr>'17-RegAssets-1'!Print_Area</vt:lpstr>
      <vt:lpstr>'17-RegAssets-2'!Print_Area</vt:lpstr>
      <vt:lpstr>'18-OandM'!Print_Area</vt:lpstr>
      <vt:lpstr>'19-AandG'!Print_Area</vt:lpstr>
      <vt:lpstr>'1-DRR'!Print_Area</vt:lpstr>
      <vt:lpstr>'20-RevenueCredits'!Print_Area</vt:lpstr>
      <vt:lpstr>'22-TaxRates'!Print_Area</vt:lpstr>
      <vt:lpstr>'23-CustServCharge'!Print_Area</vt:lpstr>
      <vt:lpstr>'24-Allocators'!Print_Area</vt:lpstr>
      <vt:lpstr>'25-RevenueFeeFactors'!Print_Area</vt:lpstr>
      <vt:lpstr>'2-True-upDRR'!Print_Area</vt:lpstr>
      <vt:lpstr>'3-ATA'!Print_Area</vt:lpstr>
      <vt:lpstr>'5-CostofCap-3'!Print_Area</vt:lpstr>
      <vt:lpstr>'5-CostofCap-4'!Print_Area</vt:lpstr>
      <vt:lpstr>'6-PlantJurisdiction'!Print_Area</vt:lpstr>
      <vt:lpstr>'7-PlantInService'!Print_Area</vt:lpstr>
      <vt:lpstr>'8-DemandForAllocation'!Print_Area</vt:lpstr>
      <vt:lpstr>'9-WholesaleRevenues'!Print_Area</vt:lpstr>
      <vt:lpstr>'Cover Page'!Print_Area</vt:lpstr>
      <vt:lpstr>'10-AccDep'!Print_Titles</vt:lpstr>
      <vt:lpstr>'11-Depreciation'!Print_Titles</vt:lpstr>
      <vt:lpstr>'13-WorkCap'!Print_Titles</vt:lpstr>
      <vt:lpstr>'14-ADIT'!Print_Titles</vt:lpstr>
      <vt:lpstr>'1-DRR'!Print_Titles</vt:lpstr>
      <vt:lpstr>'2-True-upDRR'!Print_Titles</vt:lpstr>
      <vt:lpstr>'7-PlantInService'!Print_Titles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2020-03-09T20:11:41Z</dcterms:created>
  <dcterms:modified xsi:type="dcterms:W3CDTF">2022-11-30T19:51:49Z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0x01010074E3609C5199AE40B0C8A1B9586D8961</vt:lpwstr>
  </property>
  <property fmtid="{D5CDD505-2E9C-101B-9397-08002B2CF9AE}" pid="3" name="pgeRecordCategory">
    <vt:lpwstr/>
  </property>
  <property fmtid="{D5CDD505-2E9C-101B-9397-08002B2CF9AE}" pid="4" name="MSIP_Label_fe50d7ff-dac2-44e7-b4b1-f9f0ac2f0a92_Enabled">
    <vt:lpwstr>true</vt:lpwstr>
  </property>
  <property fmtid="{D5CDD505-2E9C-101B-9397-08002B2CF9AE}" pid="5" name="MSIP_Label_fe50d7ff-dac2-44e7-b4b1-f9f0ac2f0a92_SetDate">
    <vt:lpwstr>2022-11-02T22:38:04Z</vt:lpwstr>
  </property>
  <property fmtid="{D5CDD505-2E9C-101B-9397-08002B2CF9AE}" pid="6" name="MSIP_Label_fe50d7ff-dac2-44e7-b4b1-f9f0ac2f0a92_Method">
    <vt:lpwstr>Privileged</vt:lpwstr>
  </property>
  <property fmtid="{D5CDD505-2E9C-101B-9397-08002B2CF9AE}" pid="7" name="MSIP_Label_fe50d7ff-dac2-44e7-b4b1-f9f0ac2f0a92_Name">
    <vt:lpwstr>Internal</vt:lpwstr>
  </property>
  <property fmtid="{D5CDD505-2E9C-101B-9397-08002B2CF9AE}" pid="8" name="MSIP_Label_fe50d7ff-dac2-44e7-b4b1-f9f0ac2f0a92_SiteId">
    <vt:lpwstr>44ae661a-ece6-41aa-bc96-7c2c85a08941</vt:lpwstr>
  </property>
  <property fmtid="{D5CDD505-2E9C-101B-9397-08002B2CF9AE}" pid="9" name="MSIP_Label_fe50d7ff-dac2-44e7-b4b1-f9f0ac2f0a92_ActionId">
    <vt:lpwstr>e7eb8666-edce-48e9-ad7d-4d3b090d40d2</vt:lpwstr>
  </property>
  <property fmtid="{D5CDD505-2E9C-101B-9397-08002B2CF9AE}" pid="10" name="MSIP_Label_fe50d7ff-dac2-44e7-b4b1-f9f0ac2f0a92_ContentBits">
    <vt:lpwstr>3</vt:lpwstr>
  </property>
</Properties>
</file>